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5"/>
    <sheet state="visible" name="Feb" sheetId="2" r:id="rId6"/>
    <sheet state="visible" name="Mar" sheetId="3" r:id="rId7"/>
    <sheet state="visible" name="Q1" sheetId="4" r:id="rId8"/>
    <sheet state="visible" name="Apr" sheetId="5" r:id="rId9"/>
    <sheet state="visible" name="May" sheetId="6" r:id="rId10"/>
    <sheet state="visible" name="June" sheetId="7" r:id="rId11"/>
    <sheet state="visible" name="Q2" sheetId="8" r:id="rId12"/>
    <sheet state="visible" name="July" sheetId="9" r:id="rId13"/>
    <sheet state="visible" name="July REVISED" sheetId="10" r:id="rId14"/>
    <sheet state="visible" name="Aug" sheetId="11" r:id="rId15"/>
    <sheet state="visible" name="Sep" sheetId="12" r:id="rId16"/>
    <sheet state="visible" name="Q3" sheetId="13" r:id="rId17"/>
    <sheet state="visible" name="Oct" sheetId="14" r:id="rId18"/>
    <sheet state="visible" name="Nov" sheetId="15" r:id="rId19"/>
    <sheet state="visible" name="Dec" sheetId="16" r:id="rId20"/>
    <sheet state="visible" name="Q4" sheetId="17" r:id="rId21"/>
    <sheet state="visible" name="AUM" sheetId="18" r:id="rId22"/>
    <sheet state="visible" name="NET SALES" sheetId="19" r:id="rId23"/>
  </sheets>
  <definedNames/>
  <calcPr/>
</workbook>
</file>

<file path=xl/sharedStrings.xml><?xml version="1.0" encoding="utf-8"?>
<sst xmlns="http://schemas.openxmlformats.org/spreadsheetml/2006/main" count="2090" uniqueCount="303">
  <si>
    <t>PHILIPPINE INVESTMENT FUNDS ASSOCIATION, INC.</t>
  </si>
  <si>
    <t>MUTUAL FUNDS STATISTICAL REPORT</t>
  </si>
  <si>
    <t>Month of January 2022</t>
  </si>
  <si>
    <t>(Amounts in Peso)</t>
  </si>
  <si>
    <t xml:space="preserve">  F  O  R  - T  H  E -  M  O  N  T  H</t>
  </si>
  <si>
    <t xml:space="preserve"> Y  E  A  R  -  T  O  -  D  A  T  E</t>
  </si>
  <si>
    <t>Fund Category</t>
  </si>
  <si>
    <t>Fund Name</t>
  </si>
  <si>
    <t>ASSETS</t>
  </si>
  <si>
    <t>LIABILITIES</t>
  </si>
  <si>
    <t>NET ASSETS</t>
  </si>
  <si>
    <t>EQUITY INV.</t>
  </si>
  <si>
    <t>NO. OF A/C</t>
  </si>
  <si>
    <t>SALES</t>
  </si>
  <si>
    <t>REDEMPTIONS</t>
  </si>
  <si>
    <t>NET SALES</t>
  </si>
  <si>
    <t>TOTAL SALES</t>
  </si>
  <si>
    <t>TOTAL REDEMPTIONS</t>
  </si>
  <si>
    <t>TOTAL NET SALES</t>
  </si>
  <si>
    <t>Stock Funds</t>
  </si>
  <si>
    <t>Primarily invested in Peso Securities (shares)</t>
  </si>
  <si>
    <t>ALFM Growth Fund, Inc.</t>
  </si>
  <si>
    <r>
      <rPr>
        <rFont val="Arial"/>
        <color theme="1"/>
        <sz val="8.0"/>
      </rPr>
      <t xml:space="preserve">ATRAM Alpha Opportunity Fund, Inc. </t>
    </r>
    <r>
      <rPr>
        <rFont val="Arial"/>
        <i/>
        <color theme="1"/>
        <sz val="8.0"/>
      </rPr>
      <t>(formerly, ATRKE Alpha Opportunity Fund, Inc.)</t>
    </r>
  </si>
  <si>
    <r>
      <rPr>
        <rFont val="Arial"/>
        <color theme="1"/>
        <sz val="8.0"/>
      </rPr>
      <t xml:space="preserve">ATRAM Phil. Equity Opportunity Fund, Inc. </t>
    </r>
    <r>
      <rPr>
        <rFont val="Arial"/>
        <i/>
        <color theme="1"/>
        <sz val="8.0"/>
      </rPr>
      <t>(formerly, ATRKE Equity Opportunity Fund, Inc.)</t>
    </r>
  </si>
  <si>
    <t>Climbs Share Capital Equity Investment Fund Corp.</t>
  </si>
  <si>
    <t>First Metro Consumer Fund on MSCI Phils. IMI, Inc.</t>
  </si>
  <si>
    <t>First Metro Save and Learn Equity Fund, Inc.</t>
  </si>
  <si>
    <r>
      <rPr>
        <rFont val="Arial"/>
        <color theme="1"/>
        <sz val="8.0"/>
      </rPr>
      <t>First Metro Save and Learn Phil. Index Fund, Inc.</t>
    </r>
    <r>
      <rPr>
        <rFont val="Arial"/>
        <i/>
        <color theme="1"/>
        <sz val="8.0"/>
      </rPr>
      <t xml:space="preserve"> (formerly, One Wealthy Nation Fund, Inc.)</t>
    </r>
  </si>
  <si>
    <t>MBG Equity Investment Fund, Inc.</t>
  </si>
  <si>
    <t>PAMI Equity Index Fund, Inc.</t>
  </si>
  <si>
    <t>Philam Strategic Growth Fund, Inc.</t>
  </si>
  <si>
    <t>Philequity Dividend Yield Fund, Inc.</t>
  </si>
  <si>
    <t>Philequity Fund, Inc.</t>
  </si>
  <si>
    <t>Philequity MSCI Phils. Index Fund, Inc.</t>
  </si>
  <si>
    <t>Philequity PSE Index Fund, Inc.</t>
  </si>
  <si>
    <t>Philippine Stock Index Fund Corp.</t>
  </si>
  <si>
    <t>Soldivo Strategic Growth Fund, Inc.</t>
  </si>
  <si>
    <t>Sun Life Prosperity Philippine Equity Fund, Inc.</t>
  </si>
  <si>
    <t>Sun Life Prosperity Phil. Stock Index Fund, Inc.</t>
  </si>
  <si>
    <t>United Fund, Inc.</t>
  </si>
  <si>
    <t>Primarily invested in Peso Securities (units)</t>
  </si>
  <si>
    <t>Philequity Alpha One Fund, Inc.</t>
  </si>
  <si>
    <t>Exchange Traded Fund</t>
  </si>
  <si>
    <t>First Metro Phil. Equity Exchange Traded Fund, Inc.</t>
  </si>
  <si>
    <t xml:space="preserve">         Sub total - Peso Currency</t>
  </si>
  <si>
    <t>Primarily invested in foreign currency securities (shares)</t>
  </si>
  <si>
    <r>
      <rPr>
        <rFont val="Arial"/>
        <color theme="1"/>
        <sz val="8.0"/>
      </rPr>
      <t xml:space="preserve">ATRAM AsiaPlus Equity Fund, Inc. </t>
    </r>
    <r>
      <rPr>
        <rFont val="Arial"/>
        <i/>
        <color theme="1"/>
        <sz val="8.0"/>
      </rPr>
      <t>(formerly, ATR KimEng AsiaPlus Recovery Fund, Inc.)</t>
    </r>
  </si>
  <si>
    <t>Sun Life Prosperity World Voyager Fund, Inc.</t>
  </si>
  <si>
    <t xml:space="preserve">        Sub total - US Currency</t>
  </si>
  <si>
    <t>Sub total - stock funds</t>
  </si>
  <si>
    <t>Balanced Funds</t>
  </si>
  <si>
    <r>
      <rPr>
        <rFont val="Arial"/>
        <color theme="1"/>
        <sz val="8.0"/>
      </rPr>
      <t xml:space="preserve">ATRAM Dynamic Allocation Fund, Inc. </t>
    </r>
    <r>
      <rPr>
        <rFont val="Arial"/>
        <i/>
        <color theme="1"/>
        <sz val="8.0"/>
      </rPr>
      <t>(formerly, Optima Balanced Fund, Inc.)</t>
    </r>
  </si>
  <si>
    <r>
      <rPr>
        <rFont val="Arial"/>
        <color theme="1"/>
        <sz val="8.0"/>
      </rPr>
      <t xml:space="preserve">ATRAM Philippine Balanced Fund, Inc. </t>
    </r>
    <r>
      <rPr>
        <rFont val="Arial"/>
        <i/>
        <color theme="1"/>
        <sz val="8.0"/>
      </rPr>
      <t>(formerly, ATRKE Philippine Balanced Fund, Inc.)</t>
    </r>
  </si>
  <si>
    <t>First Metro Save and Learn Balanced Fund, Inc.</t>
  </si>
  <si>
    <t>First Metro Save and Learn F.O.C.C.U.S. Dynamic Fund, Inc.</t>
  </si>
  <si>
    <t>NCM Mutual Fund of the Phils., Inc.</t>
  </si>
  <si>
    <t>PAMI Horizon Fund, Inc.</t>
  </si>
  <si>
    <t>Philam Fund, Inc.</t>
  </si>
  <si>
    <r>
      <rPr>
        <rFont val="Arial"/>
        <color theme="1"/>
        <sz val="8.0"/>
      </rPr>
      <t xml:space="preserve">Solidaritas Fund, Inc. </t>
    </r>
    <r>
      <rPr>
        <rFont val="Arial"/>
        <i/>
        <color theme="1"/>
        <sz val="8.0"/>
      </rPr>
      <t>(formerly, Bahay Pari Solidaritas Fund, Inc.)</t>
    </r>
  </si>
  <si>
    <t>Sun Life Prosperity Balanced Fund, Inc.</t>
  </si>
  <si>
    <t>Sun Life Prosperity Dynamic Fund, Inc.</t>
  </si>
  <si>
    <t>Sun Life Prosperity Achiever Fund 2028, Inc.</t>
  </si>
  <si>
    <t>Sun Life Prosperity Achiever Fund 2038, Inc.</t>
  </si>
  <si>
    <t>Sun Life Prosperity Achiever Fund 2048, Inc.</t>
  </si>
  <si>
    <t>Cocolife Dollar Fund Builder, Inc. </t>
  </si>
  <si>
    <t>PAMI Asia Balanced Fund, Inc.</t>
  </si>
  <si>
    <t>Sun Life Prosperity Dollar Advantage Fund, Inc.</t>
  </si>
  <si>
    <t>Sun Life Prosperity Dollar Wellspring Fund, Inc.</t>
  </si>
  <si>
    <t>Sub total - balanced funds</t>
  </si>
  <si>
    <t>Bond Funds</t>
  </si>
  <si>
    <t>ALFM Peso Bond Fund, Inc.</t>
  </si>
  <si>
    <r>
      <rPr>
        <rFont val="Arial"/>
        <color theme="1"/>
        <sz val="8.0"/>
      </rPr>
      <t xml:space="preserve">ATRAM Corporate Bond Fund, Inc. </t>
    </r>
    <r>
      <rPr>
        <rFont val="Arial"/>
        <i/>
        <color theme="1"/>
        <sz val="8.0"/>
      </rPr>
      <t>(formerly, Prudentialife Fixed Income Fund, Inc.)</t>
    </r>
  </si>
  <si>
    <t>Cocolife Fixed Income Fund, Inc.</t>
  </si>
  <si>
    <t>Ekklesia Mutual Fund, Inc.</t>
  </si>
  <si>
    <t>First Metro Save and Learn Fixed Income Fund, Inc.</t>
  </si>
  <si>
    <t>Philam Managed Income Fund, Inc.</t>
  </si>
  <si>
    <t>Philam Bond Fund, Inc.</t>
  </si>
  <si>
    <t>Philequity Peso Bond Fund, Inc.</t>
  </si>
  <si>
    <t>Soldivo Bond Fund, Inc.</t>
  </si>
  <si>
    <t>Sun Life Prosperity Bond Fund, Inc.</t>
  </si>
  <si>
    <t>Sun Life Prosperity GS Fund, Inc.</t>
  </si>
  <si>
    <t>ALFM Dollar Bond Fund, Inc.</t>
  </si>
  <si>
    <r>
      <rPr>
        <rFont val="Arial"/>
        <color theme="1"/>
        <sz val="8.0"/>
      </rPr>
      <t xml:space="preserve">ATRAM Total Return Dollar Bond Fund, Inc. </t>
    </r>
    <r>
      <rPr>
        <rFont val="Arial"/>
        <i/>
        <color theme="1"/>
        <sz val="8.0"/>
      </rPr>
      <t>(formerly, ATR KimEng Total Return Bond Fund, Inc.)</t>
    </r>
  </si>
  <si>
    <t>First Metro Save and Learn Dollar Bond Fund, Inc.</t>
  </si>
  <si>
    <t>PAMI Global Bond Fund Phils., Inc.</t>
  </si>
  <si>
    <t>Philam Dollar Bond Fund, Inc.</t>
  </si>
  <si>
    <t>Philequity Dollar Income Fund, Inc.</t>
  </si>
  <si>
    <t>Sun Life Prosperity Dollar Abundance Fund, Inc.</t>
  </si>
  <si>
    <t xml:space="preserve">         Sub total - US Currency</t>
  </si>
  <si>
    <t>ALFM Euro Bond Fund, Inc.</t>
  </si>
  <si>
    <t xml:space="preserve">        Sub total - Euro Currency</t>
  </si>
  <si>
    <t>Sub total - bond funds</t>
  </si>
  <si>
    <t>Money Market Funds</t>
  </si>
  <si>
    <t>ALFM Money Market Fund, Inc.</t>
  </si>
  <si>
    <t>First Metro Save and Learn Money Market Fund, Inc.</t>
  </si>
  <si>
    <t>Sun Life Prosperity Peso Starter Fund, Inc.</t>
  </si>
  <si>
    <t>Sun Life Prosperity Dollar Starter Fund, Inc.</t>
  </si>
  <si>
    <t>Sub total - money market funds</t>
  </si>
  <si>
    <t>Feeder Fund</t>
  </si>
  <si>
    <t>Primarily invested in Peso securities (units)</t>
  </si>
  <si>
    <t>ALFM Global Multi-Asset Income Fund Inc.</t>
  </si>
  <si>
    <t>Sun Life Prosperity World Equity Index Feeder Fund, Inc.</t>
  </si>
  <si>
    <t>Primarily invested in foreign currency securities (units)</t>
  </si>
  <si>
    <t>ALFM Global Multi-Asset Income Fund, Inc.</t>
  </si>
  <si>
    <t>Sub total - feeder fund</t>
  </si>
  <si>
    <t>GRAND TOTAL</t>
  </si>
  <si>
    <t>Month of February 2022</t>
  </si>
  <si>
    <r>
      <rPr>
        <rFont val="Arial"/>
        <color theme="1"/>
        <sz val="8.0"/>
      </rPr>
      <t xml:space="preserve">ATRAM Alpha Opportunity Fund, Inc. </t>
    </r>
    <r>
      <rPr>
        <rFont val="Arial"/>
        <i/>
        <color theme="1"/>
        <sz val="8.0"/>
      </rPr>
      <t>(formerly, ATRKE Alpha Opportunity Fund, Inc.)</t>
    </r>
  </si>
  <si>
    <r>
      <rPr>
        <rFont val="Arial"/>
        <color theme="1"/>
        <sz val="8.0"/>
      </rPr>
      <t xml:space="preserve">ATRAM Phil. Equity Opportunity Fund, Inc. </t>
    </r>
    <r>
      <rPr>
        <rFont val="Arial"/>
        <i/>
        <color theme="1"/>
        <sz val="8.0"/>
      </rPr>
      <t>(formerly, ATRKE Equity Opportunity Fund, Inc.)</t>
    </r>
  </si>
  <si>
    <r>
      <rPr>
        <rFont val="Arial"/>
        <color theme="1"/>
        <sz val="8.0"/>
      </rPr>
      <t>First Metro Save and Learn Phil. Index Fund, Inc.</t>
    </r>
    <r>
      <rPr>
        <rFont val="Arial"/>
        <i/>
        <color theme="1"/>
        <sz val="8.0"/>
      </rPr>
      <t xml:space="preserve"> (formerly, One Wealthy Nation Fund, Inc.)</t>
    </r>
  </si>
  <si>
    <r>
      <rPr>
        <rFont val="Arial"/>
        <color theme="1"/>
        <sz val="8.0"/>
      </rPr>
      <t xml:space="preserve">ATRAM AsiaPlus Equity Fund, Inc. </t>
    </r>
    <r>
      <rPr>
        <rFont val="Arial"/>
        <i/>
        <color theme="1"/>
        <sz val="8.0"/>
      </rPr>
      <t>(formerly, ATR KimEng AsiaPlus Recovery Fund, Inc.)</t>
    </r>
  </si>
  <si>
    <r>
      <rPr>
        <rFont val="Arial"/>
        <color theme="1"/>
        <sz val="8.0"/>
      </rPr>
      <t xml:space="preserve">ATRAM Dynamic Allocation Fund, Inc. </t>
    </r>
    <r>
      <rPr>
        <rFont val="Arial"/>
        <i/>
        <color theme="1"/>
        <sz val="8.0"/>
      </rPr>
      <t>(formerly, Optima Balanced Fund, Inc.)</t>
    </r>
  </si>
  <si>
    <r>
      <rPr>
        <rFont val="Arial"/>
        <color theme="1"/>
        <sz val="8.0"/>
      </rPr>
      <t xml:space="preserve">ATRAM Philippine Balanced Fund, Inc. </t>
    </r>
    <r>
      <rPr>
        <rFont val="Arial"/>
        <i/>
        <color theme="1"/>
        <sz val="8.0"/>
      </rPr>
      <t>(formerly, ATRKE Philippine Balanced Fund, Inc.)</t>
    </r>
  </si>
  <si>
    <r>
      <rPr>
        <rFont val="Arial"/>
        <color theme="1"/>
        <sz val="8.0"/>
      </rPr>
      <t xml:space="preserve">Solidaritas Fund, Inc. </t>
    </r>
    <r>
      <rPr>
        <rFont val="Arial"/>
        <i/>
        <color theme="1"/>
        <sz val="8.0"/>
      </rPr>
      <t>(formerly, Bahay Pari Solidaritas Fund, Inc.)</t>
    </r>
  </si>
  <si>
    <r>
      <rPr>
        <rFont val="Arial"/>
        <color theme="1"/>
        <sz val="8.0"/>
      </rPr>
      <t xml:space="preserve">ATRAM Corporate Bond Fund, Inc. </t>
    </r>
    <r>
      <rPr>
        <rFont val="Arial"/>
        <i/>
        <color theme="1"/>
        <sz val="8.0"/>
      </rPr>
      <t>(formerly, Prudentialife Fixed Income Fund, Inc.)</t>
    </r>
  </si>
  <si>
    <r>
      <rPr>
        <rFont val="Arial"/>
        <color theme="1"/>
        <sz val="8.0"/>
      </rPr>
      <t xml:space="preserve">ATRAM Total Return Dollar Bond Fund, Inc. </t>
    </r>
    <r>
      <rPr>
        <rFont val="Arial"/>
        <i/>
        <color theme="1"/>
        <sz val="8.0"/>
      </rPr>
      <t>(formerly, ATR KimEng Total Return Bond Fund, Inc.)</t>
    </r>
  </si>
  <si>
    <t>Month of March 2022</t>
  </si>
  <si>
    <r>
      <rPr>
        <rFont val="Arial"/>
        <color theme="1"/>
        <sz val="8.0"/>
      </rPr>
      <t xml:space="preserve">ATRAM Alpha Opportunity Fund, Inc. </t>
    </r>
    <r>
      <rPr>
        <rFont val="Arial"/>
        <i/>
        <color theme="1"/>
        <sz val="8.0"/>
      </rPr>
      <t>(formerly, ATRKE Alpha Opportunity Fund, Inc.)</t>
    </r>
  </si>
  <si>
    <r>
      <rPr>
        <rFont val="Arial"/>
        <color theme="1"/>
        <sz val="8.0"/>
      </rPr>
      <t xml:space="preserve">ATRAM Phil. Equity Opportunity Fund, Inc. </t>
    </r>
    <r>
      <rPr>
        <rFont val="Arial"/>
        <i/>
        <color theme="1"/>
        <sz val="8.0"/>
      </rPr>
      <t>(formerly, ATRKE Equity Opportunity Fund, Inc.)</t>
    </r>
  </si>
  <si>
    <r>
      <rPr>
        <rFont val="Arial"/>
        <color theme="1"/>
        <sz val="8.0"/>
      </rPr>
      <t>First Metro Save and Learn Phil. Index Fund, Inc.</t>
    </r>
    <r>
      <rPr>
        <rFont val="Arial"/>
        <i/>
        <color theme="1"/>
        <sz val="8.0"/>
      </rPr>
      <t xml:space="preserve"> (formerly, One Wealthy Nation Fund, Inc.)</t>
    </r>
  </si>
  <si>
    <r>
      <rPr>
        <rFont val="Arial"/>
        <color theme="1"/>
        <sz val="8.0"/>
      </rPr>
      <t xml:space="preserve">ATRAM AsiaPlus Equity Fund, Inc. </t>
    </r>
    <r>
      <rPr>
        <rFont val="Arial"/>
        <i/>
        <color theme="1"/>
        <sz val="8.0"/>
      </rPr>
      <t>(formerly, ATR KimEng AsiaPlus Recovery Fund, Inc.)</t>
    </r>
  </si>
  <si>
    <r>
      <rPr>
        <rFont val="Arial"/>
        <color theme="1"/>
        <sz val="8.0"/>
      </rPr>
      <t xml:space="preserve">ATRAM Dynamic Allocation Fund, Inc. </t>
    </r>
    <r>
      <rPr>
        <rFont val="Arial"/>
        <i/>
        <color theme="1"/>
        <sz val="8.0"/>
      </rPr>
      <t>(formerly, Optima Balanced Fund, Inc.)</t>
    </r>
  </si>
  <si>
    <r>
      <rPr>
        <rFont val="Arial"/>
        <color theme="1"/>
        <sz val="8.0"/>
      </rPr>
      <t xml:space="preserve">ATRAM Philippine Balanced Fund, Inc. </t>
    </r>
    <r>
      <rPr>
        <rFont val="Arial"/>
        <i/>
        <color theme="1"/>
        <sz val="8.0"/>
      </rPr>
      <t>(formerly, ATRKE Philippine Balanced Fund, Inc.)</t>
    </r>
  </si>
  <si>
    <r>
      <rPr>
        <rFont val="Arial"/>
        <color theme="1"/>
        <sz val="8.0"/>
      </rPr>
      <t xml:space="preserve">Solidaritas Fund, Inc. </t>
    </r>
    <r>
      <rPr>
        <rFont val="Arial"/>
        <i/>
        <color theme="1"/>
        <sz val="8.0"/>
      </rPr>
      <t>(formerly, Bahay Pari Solidaritas Fund, Inc.)</t>
    </r>
  </si>
  <si>
    <r>
      <rPr>
        <rFont val="Arial"/>
        <color theme="1"/>
        <sz val="8.0"/>
      </rPr>
      <t xml:space="preserve">ATRAM Corporate Bond Fund, Inc. </t>
    </r>
    <r>
      <rPr>
        <rFont val="Arial"/>
        <i/>
        <color theme="1"/>
        <sz val="8.0"/>
      </rPr>
      <t>(formerly, Prudentialife Fixed Income Fund, Inc.)</t>
    </r>
  </si>
  <si>
    <r>
      <rPr>
        <rFont val="Arial"/>
        <color theme="1"/>
        <sz val="8.0"/>
      </rPr>
      <t xml:space="preserve">ATRAM Total Return Dollar Bond Fund, Inc. </t>
    </r>
    <r>
      <rPr>
        <rFont val="Arial"/>
        <i/>
        <color theme="1"/>
        <sz val="8.0"/>
      </rPr>
      <t>(formerly, ATR KimEng Total Return Bond Fund, Inc.)</t>
    </r>
  </si>
  <si>
    <t>As of the First Quarter of 2022</t>
  </si>
  <si>
    <r>
      <rPr>
        <rFont val="Arial"/>
        <color theme="1"/>
        <sz val="8.0"/>
      </rPr>
      <t xml:space="preserve">ATRAM Alpha Opportunity Fund, Inc. </t>
    </r>
    <r>
      <rPr>
        <rFont val="Arial"/>
        <i/>
        <color theme="1"/>
        <sz val="8.0"/>
      </rPr>
      <t>(formerly, ATRKE Alpha Opportunity Fund, Inc.)</t>
    </r>
  </si>
  <si>
    <r>
      <rPr>
        <rFont val="Arial"/>
        <color theme="1"/>
        <sz val="8.0"/>
      </rPr>
      <t xml:space="preserve">ATRAM Phil. Equity Opportunity Fund, Inc. </t>
    </r>
    <r>
      <rPr>
        <rFont val="Arial"/>
        <i/>
        <color theme="1"/>
        <sz val="8.0"/>
      </rPr>
      <t>(formerly, ATRKE Equity Opportunity Fund, Inc.)</t>
    </r>
  </si>
  <si>
    <r>
      <rPr>
        <rFont val="Arial"/>
        <color theme="1"/>
        <sz val="8.0"/>
      </rPr>
      <t>First Metro Save and Learn Phil. Index Fund, Inc.</t>
    </r>
    <r>
      <rPr>
        <rFont val="Arial"/>
        <i/>
        <color theme="1"/>
        <sz val="8.0"/>
      </rPr>
      <t xml:space="preserve"> (formerly, One Wealthy Nation Fund, Inc.)</t>
    </r>
  </si>
  <si>
    <r>
      <rPr>
        <rFont val="Arial"/>
        <color theme="1"/>
        <sz val="8.0"/>
      </rPr>
      <t xml:space="preserve">ATRAM AsiaPlus Equity Fund, Inc. </t>
    </r>
    <r>
      <rPr>
        <rFont val="Arial"/>
        <i/>
        <color theme="1"/>
        <sz val="8.0"/>
      </rPr>
      <t>(formerly, ATR KimEng AsiaPlus Recovery Fund, Inc.)</t>
    </r>
  </si>
  <si>
    <r>
      <rPr>
        <rFont val="Arial"/>
        <color theme="1"/>
        <sz val="8.0"/>
      </rPr>
      <t xml:space="preserve">ATRAM Dynamic Allocation Fund, Inc. </t>
    </r>
    <r>
      <rPr>
        <rFont val="Arial"/>
        <i/>
        <color theme="1"/>
        <sz val="8.0"/>
      </rPr>
      <t>(formerly, Optima Balanced Fund, Inc.)</t>
    </r>
  </si>
  <si>
    <r>
      <rPr>
        <rFont val="Arial"/>
        <color theme="1"/>
        <sz val="8.0"/>
      </rPr>
      <t xml:space="preserve">ATRAM Philippine Balanced Fund, Inc. </t>
    </r>
    <r>
      <rPr>
        <rFont val="Arial"/>
        <i/>
        <color theme="1"/>
        <sz val="8.0"/>
      </rPr>
      <t>(formerly, ATRKE Philippine Balanced Fund, Inc.)</t>
    </r>
  </si>
  <si>
    <r>
      <rPr>
        <rFont val="Arial"/>
        <color theme="1"/>
        <sz val="8.0"/>
      </rPr>
      <t xml:space="preserve">Solidaritas Fund, Inc. </t>
    </r>
    <r>
      <rPr>
        <rFont val="Arial"/>
        <i/>
        <color theme="1"/>
        <sz val="8.0"/>
      </rPr>
      <t>(formerly, Bahay Pari Solidaritas Fund, Inc.)</t>
    </r>
  </si>
  <si>
    <r>
      <rPr>
        <rFont val="Arial"/>
        <color theme="1"/>
        <sz val="8.0"/>
      </rPr>
      <t xml:space="preserve">ATRAM Corporate Bond Fund, Inc. </t>
    </r>
    <r>
      <rPr>
        <rFont val="Arial"/>
        <i/>
        <color theme="1"/>
        <sz val="8.0"/>
      </rPr>
      <t>(formerly, Prudentialife Fixed Income Fund, Inc.)</t>
    </r>
  </si>
  <si>
    <r>
      <rPr>
        <rFont val="Arial"/>
        <color theme="1"/>
        <sz val="8.0"/>
      </rPr>
      <t xml:space="preserve">ATRAM Total Return Dollar Bond Fund, Inc. </t>
    </r>
    <r>
      <rPr>
        <rFont val="Arial"/>
        <i/>
        <color theme="1"/>
        <sz val="8.0"/>
      </rPr>
      <t>(formerly, ATR KimEng Total Return Bond Fund, Inc.)</t>
    </r>
  </si>
  <si>
    <t>Month of April 2022</t>
  </si>
  <si>
    <r>
      <rPr>
        <rFont val="Arial"/>
        <color theme="1"/>
        <sz val="8.0"/>
      </rPr>
      <t xml:space="preserve">ATRAM Alpha Opportunity Fund, Inc. </t>
    </r>
    <r>
      <rPr>
        <rFont val="Arial"/>
        <i/>
        <color theme="1"/>
        <sz val="8.0"/>
      </rPr>
      <t>(formerly, ATRKE Alpha Opportunity Fund, Inc.)</t>
    </r>
  </si>
  <si>
    <r>
      <rPr>
        <rFont val="Arial"/>
        <color theme="1"/>
        <sz val="8.0"/>
      </rPr>
      <t xml:space="preserve">ATRAM Phil. Equity Opportunity Fund, Inc. </t>
    </r>
    <r>
      <rPr>
        <rFont val="Arial"/>
        <i/>
        <color theme="1"/>
        <sz val="8.0"/>
      </rPr>
      <t>(formerly, ATRKE Equity Opportunity Fund, Inc.)</t>
    </r>
  </si>
  <si>
    <r>
      <rPr>
        <rFont val="Arial"/>
        <color theme="1"/>
        <sz val="8.0"/>
      </rPr>
      <t>First Metro Save and Learn Phil. Index Fund, Inc.</t>
    </r>
    <r>
      <rPr>
        <rFont val="Arial"/>
        <i/>
        <color theme="1"/>
        <sz val="8.0"/>
      </rPr>
      <t xml:space="preserve"> (formerly, One Wealthy Nation Fund, Inc.)</t>
    </r>
  </si>
  <si>
    <r>
      <rPr>
        <rFont val="Arial"/>
        <color theme="1"/>
        <sz val="8.0"/>
      </rPr>
      <t xml:space="preserve">ATRAM AsiaPlus Equity Fund, Inc. </t>
    </r>
    <r>
      <rPr>
        <rFont val="Arial"/>
        <i/>
        <color theme="1"/>
        <sz val="8.0"/>
      </rPr>
      <t>(formerly, ATR KimEng AsiaPlus Recovery Fund, Inc.)</t>
    </r>
  </si>
  <si>
    <r>
      <rPr>
        <rFont val="Arial"/>
        <color theme="1"/>
        <sz val="8.0"/>
      </rPr>
      <t xml:space="preserve">ATRAM Dynamic Allocation Fund, Inc. </t>
    </r>
    <r>
      <rPr>
        <rFont val="Arial"/>
        <i/>
        <color theme="1"/>
        <sz val="8.0"/>
      </rPr>
      <t>(formerly, Optima Balanced Fund, Inc.)</t>
    </r>
  </si>
  <si>
    <r>
      <rPr>
        <rFont val="Arial"/>
        <color theme="1"/>
        <sz val="8.0"/>
      </rPr>
      <t xml:space="preserve">ATRAM Philippine Balanced Fund, Inc. </t>
    </r>
    <r>
      <rPr>
        <rFont val="Arial"/>
        <i/>
        <color theme="1"/>
        <sz val="8.0"/>
      </rPr>
      <t>(formerly, ATRKE Philippine Balanced Fund, Inc.)</t>
    </r>
  </si>
  <si>
    <r>
      <rPr>
        <rFont val="Arial"/>
        <color theme="1"/>
        <sz val="8.0"/>
      </rPr>
      <t xml:space="preserve">Solidaritas Fund, Inc. </t>
    </r>
    <r>
      <rPr>
        <rFont val="Arial"/>
        <i/>
        <color theme="1"/>
        <sz val="8.0"/>
      </rPr>
      <t>(formerly, Bahay Pari Solidaritas Fund, Inc.)</t>
    </r>
  </si>
  <si>
    <r>
      <rPr>
        <rFont val="Arial"/>
        <color theme="1"/>
        <sz val="8.0"/>
      </rPr>
      <t xml:space="preserve">ATRAM Corporate Bond Fund, Inc. </t>
    </r>
    <r>
      <rPr>
        <rFont val="Arial"/>
        <i/>
        <color theme="1"/>
        <sz val="8.0"/>
      </rPr>
      <t>(formerly, Prudentialife Fixed Income Fund, Inc.)</t>
    </r>
  </si>
  <si>
    <r>
      <rPr>
        <rFont val="Arial"/>
        <color theme="1"/>
        <sz val="8.0"/>
      </rPr>
      <t xml:space="preserve">ATRAM Total Return Dollar Bond Fund, Inc. </t>
    </r>
    <r>
      <rPr>
        <rFont val="Arial"/>
        <i/>
        <color theme="1"/>
        <sz val="8.0"/>
      </rPr>
      <t>(formerly, ATR KimEng Total Return Bond Fund, Inc.)</t>
    </r>
  </si>
  <si>
    <t>Month of May 2022</t>
  </si>
  <si>
    <r>
      <rPr>
        <rFont val="Arial"/>
        <color theme="1"/>
        <sz val="8.0"/>
      </rPr>
      <t xml:space="preserve">ATRAM Alpha Opportunity Fund, Inc. </t>
    </r>
    <r>
      <rPr>
        <rFont val="Arial"/>
        <i/>
        <color theme="1"/>
        <sz val="8.0"/>
      </rPr>
      <t>(formerly, ATRKE Alpha Opportunity Fund, Inc.)</t>
    </r>
  </si>
  <si>
    <r>
      <rPr>
        <rFont val="Arial"/>
        <color theme="1"/>
        <sz val="8.0"/>
      </rPr>
      <t xml:space="preserve">ATRAM Phil. Equity Opportunity Fund, Inc. </t>
    </r>
    <r>
      <rPr>
        <rFont val="Arial"/>
        <i/>
        <color theme="1"/>
        <sz val="8.0"/>
      </rPr>
      <t>(formerly, ATRKE Equity Opportunity Fund, Inc.)</t>
    </r>
  </si>
  <si>
    <r>
      <rPr>
        <rFont val="Arial"/>
        <color theme="1"/>
        <sz val="8.0"/>
      </rPr>
      <t>First Metro Save and Learn Phil. Index Fund, Inc.</t>
    </r>
    <r>
      <rPr>
        <rFont val="Arial"/>
        <i/>
        <color theme="1"/>
        <sz val="8.0"/>
      </rPr>
      <t xml:space="preserve"> (formerly, One Wealthy Nation Fund, Inc.)</t>
    </r>
  </si>
  <si>
    <r>
      <rPr>
        <rFont val="Arial"/>
        <color theme="1"/>
        <sz val="8.0"/>
      </rPr>
      <t xml:space="preserve">ATRAM AsiaPlus Equity Fund, Inc. </t>
    </r>
    <r>
      <rPr>
        <rFont val="Arial"/>
        <i/>
        <color theme="1"/>
        <sz val="8.0"/>
      </rPr>
      <t>(formerly, ATR KimEng AsiaPlus Recovery Fund, Inc.)</t>
    </r>
  </si>
  <si>
    <r>
      <rPr>
        <rFont val="Arial"/>
        <color theme="1"/>
        <sz val="8.0"/>
      </rPr>
      <t xml:space="preserve">ATRAM Dynamic Allocation Fund, Inc. </t>
    </r>
    <r>
      <rPr>
        <rFont val="Arial"/>
        <i/>
        <color theme="1"/>
        <sz val="8.0"/>
      </rPr>
      <t>(formerly, Optima Balanced Fund, Inc.)</t>
    </r>
  </si>
  <si>
    <r>
      <rPr>
        <rFont val="Arial"/>
        <color theme="1"/>
        <sz val="8.0"/>
      </rPr>
      <t xml:space="preserve">ATRAM Philippine Balanced Fund, Inc. </t>
    </r>
    <r>
      <rPr>
        <rFont val="Arial"/>
        <i/>
        <color theme="1"/>
        <sz val="8.0"/>
      </rPr>
      <t>(formerly, ATRKE Philippine Balanced Fund, Inc.)</t>
    </r>
  </si>
  <si>
    <r>
      <rPr>
        <rFont val="Arial"/>
        <color theme="1"/>
        <sz val="8.0"/>
      </rPr>
      <t xml:space="preserve">Solidaritas Fund, Inc. </t>
    </r>
    <r>
      <rPr>
        <rFont val="Arial"/>
        <i/>
        <color theme="1"/>
        <sz val="8.0"/>
      </rPr>
      <t>(formerly, Bahay Pari Solidaritas Fund, Inc.)</t>
    </r>
  </si>
  <si>
    <r>
      <rPr>
        <rFont val="Arial"/>
        <color theme="1"/>
        <sz val="8.0"/>
      </rPr>
      <t xml:space="preserve">ATRAM Corporate Bond Fund, Inc. </t>
    </r>
    <r>
      <rPr>
        <rFont val="Arial"/>
        <i/>
        <color theme="1"/>
        <sz val="8.0"/>
      </rPr>
      <t>(formerly, Prudentialife Fixed Income Fund, Inc.)</t>
    </r>
  </si>
  <si>
    <r>
      <rPr>
        <rFont val="Arial"/>
        <color theme="1"/>
        <sz val="8.0"/>
      </rPr>
      <t xml:space="preserve">ATRAM Total Return Dollar Bond Fund, Inc. </t>
    </r>
    <r>
      <rPr>
        <rFont val="Arial"/>
        <i/>
        <color theme="1"/>
        <sz val="8.0"/>
      </rPr>
      <t>(formerly, ATR KimEng Total Return Bond Fund, Inc.)</t>
    </r>
  </si>
  <si>
    <t>Month of June 2022</t>
  </si>
  <si>
    <r>
      <rPr>
        <rFont val="Arial"/>
        <color theme="1"/>
        <sz val="8.0"/>
      </rPr>
      <t xml:space="preserve">ATRAM Alpha Opportunity Fund, Inc. </t>
    </r>
    <r>
      <rPr>
        <rFont val="Arial"/>
        <i/>
        <color theme="1"/>
        <sz val="8.0"/>
      </rPr>
      <t>(formerly, ATRKE Alpha Opportunity Fund, Inc.)</t>
    </r>
  </si>
  <si>
    <r>
      <rPr>
        <rFont val="Arial"/>
        <color theme="1"/>
        <sz val="8.0"/>
      </rPr>
      <t xml:space="preserve">ATRAM Phil. Equity Opportunity Fund, Inc. </t>
    </r>
    <r>
      <rPr>
        <rFont val="Arial"/>
        <i/>
        <color theme="1"/>
        <sz val="8.0"/>
      </rPr>
      <t>(formerly, ATRKE Equity Opportunity Fund, Inc.)</t>
    </r>
  </si>
  <si>
    <r>
      <rPr>
        <rFont val="Arial"/>
        <color theme="1"/>
        <sz val="8.0"/>
      </rPr>
      <t>First Metro Save and Learn Phil. Index Fund, Inc.</t>
    </r>
    <r>
      <rPr>
        <rFont val="Arial"/>
        <i/>
        <color theme="1"/>
        <sz val="8.0"/>
      </rPr>
      <t xml:space="preserve"> (formerly, One Wealthy Nation Fund, Inc.)</t>
    </r>
  </si>
  <si>
    <r>
      <rPr>
        <rFont val="Arial"/>
        <color theme="1"/>
        <sz val="8.0"/>
      </rPr>
      <t xml:space="preserve">ATRAM AsiaPlus Equity Fund, Inc. </t>
    </r>
    <r>
      <rPr>
        <rFont val="Arial"/>
        <i/>
        <color theme="1"/>
        <sz val="8.0"/>
      </rPr>
      <t>(formerly, ATR KimEng AsiaPlus Recovery Fund, Inc.)</t>
    </r>
  </si>
  <si>
    <r>
      <rPr>
        <rFont val="Arial"/>
        <color theme="1"/>
        <sz val="8.0"/>
      </rPr>
      <t xml:space="preserve">ATRAM Dynamic Allocation Fund, Inc. </t>
    </r>
    <r>
      <rPr>
        <rFont val="Arial"/>
        <i/>
        <color theme="1"/>
        <sz val="8.0"/>
      </rPr>
      <t>(formerly, Optima Balanced Fund, Inc.)</t>
    </r>
  </si>
  <si>
    <r>
      <rPr>
        <rFont val="Arial"/>
        <color theme="1"/>
        <sz val="8.0"/>
      </rPr>
      <t xml:space="preserve">ATRAM Philippine Balanced Fund, Inc. </t>
    </r>
    <r>
      <rPr>
        <rFont val="Arial"/>
        <i/>
        <color theme="1"/>
        <sz val="8.0"/>
      </rPr>
      <t>(formerly, ATRKE Philippine Balanced Fund, Inc.)</t>
    </r>
  </si>
  <si>
    <r>
      <rPr>
        <rFont val="Arial"/>
        <color theme="1"/>
        <sz val="8.0"/>
      </rPr>
      <t xml:space="preserve">Solidaritas Fund, Inc. </t>
    </r>
    <r>
      <rPr>
        <rFont val="Arial"/>
        <i/>
        <color theme="1"/>
        <sz val="8.0"/>
      </rPr>
      <t>(formerly, Bahay Pari Solidaritas Fund, Inc.)</t>
    </r>
  </si>
  <si>
    <r>
      <rPr>
        <rFont val="Arial"/>
        <color theme="1"/>
        <sz val="8.0"/>
      </rPr>
      <t xml:space="preserve">ATRAM Corporate Bond Fund, Inc. </t>
    </r>
    <r>
      <rPr>
        <rFont val="Arial"/>
        <i/>
        <color theme="1"/>
        <sz val="8.0"/>
      </rPr>
      <t>(formerly, Prudentialife Fixed Income Fund, Inc.)</t>
    </r>
  </si>
  <si>
    <r>
      <rPr>
        <rFont val="Arial"/>
        <color theme="1"/>
        <sz val="8.0"/>
      </rPr>
      <t xml:space="preserve">ATRAM Total Return Dollar Bond Fund, Inc. </t>
    </r>
    <r>
      <rPr>
        <rFont val="Arial"/>
        <i/>
        <color theme="1"/>
        <sz val="8.0"/>
      </rPr>
      <t>(formerly, ATR KimEng Total Return Bond Fund, Inc.)</t>
    </r>
  </si>
  <si>
    <t>As of the Second Quarter of 2022</t>
  </si>
  <si>
    <r>
      <rPr>
        <rFont val="Arial"/>
        <color theme="1"/>
        <sz val="8.0"/>
      </rPr>
      <t xml:space="preserve">ATRAM Alpha Opportunity Fund, Inc. </t>
    </r>
    <r>
      <rPr>
        <rFont val="Arial"/>
        <i/>
        <color theme="1"/>
        <sz val="8.0"/>
      </rPr>
      <t>(formerly, ATRKE Alpha Opportunity Fund, Inc.)</t>
    </r>
  </si>
  <si>
    <r>
      <rPr>
        <rFont val="Arial"/>
        <color theme="1"/>
        <sz val="8.0"/>
      </rPr>
      <t xml:space="preserve">ATRAM Phil. Equity Opportunity Fund, Inc. </t>
    </r>
    <r>
      <rPr>
        <rFont val="Arial"/>
        <i/>
        <color theme="1"/>
        <sz val="8.0"/>
      </rPr>
      <t>(formerly, ATRKE Equity Opportunity Fund, Inc.)</t>
    </r>
  </si>
  <si>
    <r>
      <rPr>
        <rFont val="Arial"/>
        <color theme="1"/>
        <sz val="8.0"/>
      </rPr>
      <t>First Metro Save and Learn Phil. Index Fund, Inc.</t>
    </r>
    <r>
      <rPr>
        <rFont val="Arial"/>
        <i/>
        <color theme="1"/>
        <sz val="8.0"/>
      </rPr>
      <t xml:space="preserve"> (formerly, One Wealthy Nation Fund, Inc.)</t>
    </r>
  </si>
  <si>
    <r>
      <rPr>
        <rFont val="Arial"/>
        <color theme="1"/>
        <sz val="8.0"/>
      </rPr>
      <t xml:space="preserve">ATRAM AsiaPlus Equity Fund, Inc. </t>
    </r>
    <r>
      <rPr>
        <rFont val="Arial"/>
        <i/>
        <color theme="1"/>
        <sz val="8.0"/>
      </rPr>
      <t>(formerly, ATR KimEng AsiaPlus Recovery Fund, Inc.)</t>
    </r>
  </si>
  <si>
    <r>
      <rPr>
        <rFont val="Arial"/>
        <color theme="1"/>
        <sz val="8.0"/>
      </rPr>
      <t xml:space="preserve">ATRAM Dynamic Allocation Fund, Inc. </t>
    </r>
    <r>
      <rPr>
        <rFont val="Arial"/>
        <i/>
        <color theme="1"/>
        <sz val="8.0"/>
      </rPr>
      <t>(formerly, Optima Balanced Fund, Inc.)</t>
    </r>
  </si>
  <si>
    <r>
      <rPr>
        <rFont val="Arial"/>
        <color theme="1"/>
        <sz val="8.0"/>
      </rPr>
      <t xml:space="preserve">ATRAM Philippine Balanced Fund, Inc. </t>
    </r>
    <r>
      <rPr>
        <rFont val="Arial"/>
        <i/>
        <color theme="1"/>
        <sz val="8.0"/>
      </rPr>
      <t>(formerly, ATRKE Philippine Balanced Fund, Inc.)</t>
    </r>
  </si>
  <si>
    <r>
      <rPr>
        <rFont val="Arial"/>
        <color theme="1"/>
        <sz val="8.0"/>
      </rPr>
      <t xml:space="preserve">Solidaritas Fund, Inc. </t>
    </r>
    <r>
      <rPr>
        <rFont val="Arial"/>
        <i/>
        <color theme="1"/>
        <sz val="8.0"/>
      </rPr>
      <t>(formerly, Bahay Pari Solidaritas Fund, Inc.)</t>
    </r>
  </si>
  <si>
    <r>
      <rPr>
        <rFont val="Arial"/>
        <color theme="1"/>
        <sz val="8.0"/>
      </rPr>
      <t xml:space="preserve">ATRAM Corporate Bond Fund, Inc. </t>
    </r>
    <r>
      <rPr>
        <rFont val="Arial"/>
        <i/>
        <color theme="1"/>
        <sz val="8.0"/>
      </rPr>
      <t>(formerly, Prudentialife Fixed Income Fund, Inc.)</t>
    </r>
  </si>
  <si>
    <r>
      <rPr>
        <rFont val="Arial"/>
        <color theme="1"/>
        <sz val="8.0"/>
      </rPr>
      <t xml:space="preserve">ATRAM Total Return Dollar Bond Fund, Inc. </t>
    </r>
    <r>
      <rPr>
        <rFont val="Arial"/>
        <i/>
        <color theme="1"/>
        <sz val="8.0"/>
      </rPr>
      <t>(formerly, ATR KimEng Total Return Bond Fund, Inc.)</t>
    </r>
  </si>
  <si>
    <t>Month of July 2022</t>
  </si>
  <si>
    <r>
      <rPr>
        <rFont val="Arial"/>
        <color theme="1"/>
        <sz val="8.0"/>
      </rPr>
      <t xml:space="preserve">ATRAM Alpha Opportunity Fund, Inc. </t>
    </r>
    <r>
      <rPr>
        <rFont val="Arial"/>
        <i/>
        <color theme="1"/>
        <sz val="8.0"/>
      </rPr>
      <t>(formerly, ATRKE Alpha Opportunity Fund, Inc.)</t>
    </r>
  </si>
  <si>
    <r>
      <rPr>
        <rFont val="Arial"/>
        <color theme="1"/>
        <sz val="8.0"/>
      </rPr>
      <t xml:space="preserve">ATRAM Phil. Equity Opportunity Fund, Inc. </t>
    </r>
    <r>
      <rPr>
        <rFont val="Arial"/>
        <i/>
        <color theme="1"/>
        <sz val="8.0"/>
      </rPr>
      <t>(formerly, ATRKE Equity Opportunity Fund, Inc.)</t>
    </r>
  </si>
  <si>
    <r>
      <rPr>
        <rFont val="Arial"/>
        <color theme="1"/>
        <sz val="8.0"/>
      </rPr>
      <t>First Metro Save and Learn Phil. Index Fund, Inc.</t>
    </r>
    <r>
      <rPr>
        <rFont val="Arial"/>
        <i/>
        <color theme="1"/>
        <sz val="8.0"/>
      </rPr>
      <t xml:space="preserve"> (formerly, One Wealthy Nation Fund, Inc.)</t>
    </r>
  </si>
  <si>
    <r>
      <rPr>
        <rFont val="Arial"/>
        <color theme="1"/>
        <sz val="8.0"/>
      </rPr>
      <t xml:space="preserve">ATRAM AsiaPlus Equity Fund, Inc. </t>
    </r>
    <r>
      <rPr>
        <rFont val="Arial"/>
        <i/>
        <color theme="1"/>
        <sz val="8.0"/>
      </rPr>
      <t>(formerly, ATR KimEng AsiaPlus Recovery Fund, Inc.)</t>
    </r>
  </si>
  <si>
    <r>
      <rPr>
        <rFont val="Arial"/>
        <color theme="1"/>
        <sz val="8.0"/>
      </rPr>
      <t xml:space="preserve">ATRAM Dynamic Allocation Fund, Inc. </t>
    </r>
    <r>
      <rPr>
        <rFont val="Arial"/>
        <i/>
        <color theme="1"/>
        <sz val="8.0"/>
      </rPr>
      <t>(formerly, Optima Balanced Fund, Inc.)</t>
    </r>
  </si>
  <si>
    <r>
      <rPr>
        <rFont val="Arial"/>
        <color theme="1"/>
        <sz val="8.0"/>
      </rPr>
      <t xml:space="preserve">ATRAM Philippine Balanced Fund, Inc. </t>
    </r>
    <r>
      <rPr>
        <rFont val="Arial"/>
        <i/>
        <color theme="1"/>
        <sz val="8.0"/>
      </rPr>
      <t>(formerly, ATRKE Philippine Balanced Fund, Inc.)</t>
    </r>
  </si>
  <si>
    <r>
      <rPr>
        <rFont val="Arial"/>
        <color theme="1"/>
        <sz val="8.0"/>
      </rPr>
      <t xml:space="preserve">Solidaritas Fund, Inc. </t>
    </r>
    <r>
      <rPr>
        <rFont val="Arial"/>
        <i/>
        <color theme="1"/>
        <sz val="8.0"/>
      </rPr>
      <t>(formerly, Bahay Pari Solidaritas Fund, Inc.)</t>
    </r>
  </si>
  <si>
    <r>
      <rPr>
        <rFont val="Arial"/>
        <color theme="1"/>
        <sz val="8.0"/>
      </rPr>
      <t xml:space="preserve">ATRAM Corporate Bond Fund, Inc. </t>
    </r>
    <r>
      <rPr>
        <rFont val="Arial"/>
        <i/>
        <color theme="1"/>
        <sz val="8.0"/>
      </rPr>
      <t>(formerly, Prudentialife Fixed Income Fund, Inc.)</t>
    </r>
  </si>
  <si>
    <r>
      <rPr>
        <rFont val="Arial"/>
        <color theme="1"/>
        <sz val="8.0"/>
      </rPr>
      <t xml:space="preserve">ATRAM Total Return Dollar Bond Fund, Inc. </t>
    </r>
    <r>
      <rPr>
        <rFont val="Arial"/>
        <i/>
        <color theme="1"/>
        <sz val="8.0"/>
      </rPr>
      <t>(formerly, ATR KimEng Total Return Bond Fund, Inc.)</t>
    </r>
  </si>
  <si>
    <r>
      <rPr>
        <rFont val="Arial"/>
        <color theme="1"/>
        <sz val="8.0"/>
      </rPr>
      <t xml:space="preserve">ATRAM Alpha Opportunity Fund, Inc. </t>
    </r>
    <r>
      <rPr>
        <rFont val="Arial"/>
        <i/>
        <color theme="1"/>
        <sz val="8.0"/>
      </rPr>
      <t>(formerly, ATRKE Alpha Opportunity Fund, Inc.)</t>
    </r>
  </si>
  <si>
    <r>
      <rPr>
        <rFont val="Arial"/>
        <color theme="1"/>
        <sz val="8.0"/>
      </rPr>
      <t xml:space="preserve">ATRAM Phil. Equity Opportunity Fund, Inc. </t>
    </r>
    <r>
      <rPr>
        <rFont val="Arial"/>
        <i/>
        <color theme="1"/>
        <sz val="8.0"/>
      </rPr>
      <t>(formerly, ATRKE Equity Opportunity Fund, Inc.)</t>
    </r>
  </si>
  <si>
    <r>
      <rPr>
        <rFont val="Arial"/>
        <color theme="1"/>
        <sz val="8.0"/>
      </rPr>
      <t>First Metro Save and Learn Phil. Index Fund, Inc.</t>
    </r>
    <r>
      <rPr>
        <rFont val="Arial"/>
        <i/>
        <color theme="1"/>
        <sz val="8.0"/>
      </rPr>
      <t xml:space="preserve"> (formerly, One Wealthy Nation Fund, Inc.)</t>
    </r>
  </si>
  <si>
    <r>
      <rPr>
        <rFont val="Arial"/>
        <color theme="1"/>
        <sz val="8.0"/>
      </rPr>
      <t xml:space="preserve">ATRAM AsiaPlus Equity Fund, Inc. </t>
    </r>
    <r>
      <rPr>
        <rFont val="Arial"/>
        <i/>
        <color theme="1"/>
        <sz val="8.0"/>
      </rPr>
      <t>(formerly, ATR KimEng AsiaPlus Recovery Fund, Inc.)</t>
    </r>
  </si>
  <si>
    <r>
      <rPr>
        <rFont val="Arial"/>
        <color theme="1"/>
        <sz val="8.0"/>
      </rPr>
      <t xml:space="preserve">ATRAM Dynamic Allocation Fund, Inc. </t>
    </r>
    <r>
      <rPr>
        <rFont val="Arial"/>
        <i/>
        <color theme="1"/>
        <sz val="8.0"/>
      </rPr>
      <t>(formerly, Optima Balanced Fund, Inc.)</t>
    </r>
  </si>
  <si>
    <r>
      <rPr>
        <rFont val="Arial"/>
        <color theme="1"/>
        <sz val="8.0"/>
      </rPr>
      <t xml:space="preserve">ATRAM Philippine Balanced Fund, Inc. </t>
    </r>
    <r>
      <rPr>
        <rFont val="Arial"/>
        <i/>
        <color theme="1"/>
        <sz val="8.0"/>
      </rPr>
      <t>(formerly, ATRKE Philippine Balanced Fund, Inc.)</t>
    </r>
  </si>
  <si>
    <r>
      <rPr>
        <rFont val="Arial"/>
        <color theme="1"/>
        <sz val="8.0"/>
      </rPr>
      <t xml:space="preserve">Solidaritas Fund, Inc. </t>
    </r>
    <r>
      <rPr>
        <rFont val="Arial"/>
        <i/>
        <color theme="1"/>
        <sz val="8.0"/>
      </rPr>
      <t>(formerly, Bahay Pari Solidaritas Fund, Inc.)</t>
    </r>
  </si>
  <si>
    <r>
      <rPr>
        <rFont val="Arial"/>
        <color theme="1"/>
        <sz val="8.0"/>
      </rPr>
      <t xml:space="preserve">ATRAM Corporate Bond Fund, Inc. </t>
    </r>
    <r>
      <rPr>
        <rFont val="Arial"/>
        <i/>
        <color theme="1"/>
        <sz val="8.0"/>
      </rPr>
      <t>(formerly, Prudentialife Fixed Income Fund, Inc.)</t>
    </r>
  </si>
  <si>
    <r>
      <rPr>
        <rFont val="Arial"/>
        <color theme="1"/>
        <sz val="8.0"/>
      </rPr>
      <t xml:space="preserve">ATRAM Total Return Dollar Bond Fund, Inc. </t>
    </r>
    <r>
      <rPr>
        <rFont val="Arial"/>
        <i/>
        <color theme="1"/>
        <sz val="8.0"/>
      </rPr>
      <t>(formerly, ATR KimEng Total Return Bond Fund, Inc.)</t>
    </r>
  </si>
  <si>
    <t>Month of August 2022</t>
  </si>
  <si>
    <r>
      <rPr>
        <rFont val="Arial"/>
        <color theme="1"/>
        <sz val="8.0"/>
      </rPr>
      <t xml:space="preserve">ATRAM Alpha Opportunity Fund, Inc. </t>
    </r>
    <r>
      <rPr>
        <rFont val="Arial"/>
        <i/>
        <color theme="1"/>
        <sz val="8.0"/>
      </rPr>
      <t>(formerly, ATRKE Alpha Opportunity Fund, Inc.)</t>
    </r>
  </si>
  <si>
    <r>
      <rPr>
        <rFont val="Arial"/>
        <color theme="1"/>
        <sz val="8.0"/>
      </rPr>
      <t xml:space="preserve">ATRAM Phil. Equity Opportunity Fund, Inc. </t>
    </r>
    <r>
      <rPr>
        <rFont val="Arial"/>
        <i/>
        <color theme="1"/>
        <sz val="8.0"/>
      </rPr>
      <t>(formerly, ATRKE Equity Opportunity Fund, Inc.)</t>
    </r>
  </si>
  <si>
    <r>
      <rPr>
        <rFont val="Arial"/>
        <color theme="1"/>
        <sz val="8.0"/>
      </rPr>
      <t>First Metro Save and Learn Phil. Index Fund, Inc.</t>
    </r>
    <r>
      <rPr>
        <rFont val="Arial"/>
        <i/>
        <color theme="1"/>
        <sz val="8.0"/>
      </rPr>
      <t xml:space="preserve"> (formerly, One Wealthy Nation Fund, Inc.)</t>
    </r>
  </si>
  <si>
    <r>
      <rPr>
        <rFont val="Arial"/>
        <color theme="1"/>
        <sz val="8.0"/>
      </rPr>
      <t xml:space="preserve">ATRAM AsiaPlus Equity Fund, Inc. </t>
    </r>
    <r>
      <rPr>
        <rFont val="Arial"/>
        <i/>
        <color theme="1"/>
        <sz val="8.0"/>
      </rPr>
      <t>(formerly, ATR KimEng AsiaPlus Recovery Fund, Inc.)</t>
    </r>
  </si>
  <si>
    <r>
      <rPr>
        <rFont val="Arial"/>
        <color theme="1"/>
        <sz val="8.0"/>
      </rPr>
      <t xml:space="preserve">ATRAM Dynamic Allocation Fund, Inc. </t>
    </r>
    <r>
      <rPr>
        <rFont val="Arial"/>
        <i/>
        <color theme="1"/>
        <sz val="8.0"/>
      </rPr>
      <t>(formerly, Optima Balanced Fund, Inc.)</t>
    </r>
  </si>
  <si>
    <r>
      <rPr>
        <rFont val="Arial"/>
        <color theme="1"/>
        <sz val="8.0"/>
      </rPr>
      <t xml:space="preserve">ATRAM Philippine Balanced Fund, Inc. </t>
    </r>
    <r>
      <rPr>
        <rFont val="Arial"/>
        <i/>
        <color theme="1"/>
        <sz val="8.0"/>
      </rPr>
      <t>(formerly, ATRKE Philippine Balanced Fund, Inc.)</t>
    </r>
  </si>
  <si>
    <r>
      <rPr>
        <rFont val="Arial"/>
        <color theme="1"/>
        <sz val="8.0"/>
      </rPr>
      <t xml:space="preserve">Solidaritas Fund, Inc. </t>
    </r>
    <r>
      <rPr>
        <rFont val="Arial"/>
        <i/>
        <color theme="1"/>
        <sz val="8.0"/>
      </rPr>
      <t>(formerly, Bahay Pari Solidaritas Fund, Inc.)</t>
    </r>
  </si>
  <si>
    <r>
      <rPr>
        <rFont val="Arial"/>
        <color theme="1"/>
        <sz val="8.0"/>
      </rPr>
      <t xml:space="preserve">ATRAM Corporate Bond Fund, Inc. </t>
    </r>
    <r>
      <rPr>
        <rFont val="Arial"/>
        <i/>
        <color theme="1"/>
        <sz val="8.0"/>
      </rPr>
      <t>(formerly, Prudentialife Fixed Income Fund, Inc.)</t>
    </r>
  </si>
  <si>
    <r>
      <rPr>
        <rFont val="Arial"/>
        <color theme="1"/>
        <sz val="8.0"/>
      </rPr>
      <t xml:space="preserve">ATRAM Total Return Dollar Bond Fund, Inc. </t>
    </r>
    <r>
      <rPr>
        <rFont val="Arial"/>
        <i/>
        <color theme="1"/>
        <sz val="8.0"/>
      </rPr>
      <t>(formerly, ATR KimEng Total Return Bond Fund, Inc.)</t>
    </r>
  </si>
  <si>
    <t>Month of September 2022</t>
  </si>
  <si>
    <r>
      <rPr>
        <rFont val="Arial"/>
        <color theme="1"/>
        <sz val="8.0"/>
      </rPr>
      <t xml:space="preserve">ATRAM Alpha Opportunity Fund, Inc. </t>
    </r>
    <r>
      <rPr>
        <rFont val="Arial"/>
        <i/>
        <color theme="1"/>
        <sz val="8.0"/>
      </rPr>
      <t>(formerly, ATRKE Alpha Opportunity Fund, Inc.)</t>
    </r>
  </si>
  <si>
    <r>
      <rPr>
        <rFont val="Arial"/>
        <color theme="1"/>
        <sz val="8.0"/>
      </rPr>
      <t xml:space="preserve">ATRAM Phil. Equity Opportunity Fund, Inc. </t>
    </r>
    <r>
      <rPr>
        <rFont val="Arial"/>
        <i/>
        <color theme="1"/>
        <sz val="8.0"/>
      </rPr>
      <t>(formerly, ATRKE Equity Opportunity Fund, Inc.)</t>
    </r>
  </si>
  <si>
    <t>First Metro Consumer Fund, Inc. *</t>
  </si>
  <si>
    <r>
      <rPr>
        <rFont val="Arial"/>
        <color theme="1"/>
        <sz val="8.0"/>
      </rPr>
      <t>First Metro Save and Learn Phil. Index Fund, Inc.</t>
    </r>
    <r>
      <rPr>
        <rFont val="Arial"/>
        <i/>
        <color theme="1"/>
        <sz val="8.0"/>
      </rPr>
      <t xml:space="preserve"> (formerly, One Wealthy Nation Fund, Inc.)</t>
    </r>
  </si>
  <si>
    <r>
      <rPr>
        <rFont val="Arial"/>
        <color theme="1"/>
        <sz val="8.0"/>
      </rPr>
      <t xml:space="preserve">ATRAM AsiaPlus Equity Fund, Inc. </t>
    </r>
    <r>
      <rPr>
        <rFont val="Arial"/>
        <i/>
        <color theme="1"/>
        <sz val="8.0"/>
      </rPr>
      <t>(formerly, ATR KimEng AsiaPlus Recovery Fund, Inc.)</t>
    </r>
  </si>
  <si>
    <r>
      <rPr>
        <rFont val="Arial"/>
        <color theme="1"/>
        <sz val="8.0"/>
      </rPr>
      <t xml:space="preserve">ATRAM Dynamic Allocation Fund, Inc. </t>
    </r>
    <r>
      <rPr>
        <rFont val="Arial"/>
        <i/>
        <color theme="1"/>
        <sz val="8.0"/>
      </rPr>
      <t>(formerly, Optima Balanced Fund, Inc.)</t>
    </r>
  </si>
  <si>
    <r>
      <rPr>
        <rFont val="Arial"/>
        <color theme="1"/>
        <sz val="8.0"/>
      </rPr>
      <t xml:space="preserve">ATRAM Philippine Balanced Fund, Inc. </t>
    </r>
    <r>
      <rPr>
        <rFont val="Arial"/>
        <i/>
        <color theme="1"/>
        <sz val="8.0"/>
      </rPr>
      <t>(formerly, ATRKE Philippine Balanced Fund, Inc.)</t>
    </r>
  </si>
  <si>
    <r>
      <rPr>
        <rFont val="Arial"/>
        <color theme="1"/>
        <sz val="8.0"/>
      </rPr>
      <t xml:space="preserve">Solidaritas Fund, Inc. </t>
    </r>
    <r>
      <rPr>
        <rFont val="Arial"/>
        <i/>
        <color theme="1"/>
        <sz val="8.0"/>
      </rPr>
      <t>(formerly, Bahay Pari Solidaritas Fund, Inc.)</t>
    </r>
  </si>
  <si>
    <r>
      <rPr>
        <rFont val="Arial"/>
        <color theme="1"/>
        <sz val="8.0"/>
      </rPr>
      <t xml:space="preserve">ATRAM Corporate Bond Fund, Inc. </t>
    </r>
    <r>
      <rPr>
        <rFont val="Arial"/>
        <i/>
        <color theme="1"/>
        <sz val="8.0"/>
      </rPr>
      <t>(formerly, Prudentialife Fixed Income Fund, Inc.)</t>
    </r>
  </si>
  <si>
    <r>
      <rPr>
        <rFont val="Arial"/>
        <color theme="1"/>
        <sz val="8.0"/>
      </rPr>
      <t xml:space="preserve">ATRAM Total Return Dollar Bond Fund, Inc. </t>
    </r>
    <r>
      <rPr>
        <rFont val="Arial"/>
        <i/>
        <color theme="1"/>
        <sz val="8.0"/>
      </rPr>
      <t>(formerly, ATR KimEng Total Return Bond Fund, Inc.)</t>
    </r>
  </si>
  <si>
    <t>Note:</t>
  </si>
  <si>
    <r>
      <rPr>
        <rFont val="Arial"/>
        <color theme="1"/>
        <sz val="8.0"/>
      </rPr>
      <t xml:space="preserve">   * - Renaming was approved by the SEC last October 14, 2021 </t>
    </r>
    <r>
      <rPr>
        <rFont val="Arial"/>
        <i/>
        <color theme="1"/>
        <sz val="8.0"/>
      </rPr>
      <t>(formerly, First Metro Consumer Fund on MSCI Phils. IMI, Inc.).</t>
    </r>
  </si>
  <si>
    <t>As of the Third Quarter of 2022</t>
  </si>
  <si>
    <r>
      <rPr>
        <rFont val="Arial"/>
        <color theme="1"/>
        <sz val="8.0"/>
      </rPr>
      <t xml:space="preserve">ATRAM Alpha Opportunity Fund, Inc. </t>
    </r>
    <r>
      <rPr>
        <rFont val="Arial"/>
        <i/>
        <color theme="1"/>
        <sz val="8.0"/>
      </rPr>
      <t>(formerly, ATRKE Alpha Opportunity Fund, Inc.)</t>
    </r>
  </si>
  <si>
    <r>
      <rPr>
        <rFont val="Arial"/>
        <color theme="1"/>
        <sz val="8.0"/>
      </rPr>
      <t xml:space="preserve">ATRAM Phil. Equity Opportunity Fund, Inc. </t>
    </r>
    <r>
      <rPr>
        <rFont val="Arial"/>
        <i/>
        <color theme="1"/>
        <sz val="8.0"/>
      </rPr>
      <t>(formerly, ATRKE Equity Opportunity Fund, Inc.)</t>
    </r>
  </si>
  <si>
    <r>
      <rPr>
        <rFont val="Arial"/>
        <color theme="1"/>
        <sz val="8.0"/>
      </rPr>
      <t>First Metro Save and Learn Phil. Index Fund, Inc.</t>
    </r>
    <r>
      <rPr>
        <rFont val="Arial"/>
        <i/>
        <color theme="1"/>
        <sz val="8.0"/>
      </rPr>
      <t xml:space="preserve"> (formerly, One Wealthy Nation Fund, Inc.)</t>
    </r>
  </si>
  <si>
    <r>
      <rPr>
        <rFont val="Arial"/>
        <color theme="1"/>
        <sz val="8.0"/>
      </rPr>
      <t xml:space="preserve">ATRAM AsiaPlus Equity Fund, Inc. </t>
    </r>
    <r>
      <rPr>
        <rFont val="Arial"/>
        <i/>
        <color theme="1"/>
        <sz val="8.0"/>
      </rPr>
      <t>(formerly, ATR KimEng AsiaPlus Recovery Fund, Inc.)</t>
    </r>
  </si>
  <si>
    <r>
      <rPr>
        <rFont val="Arial"/>
        <color theme="1"/>
        <sz val="8.0"/>
      </rPr>
      <t xml:space="preserve">ATRAM Dynamic Allocation Fund, Inc. </t>
    </r>
    <r>
      <rPr>
        <rFont val="Arial"/>
        <i/>
        <color theme="1"/>
        <sz val="8.0"/>
      </rPr>
      <t>(formerly, Optima Balanced Fund, Inc.)</t>
    </r>
  </si>
  <si>
    <r>
      <rPr>
        <rFont val="Arial"/>
        <color theme="1"/>
        <sz val="8.0"/>
      </rPr>
      <t xml:space="preserve">ATRAM Philippine Balanced Fund, Inc. </t>
    </r>
    <r>
      <rPr>
        <rFont val="Arial"/>
        <i/>
        <color theme="1"/>
        <sz val="8.0"/>
      </rPr>
      <t>(formerly, ATRKE Philippine Balanced Fund, Inc.)</t>
    </r>
  </si>
  <si>
    <r>
      <rPr>
        <rFont val="Arial"/>
        <color theme="1"/>
        <sz val="8.0"/>
      </rPr>
      <t xml:space="preserve">Solidaritas Fund, Inc. </t>
    </r>
    <r>
      <rPr>
        <rFont val="Arial"/>
        <i/>
        <color theme="1"/>
        <sz val="8.0"/>
      </rPr>
      <t>(formerly, Bahay Pari Solidaritas Fund, Inc.)</t>
    </r>
  </si>
  <si>
    <r>
      <rPr>
        <rFont val="Arial"/>
        <color theme="1"/>
        <sz val="8.0"/>
      </rPr>
      <t xml:space="preserve">ATRAM Corporate Bond Fund, Inc. </t>
    </r>
    <r>
      <rPr>
        <rFont val="Arial"/>
        <i/>
        <color theme="1"/>
        <sz val="8.0"/>
      </rPr>
      <t>(formerly, Prudentialife Fixed Income Fund, Inc.)</t>
    </r>
  </si>
  <si>
    <r>
      <rPr>
        <rFont val="Arial"/>
        <color theme="1"/>
        <sz val="8.0"/>
      </rPr>
      <t xml:space="preserve">ATRAM Total Return Dollar Bond Fund, Inc. </t>
    </r>
    <r>
      <rPr>
        <rFont val="Arial"/>
        <i/>
        <color theme="1"/>
        <sz val="8.0"/>
      </rPr>
      <t>(formerly, ATR KimEng Total Return Bond Fund, Inc.)</t>
    </r>
  </si>
  <si>
    <r>
      <rPr>
        <rFont val="Arial"/>
        <color theme="1"/>
        <sz val="8.0"/>
      </rPr>
      <t xml:space="preserve">   * - Renaming was approved by the SEC last October 14, 2021 </t>
    </r>
    <r>
      <rPr>
        <rFont val="Arial"/>
        <i/>
        <color theme="1"/>
        <sz val="8.0"/>
      </rPr>
      <t>(formerly, First Metro Consumer Fund on MSCI Phils. IMI, Inc.).</t>
    </r>
  </si>
  <si>
    <t>Month of October 2022</t>
  </si>
  <si>
    <r>
      <rPr>
        <rFont val="Arial"/>
        <color theme="1"/>
        <sz val="8.0"/>
      </rPr>
      <t xml:space="preserve">ATRAM Alpha Opportunity Fund, Inc. </t>
    </r>
    <r>
      <rPr>
        <rFont val="Arial"/>
        <i/>
        <color theme="1"/>
        <sz val="8.0"/>
      </rPr>
      <t>(formerly, ATRKE Alpha Opportunity Fund, Inc.)</t>
    </r>
  </si>
  <si>
    <r>
      <rPr>
        <rFont val="Arial"/>
        <color theme="1"/>
        <sz val="8.0"/>
      </rPr>
      <t xml:space="preserve">ATRAM Phil. Equity Opportunity Fund, Inc. </t>
    </r>
    <r>
      <rPr>
        <rFont val="Arial"/>
        <i/>
        <color theme="1"/>
        <sz val="8.0"/>
      </rPr>
      <t>(formerly, ATRKE Equity Opportunity Fund, Inc.)</t>
    </r>
  </si>
  <si>
    <t>First Metro Consumer Fund, Inc.</t>
  </si>
  <si>
    <r>
      <rPr>
        <rFont val="Arial"/>
        <color theme="1"/>
        <sz val="8.0"/>
      </rPr>
      <t>First Metro Save and Learn Phil. Index Fund, Inc.</t>
    </r>
    <r>
      <rPr>
        <rFont val="Arial"/>
        <i/>
        <color theme="1"/>
        <sz val="8.0"/>
      </rPr>
      <t xml:space="preserve"> (formerly, One Wealthy Nation Fund, Inc.)</t>
    </r>
  </si>
  <si>
    <t>COL Equity Index Unitized Mutual Fund, Inc. *</t>
  </si>
  <si>
    <r>
      <rPr>
        <rFont val="Arial"/>
        <color theme="1"/>
        <sz val="8.0"/>
      </rPr>
      <t xml:space="preserve">ATRAM AsiaPlus Equity Fund, Inc. </t>
    </r>
    <r>
      <rPr>
        <rFont val="Arial"/>
        <i/>
        <color theme="1"/>
        <sz val="8.0"/>
      </rPr>
      <t>(formerly, ATR KimEng AsiaPlus Recovery Fund, Inc.)</t>
    </r>
  </si>
  <si>
    <r>
      <rPr>
        <rFont val="Arial"/>
        <color theme="1"/>
        <sz val="8.0"/>
      </rPr>
      <t xml:space="preserve">ATRAM Dynamic Allocation Fund, Inc. </t>
    </r>
    <r>
      <rPr>
        <rFont val="Arial"/>
        <i/>
        <color theme="1"/>
        <sz val="8.0"/>
      </rPr>
      <t>(formerly, Optima Balanced Fund, Inc.)</t>
    </r>
  </si>
  <si>
    <r>
      <rPr>
        <rFont val="Arial"/>
        <color theme="1"/>
        <sz val="8.0"/>
      </rPr>
      <t xml:space="preserve">ATRAM Philippine Balanced Fund, Inc. </t>
    </r>
    <r>
      <rPr>
        <rFont val="Arial"/>
        <i/>
        <color theme="1"/>
        <sz val="8.0"/>
      </rPr>
      <t>(formerly, ATRKE Philippine Balanced Fund, Inc.)</t>
    </r>
  </si>
  <si>
    <r>
      <rPr>
        <rFont val="Arial"/>
        <color theme="1"/>
        <sz val="8.0"/>
      </rPr>
      <t xml:space="preserve">Solidaritas Fund, Inc. </t>
    </r>
    <r>
      <rPr>
        <rFont val="Arial"/>
        <i/>
        <color theme="1"/>
        <sz val="8.0"/>
      </rPr>
      <t>(formerly, Bahay Pari Solidaritas Fund, Inc.)</t>
    </r>
  </si>
  <si>
    <r>
      <rPr>
        <rFont val="Arial"/>
        <color theme="1"/>
        <sz val="8.0"/>
      </rPr>
      <t xml:space="preserve">ATRAM Corporate Bond Fund, Inc. </t>
    </r>
    <r>
      <rPr>
        <rFont val="Arial"/>
        <i/>
        <color theme="1"/>
        <sz val="8.0"/>
      </rPr>
      <t>(formerly, Prudentialife Fixed Income Fund, Inc.)</t>
    </r>
  </si>
  <si>
    <r>
      <rPr>
        <rFont val="Arial"/>
        <color theme="1"/>
        <sz val="8.0"/>
      </rPr>
      <t xml:space="preserve">ATRAM Total Return Dollar Bond Fund, Inc. </t>
    </r>
    <r>
      <rPr>
        <rFont val="Arial"/>
        <i/>
        <color theme="1"/>
        <sz val="8.0"/>
      </rPr>
      <t>(formerly, ATR KimEng Total Return Bond Fund, Inc.)</t>
    </r>
  </si>
  <si>
    <t xml:space="preserve"> * - Its membership in PIFA was approved by the Board of Trustees last October 3, 2022.</t>
  </si>
  <si>
    <t>Month of November 2022</t>
  </si>
  <si>
    <r>
      <rPr>
        <rFont val="Arial"/>
        <color theme="1"/>
        <sz val="8.0"/>
      </rPr>
      <t xml:space="preserve">ATRAM Alpha Opportunity Fund, Inc. </t>
    </r>
    <r>
      <rPr>
        <rFont val="Arial"/>
        <i/>
        <color theme="1"/>
        <sz val="8.0"/>
      </rPr>
      <t>(formerly, ATRKE Alpha Opportunity Fund, Inc.)</t>
    </r>
  </si>
  <si>
    <r>
      <rPr>
        <rFont val="Arial"/>
        <color theme="1"/>
        <sz val="8.0"/>
      </rPr>
      <t xml:space="preserve">ATRAM Phil. Equity Opportunity Fund, Inc. </t>
    </r>
    <r>
      <rPr>
        <rFont val="Arial"/>
        <i/>
        <color theme="1"/>
        <sz val="8.0"/>
      </rPr>
      <t>(formerly, ATRKE Equity Opportunity Fund, Inc.)</t>
    </r>
  </si>
  <si>
    <r>
      <rPr>
        <rFont val="Arial"/>
        <color theme="1"/>
        <sz val="8.0"/>
      </rPr>
      <t>First Metro Save and Learn Phil. Index Fund, Inc.</t>
    </r>
    <r>
      <rPr>
        <rFont val="Arial"/>
        <i/>
        <color theme="1"/>
        <sz val="8.0"/>
      </rPr>
      <t xml:space="preserve"> (formerly, One Wealthy Nation Fund, Inc.)</t>
    </r>
  </si>
  <si>
    <t>COL Equity Index Unitized Mutual Fund, Inc.</t>
  </si>
  <si>
    <r>
      <rPr>
        <rFont val="Arial"/>
        <color theme="1"/>
        <sz val="8.0"/>
      </rPr>
      <t xml:space="preserve">ATRAM AsiaPlus Equity Fund, Inc. </t>
    </r>
    <r>
      <rPr>
        <rFont val="Arial"/>
        <i/>
        <color theme="1"/>
        <sz val="8.0"/>
      </rPr>
      <t>(formerly, ATR KimEng AsiaPlus Recovery Fund, Inc.)</t>
    </r>
  </si>
  <si>
    <r>
      <rPr>
        <rFont val="Arial"/>
        <color theme="1"/>
        <sz val="8.0"/>
      </rPr>
      <t xml:space="preserve">ATRAM Dynamic Allocation Fund, Inc. </t>
    </r>
    <r>
      <rPr>
        <rFont val="Arial"/>
        <i/>
        <color theme="1"/>
        <sz val="8.0"/>
      </rPr>
      <t>(formerly, Optima Balanced Fund, Inc.)</t>
    </r>
  </si>
  <si>
    <r>
      <rPr>
        <rFont val="Arial"/>
        <color theme="1"/>
        <sz val="8.0"/>
      </rPr>
      <t xml:space="preserve">ATRAM Philippine Balanced Fund, Inc. </t>
    </r>
    <r>
      <rPr>
        <rFont val="Arial"/>
        <i/>
        <color theme="1"/>
        <sz val="8.0"/>
      </rPr>
      <t>(formerly, ATRKE Philippine Balanced Fund, Inc.)</t>
    </r>
  </si>
  <si>
    <r>
      <rPr>
        <rFont val="Arial"/>
        <color theme="1"/>
        <sz val="8.0"/>
      </rPr>
      <t xml:space="preserve">Solidaritas Fund, Inc. </t>
    </r>
    <r>
      <rPr>
        <rFont val="Arial"/>
        <i/>
        <color theme="1"/>
        <sz val="8.0"/>
      </rPr>
      <t>(formerly, Bahay Pari Solidaritas Fund, Inc.)</t>
    </r>
  </si>
  <si>
    <r>
      <rPr>
        <rFont val="Arial"/>
        <color theme="1"/>
        <sz val="8.0"/>
      </rPr>
      <t xml:space="preserve">ATRAM Corporate Bond Fund, Inc. </t>
    </r>
    <r>
      <rPr>
        <rFont val="Arial"/>
        <i/>
        <color theme="1"/>
        <sz val="8.0"/>
      </rPr>
      <t>(formerly, Prudentialife Fixed Income Fund, Inc.)</t>
    </r>
  </si>
  <si>
    <r>
      <rPr>
        <rFont val="Arial"/>
        <color theme="1"/>
        <sz val="8.0"/>
      </rPr>
      <t xml:space="preserve">ATRAM Total Return Dollar Bond Fund, Inc. </t>
    </r>
    <r>
      <rPr>
        <rFont val="Arial"/>
        <i/>
        <color theme="1"/>
        <sz val="8.0"/>
      </rPr>
      <t>(formerly, ATR KimEng Total Return Bond Fund, Inc.)</t>
    </r>
  </si>
  <si>
    <t>Month of December 2022</t>
  </si>
  <si>
    <r>
      <rPr>
        <rFont val="Arial"/>
        <color theme="1"/>
        <sz val="8.0"/>
      </rPr>
      <t xml:space="preserve">ATRAM Alpha Opportunity Fund, Inc. </t>
    </r>
    <r>
      <rPr>
        <rFont val="Arial"/>
        <i/>
        <color theme="1"/>
        <sz val="8.0"/>
      </rPr>
      <t>(formerly, ATRKE Alpha Opportunity Fund, Inc.)</t>
    </r>
  </si>
  <si>
    <r>
      <rPr>
        <rFont val="Arial"/>
        <color theme="1"/>
        <sz val="8.0"/>
      </rPr>
      <t xml:space="preserve">ATRAM Phil. Equity Opportunity Fund, Inc. </t>
    </r>
    <r>
      <rPr>
        <rFont val="Arial"/>
        <i/>
        <color theme="1"/>
        <sz val="8.0"/>
      </rPr>
      <t>(formerly, ATRKE Equity Opportunity Fund, Inc.)</t>
    </r>
  </si>
  <si>
    <r>
      <rPr>
        <rFont val="Arial"/>
        <color theme="1"/>
        <sz val="8.0"/>
      </rPr>
      <t>First Metro Save and Learn Phil. Index Fund, Inc.</t>
    </r>
    <r>
      <rPr>
        <rFont val="Arial"/>
        <i/>
        <color theme="1"/>
        <sz val="8.0"/>
      </rPr>
      <t xml:space="preserve"> (formerly, One Wealthy Nation Fund, Inc.)</t>
    </r>
  </si>
  <si>
    <r>
      <rPr>
        <rFont val="Arial"/>
        <color theme="1"/>
        <sz val="8.0"/>
      </rPr>
      <t xml:space="preserve">ATRAM AsiaPlus Equity Fund, Inc. </t>
    </r>
    <r>
      <rPr>
        <rFont val="Arial"/>
        <i/>
        <color theme="1"/>
        <sz val="8.0"/>
      </rPr>
      <t>(formerly, ATR KimEng AsiaPlus Recovery Fund, Inc.)</t>
    </r>
  </si>
  <si>
    <r>
      <rPr>
        <rFont val="Arial"/>
        <color theme="1"/>
        <sz val="8.0"/>
      </rPr>
      <t xml:space="preserve">ATRAM Dynamic Allocation Fund, Inc. </t>
    </r>
    <r>
      <rPr>
        <rFont val="Arial"/>
        <i/>
        <color theme="1"/>
        <sz val="8.0"/>
      </rPr>
      <t>(formerly, Optima Balanced Fund, Inc.)</t>
    </r>
  </si>
  <si>
    <r>
      <rPr>
        <rFont val="Arial"/>
        <color theme="1"/>
        <sz val="8.0"/>
      </rPr>
      <t xml:space="preserve">ATRAM Philippine Balanced Fund, Inc. </t>
    </r>
    <r>
      <rPr>
        <rFont val="Arial"/>
        <i/>
        <color theme="1"/>
        <sz val="8.0"/>
      </rPr>
      <t>(formerly, ATRKE Philippine Balanced Fund, Inc.)</t>
    </r>
  </si>
  <si>
    <r>
      <rPr>
        <rFont val="Arial"/>
        <color theme="1"/>
        <sz val="8.0"/>
      </rPr>
      <t xml:space="preserve">Solidaritas Fund, Inc. </t>
    </r>
    <r>
      <rPr>
        <rFont val="Arial"/>
        <i/>
        <color theme="1"/>
        <sz val="8.0"/>
      </rPr>
      <t>(formerly, Bahay Pari Solidaritas Fund, Inc.)</t>
    </r>
  </si>
  <si>
    <r>
      <rPr>
        <rFont val="Arial"/>
        <color theme="1"/>
        <sz val="8.0"/>
      </rPr>
      <t xml:space="preserve">ATRAM Corporate Bond Fund, Inc. </t>
    </r>
    <r>
      <rPr>
        <rFont val="Arial"/>
        <i/>
        <color theme="1"/>
        <sz val="8.0"/>
      </rPr>
      <t>(formerly, Prudentialife Fixed Income Fund, Inc.)</t>
    </r>
  </si>
  <si>
    <r>
      <rPr>
        <rFont val="Arial"/>
        <color theme="1"/>
        <sz val="8.0"/>
      </rPr>
      <t xml:space="preserve">ATRAM Total Return Dollar Bond Fund, Inc. </t>
    </r>
    <r>
      <rPr>
        <rFont val="Arial"/>
        <i/>
        <color theme="1"/>
        <sz val="8.0"/>
      </rPr>
      <t>(formerly, ATR KimEng Total Return Bond Fund, Inc.)</t>
    </r>
  </si>
  <si>
    <t>As of the Fourth Quarter of 2022</t>
  </si>
  <si>
    <r>
      <rPr>
        <rFont val="Arial"/>
        <color theme="1"/>
        <sz val="8.0"/>
      </rPr>
      <t xml:space="preserve">ATRAM Alpha Opportunity Fund, Inc. </t>
    </r>
    <r>
      <rPr>
        <rFont val="Arial"/>
        <i/>
        <color theme="1"/>
        <sz val="8.0"/>
      </rPr>
      <t>(formerly, ATRKE Alpha Opportunity Fund, Inc.)</t>
    </r>
  </si>
  <si>
    <r>
      <rPr>
        <rFont val="Arial"/>
        <color theme="1"/>
        <sz val="8.0"/>
      </rPr>
      <t xml:space="preserve">ATRAM Phil. Equity Opportunity Fund, Inc. </t>
    </r>
    <r>
      <rPr>
        <rFont val="Arial"/>
        <i/>
        <color theme="1"/>
        <sz val="8.0"/>
      </rPr>
      <t>(formerly, ATRKE Equity Opportunity Fund, Inc.)</t>
    </r>
  </si>
  <si>
    <r>
      <rPr>
        <rFont val="Arial"/>
        <color theme="1"/>
        <sz val="8.0"/>
      </rPr>
      <t>First Metro Save and Learn Phil. Index Fund, Inc.</t>
    </r>
    <r>
      <rPr>
        <rFont val="Arial"/>
        <i/>
        <color theme="1"/>
        <sz val="8.0"/>
      </rPr>
      <t xml:space="preserve"> (formerly, One Wealthy Nation Fund, Inc.)</t>
    </r>
  </si>
  <si>
    <r>
      <rPr>
        <rFont val="Arial"/>
        <color theme="1"/>
        <sz val="8.0"/>
      </rPr>
      <t xml:space="preserve">ATRAM AsiaPlus Equity Fund, Inc. </t>
    </r>
    <r>
      <rPr>
        <rFont val="Arial"/>
        <i/>
        <color theme="1"/>
        <sz val="8.0"/>
      </rPr>
      <t>(formerly, ATR KimEng AsiaPlus Recovery Fund, Inc.)</t>
    </r>
  </si>
  <si>
    <r>
      <rPr>
        <rFont val="Arial"/>
        <color theme="1"/>
        <sz val="8.0"/>
      </rPr>
      <t xml:space="preserve">ATRAM Dynamic Allocation Fund, Inc. </t>
    </r>
    <r>
      <rPr>
        <rFont val="Arial"/>
        <i/>
        <color theme="1"/>
        <sz val="8.0"/>
      </rPr>
      <t>(formerly, Optima Balanced Fund, Inc.)</t>
    </r>
  </si>
  <si>
    <r>
      <rPr>
        <rFont val="Arial"/>
        <color theme="1"/>
        <sz val="8.0"/>
      </rPr>
      <t xml:space="preserve">ATRAM Philippine Balanced Fund, Inc. </t>
    </r>
    <r>
      <rPr>
        <rFont val="Arial"/>
        <i/>
        <color theme="1"/>
        <sz val="8.0"/>
      </rPr>
      <t>(formerly, ATRKE Philippine Balanced Fund, Inc.)</t>
    </r>
  </si>
  <si>
    <r>
      <rPr>
        <rFont val="Arial"/>
        <color theme="1"/>
        <sz val="8.0"/>
      </rPr>
      <t xml:space="preserve">Solidaritas Fund, Inc. </t>
    </r>
    <r>
      <rPr>
        <rFont val="Arial"/>
        <i/>
        <color theme="1"/>
        <sz val="8.0"/>
      </rPr>
      <t>(formerly, Bahay Pari Solidaritas Fund, Inc.)</t>
    </r>
  </si>
  <si>
    <r>
      <rPr>
        <rFont val="Arial"/>
        <color theme="1"/>
        <sz val="8.0"/>
      </rPr>
      <t xml:space="preserve">ATRAM Corporate Bond Fund, Inc. </t>
    </r>
    <r>
      <rPr>
        <rFont val="Arial"/>
        <i/>
        <color theme="1"/>
        <sz val="8.0"/>
      </rPr>
      <t>(formerly, Prudentialife Fixed Income Fund, Inc.)</t>
    </r>
  </si>
  <si>
    <r>
      <rPr>
        <rFont val="Arial"/>
        <color theme="1"/>
        <sz val="8.0"/>
      </rPr>
      <t xml:space="preserve">ATRAM Total Return Dollar Bond Fund, Inc. </t>
    </r>
    <r>
      <rPr>
        <rFont val="Arial"/>
        <i/>
        <color theme="1"/>
        <sz val="8.0"/>
      </rPr>
      <t>(formerly, ATR KimEng Total Return Bond Fund, Inc.)</t>
    </r>
  </si>
  <si>
    <t>ASSET UNDER MANAGEMENT</t>
  </si>
  <si>
    <t>No.</t>
  </si>
  <si>
    <t>Company</t>
  </si>
  <si>
    <t>No. of Funds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</si>
  <si>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</si>
  <si>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</si>
  <si>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</si>
  <si>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</si>
  <si>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</si>
  <si>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</si>
  <si>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</si>
  <si>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</si>
  <si>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</si>
  <si>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</si>
  <si>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</si>
  <si>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</si>
  <si>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ATRAM</t>
  </si>
  <si>
    <t>BIMI</t>
  </si>
  <si>
    <t>CAMCI</t>
  </si>
  <si>
    <t>CIMAC</t>
  </si>
  <si>
    <t>CMI</t>
  </si>
  <si>
    <t>FAMI</t>
  </si>
  <si>
    <t>MBG</t>
  </si>
  <si>
    <t>NCM MF</t>
  </si>
  <si>
    <t>PEMI</t>
  </si>
  <si>
    <t>SLAMCI</t>
  </si>
  <si>
    <t>GRAND TOTALS</t>
  </si>
  <si>
    <t>YEAR-TO-DATE NET SALES</t>
  </si>
  <si>
    <t>Total Sales</t>
  </si>
  <si>
    <t>Total Redemptions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</si>
</sst>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#,##0.0_);\(#,##0.0\)"/>
    <numFmt numFmtId="166" formatCode="_(* #,##0.00_);_(* \(#,##0.00\);_(* &quot;-&quot;??_);_(@_)"/>
    <numFmt numFmtId="167" formatCode="_(* #,##0.0_);_(* \(#,##0.0\);_(* &quot;-&quot;??_);_(@_)"/>
    <numFmt numFmtId="168" formatCode="_(* #,##0.000_);_(* \(#,##0.000\);_(* &quot;-&quot;??_);_(@_)"/>
  </numFmts>
  <fonts count="8">
    <font>
      <sz val="10.0"/>
      <color rgb="FF000000"/>
      <name val="Arial"/>
      <scheme val="minor"/>
    </font>
    <font>
      <b/>
      <sz val="8.0"/>
      <color theme="1"/>
      <name val="Arial"/>
    </font>
    <font>
      <sz val="8.0"/>
      <color theme="1"/>
      <name val="Arial"/>
    </font>
    <font/>
    <font>
      <i/>
      <sz val="8.0"/>
      <color theme="1"/>
      <name val="Arial"/>
    </font>
    <font>
      <b/>
      <i/>
      <sz val="8.0"/>
      <color theme="1"/>
      <name val="Arial"/>
    </font>
    <font>
      <b/>
      <sz val="10.0"/>
      <color theme="1"/>
      <name val="Arial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D99594"/>
        <bgColor rgb="FFD99594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39" xfId="0" applyFont="1" applyNumberFormat="1"/>
    <xf borderId="0" fillId="0" fontId="2" numFmtId="0" xfId="0" applyAlignment="1" applyFont="1">
      <alignment horizontal="center"/>
    </xf>
    <xf borderId="0" fillId="0" fontId="2" numFmtId="39" xfId="0" applyFont="1" applyNumberFormat="1"/>
    <xf borderId="0" fillId="0" fontId="2" numFmtId="164" xfId="0" applyFont="1" applyNumberFormat="1"/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right"/>
    </xf>
    <xf borderId="0" fillId="0" fontId="1" numFmtId="164" xfId="0" applyFont="1" applyNumberFormat="1"/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right"/>
    </xf>
    <xf borderId="1" fillId="2" fontId="1" numFmtId="164" xfId="0" applyAlignment="1" applyBorder="1" applyFill="1" applyFont="1" applyNumberForma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1" numFmtId="39" xfId="0" applyAlignment="1" applyBorder="1" applyFont="1" applyNumberFormat="1">
      <alignment horizontal="left"/>
    </xf>
    <xf borderId="4" fillId="2" fontId="2" numFmtId="0" xfId="0" applyAlignment="1" applyBorder="1" applyFont="1">
      <alignment horizontal="center"/>
    </xf>
    <xf borderId="4" fillId="2" fontId="1" numFmtId="39" xfId="0" applyAlignment="1" applyBorder="1" applyFont="1" applyNumberFormat="1">
      <alignment horizontal="center"/>
    </xf>
    <xf borderId="4" fillId="2" fontId="1" numFmtId="164" xfId="0" applyAlignment="1" applyBorder="1" applyFont="1" applyNumberFormat="1">
      <alignment horizontal="center"/>
    </xf>
    <xf borderId="0" fillId="0" fontId="1" numFmtId="39" xfId="0" applyAlignment="1" applyFont="1" applyNumberFormat="1">
      <alignment horizontal="center"/>
    </xf>
    <xf borderId="0" fillId="0" fontId="4" numFmtId="39" xfId="0" applyFont="1" applyNumberFormat="1"/>
    <xf borderId="0" fillId="0" fontId="2" numFmtId="165" xfId="0" applyFont="1" applyNumberFormat="1"/>
    <xf borderId="0" fillId="0" fontId="2" numFmtId="39" xfId="0" applyAlignment="1" applyFont="1" applyNumberFormat="1">
      <alignment horizontal="right"/>
    </xf>
    <xf borderId="0" fillId="0" fontId="2" numFmtId="39" xfId="0" applyAlignment="1" applyFont="1" applyNumberFormat="1">
      <alignment horizontal="left"/>
    </xf>
    <xf borderId="0" fillId="0" fontId="5" numFmtId="39" xfId="0" applyFont="1" applyNumberFormat="1"/>
    <xf borderId="0" fillId="0" fontId="1" numFmtId="0" xfId="0" applyAlignment="1" applyFont="1">
      <alignment horizontal="center"/>
    </xf>
    <xf borderId="5" fillId="0" fontId="1" numFmtId="164" xfId="0" applyAlignment="1" applyBorder="1" applyFont="1" applyNumberFormat="1">
      <alignment horizontal="right"/>
    </xf>
    <xf borderId="5" fillId="0" fontId="1" numFmtId="164" xfId="0" applyAlignment="1" applyBorder="1" applyFont="1" applyNumberFormat="1">
      <alignment horizontal="center"/>
    </xf>
    <xf borderId="5" fillId="0" fontId="1" numFmtId="164" xfId="0" applyBorder="1" applyFont="1" applyNumberFormat="1"/>
    <xf borderId="0" fillId="0" fontId="2" numFmtId="166" xfId="0" applyAlignment="1" applyFont="1" applyNumberFormat="1">
      <alignment horizontal="right"/>
    </xf>
    <xf borderId="0" fillId="0" fontId="2" numFmtId="164" xfId="0" applyAlignment="1" applyFont="1" applyNumberFormat="1">
      <alignment horizontal="right" shrinkToFit="0" wrapText="1"/>
    </xf>
    <xf borderId="0" fillId="0" fontId="1" numFmtId="0" xfId="0" applyFont="1"/>
    <xf borderId="0" fillId="0" fontId="2" numFmtId="0" xfId="0" applyFont="1"/>
    <xf borderId="0" fillId="0" fontId="1" numFmtId="37" xfId="0" applyAlignment="1" applyFont="1" applyNumberFormat="1">
      <alignment horizontal="center"/>
    </xf>
    <xf borderId="4" fillId="2" fontId="1" numFmtId="39" xfId="0" applyBorder="1" applyFont="1" applyNumberFormat="1"/>
    <xf borderId="4" fillId="2" fontId="1" numFmtId="0" xfId="0" applyAlignment="1" applyBorder="1" applyFont="1">
      <alignment horizontal="center"/>
    </xf>
    <xf borderId="4" fillId="2" fontId="6" numFmtId="0" xfId="0" applyBorder="1" applyFont="1"/>
    <xf borderId="6" fillId="2" fontId="1" numFmtId="164" xfId="0" applyAlignment="1" applyBorder="1" applyFont="1" applyNumberFormat="1">
      <alignment horizontal="right"/>
    </xf>
    <xf borderId="0" fillId="0" fontId="7" numFmtId="0" xfId="0" applyFont="1"/>
    <xf borderId="0" fillId="0" fontId="2" numFmtId="4" xfId="0" applyFont="1" applyNumberFormat="1"/>
    <xf borderId="0" fillId="0" fontId="2" numFmtId="4" xfId="0" applyAlignment="1" applyFont="1" applyNumberFormat="1">
      <alignment horizontal="right"/>
    </xf>
    <xf borderId="0" fillId="0" fontId="2" numFmtId="37" xfId="0" applyFont="1" applyNumberFormat="1"/>
    <xf borderId="0" fillId="0" fontId="2" numFmtId="4" xfId="0" applyAlignment="1" applyFont="1" applyNumberFormat="1">
      <alignment horizontal="center"/>
    </xf>
    <xf borderId="0" fillId="0" fontId="2" numFmtId="37" xfId="0" applyAlignment="1" applyFont="1" applyNumberFormat="1">
      <alignment horizontal="center"/>
    </xf>
    <xf borderId="0" fillId="0" fontId="1" numFmtId="4" xfId="0" applyFont="1" applyNumberFormat="1"/>
    <xf borderId="0" fillId="0" fontId="1" numFmtId="4" xfId="0" applyAlignment="1" applyFont="1" applyNumberFormat="1">
      <alignment horizontal="right"/>
    </xf>
    <xf borderId="0" fillId="0" fontId="1" numFmtId="4" xfId="0" applyAlignment="1" applyFont="1" applyNumberFormat="1">
      <alignment horizontal="center"/>
    </xf>
    <xf borderId="4" fillId="3" fontId="1" numFmtId="39" xfId="0" applyAlignment="1" applyBorder="1" applyFill="1" applyFont="1" applyNumberFormat="1">
      <alignment horizontal="left"/>
    </xf>
    <xf borderId="4" fillId="3" fontId="2" numFmtId="0" xfId="0" applyAlignment="1" applyBorder="1" applyFont="1">
      <alignment horizontal="center"/>
    </xf>
    <xf borderId="4" fillId="3" fontId="1" numFmtId="39" xfId="0" applyAlignment="1" applyBorder="1" applyFont="1" applyNumberFormat="1">
      <alignment horizontal="center"/>
    </xf>
    <xf borderId="4" fillId="3" fontId="1" numFmtId="4" xfId="0" applyAlignment="1" applyBorder="1" applyFont="1" applyNumberFormat="1">
      <alignment horizontal="center"/>
    </xf>
    <xf borderId="4" fillId="3" fontId="1" numFmtId="37" xfId="0" applyAlignment="1" applyBorder="1" applyFont="1" applyNumberFormat="1">
      <alignment horizontal="center"/>
    </xf>
    <xf borderId="0" fillId="0" fontId="2" numFmtId="167" xfId="0" applyAlignment="1" applyFont="1" applyNumberFormat="1">
      <alignment horizontal="right"/>
    </xf>
    <xf borderId="0" fillId="0" fontId="2" numFmtId="167" xfId="0" applyFont="1" applyNumberFormat="1"/>
    <xf borderId="4" fillId="4" fontId="2" numFmtId="165" xfId="0" applyBorder="1" applyFill="1" applyFont="1" applyNumberFormat="1"/>
    <xf borderId="4" fillId="4" fontId="2" numFmtId="164" xfId="0" applyAlignment="1" applyBorder="1" applyFont="1" applyNumberFormat="1">
      <alignment horizontal="center"/>
    </xf>
    <xf borderId="4" fillId="4" fontId="2" numFmtId="39" xfId="0" applyBorder="1" applyFont="1" applyNumberFormat="1"/>
    <xf borderId="4" fillId="5" fontId="2" numFmtId="39" xfId="0" applyBorder="1" applyFill="1" applyFont="1" applyNumberFormat="1"/>
    <xf borderId="4" fillId="5" fontId="2" numFmtId="0" xfId="0" applyAlignment="1" applyBorder="1" applyFont="1">
      <alignment horizontal="center"/>
    </xf>
    <xf borderId="4" fillId="5" fontId="2" numFmtId="164" xfId="0" applyAlignment="1" applyBorder="1" applyFont="1" applyNumberFormat="1">
      <alignment horizontal="right"/>
    </xf>
    <xf borderId="4" fillId="5" fontId="2" numFmtId="164" xfId="0" applyAlignment="1" applyBorder="1" applyFont="1" applyNumberFormat="1">
      <alignment horizontal="center"/>
    </xf>
    <xf borderId="4" fillId="5" fontId="2" numFmtId="164" xfId="0" applyBorder="1" applyFont="1" applyNumberFormat="1"/>
    <xf quotePrefix="1" borderId="0" fillId="0" fontId="2" numFmtId="0" xfId="0" applyFont="1"/>
    <xf borderId="0" fillId="0" fontId="6" numFmtId="39" xfId="0" applyFont="1" applyNumberFormat="1"/>
    <xf borderId="0" fillId="0" fontId="6" numFmtId="0" xfId="0" applyAlignment="1" applyFont="1">
      <alignment horizontal="left"/>
    </xf>
    <xf borderId="7" fillId="6" fontId="6" numFmtId="0" xfId="0" applyAlignment="1" applyBorder="1" applyFill="1" applyFont="1">
      <alignment horizontal="center" shrinkToFit="0" vertical="center" wrapText="1"/>
    </xf>
    <xf borderId="8" fillId="6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7" fillId="0" fontId="7" numFmtId="0" xfId="0" applyAlignment="1" applyBorder="1" applyFont="1">
      <alignment horizontal="center"/>
    </xf>
    <xf borderId="7" fillId="0" fontId="7" numFmtId="0" xfId="0" applyAlignment="1" applyBorder="1" applyFont="1">
      <alignment shrinkToFit="0" vertical="center" wrapText="1"/>
    </xf>
    <xf borderId="7" fillId="0" fontId="7" numFmtId="3" xfId="0" applyBorder="1" applyFont="1" applyNumberFormat="1"/>
    <xf borderId="7" fillId="0" fontId="7" numFmtId="37" xfId="0" applyBorder="1" applyFont="1" applyNumberFormat="1"/>
    <xf borderId="7" fillId="0" fontId="7" numFmtId="0" xfId="0" applyBorder="1" applyFont="1"/>
    <xf borderId="0" fillId="0" fontId="7" numFmtId="0" xfId="0" applyAlignment="1" applyFont="1">
      <alignment horizontal="center"/>
    </xf>
    <xf borderId="0" fillId="0" fontId="7" numFmtId="3" xfId="0" applyFont="1" applyNumberFormat="1"/>
    <xf borderId="0" fillId="0" fontId="6" numFmtId="0" xfId="0" applyAlignment="1" applyFont="1">
      <alignment horizontal="center"/>
    </xf>
    <xf borderId="9" fillId="0" fontId="6" numFmtId="0" xfId="0" applyAlignment="1" applyBorder="1" applyFont="1">
      <alignment horizontal="center"/>
    </xf>
    <xf borderId="9" fillId="0" fontId="6" numFmtId="3" xfId="0" applyBorder="1" applyFont="1" applyNumberFormat="1"/>
    <xf borderId="0" fillId="0" fontId="7" numFmtId="166" xfId="0" applyFont="1" applyNumberFormat="1"/>
    <xf borderId="0" fillId="0" fontId="7" numFmtId="168" xfId="0" applyFont="1" applyNumberFormat="1"/>
    <xf borderId="0" fillId="0" fontId="6" numFmtId="0" xfId="0" applyFont="1"/>
    <xf borderId="7" fillId="7" fontId="6" numFmtId="0" xfId="0" applyAlignment="1" applyBorder="1" applyFill="1" applyFont="1">
      <alignment horizontal="center" shrinkToFit="0" vertical="center" wrapText="1"/>
    </xf>
    <xf borderId="8" fillId="7" fontId="6" numFmtId="0" xfId="0" applyAlignment="1" applyBorder="1" applyFont="1">
      <alignment horizontal="center" shrinkToFit="0" vertical="center" wrapText="1"/>
    </xf>
    <xf borderId="7" fillId="0" fontId="6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0"/>
    <col customWidth="1" min="9" max="9" width="13.5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2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5.51798916516E9</v>
      </c>
      <c r="E9" s="6">
        <v>1.738684082E7</v>
      </c>
      <c r="F9" s="6">
        <f t="shared" ref="F9:F27" si="2">D9-E9</f>
        <v>5500602324</v>
      </c>
      <c r="G9" s="6">
        <v>5.221517716E9</v>
      </c>
      <c r="H9" s="5">
        <v>7670.0</v>
      </c>
      <c r="I9" s="6">
        <v>1.657871894E7</v>
      </c>
      <c r="J9" s="4">
        <v>5.952709623E7</v>
      </c>
      <c r="K9" s="4">
        <f t="shared" ref="K9:K27" si="3">I9-J9</f>
        <v>-42948377.29</v>
      </c>
      <c r="L9" s="4">
        <f t="shared" ref="L9:M9" si="1">I9</f>
        <v>16578718.94</v>
      </c>
      <c r="M9" s="4">
        <f t="shared" si="1"/>
        <v>59527096.23</v>
      </c>
      <c r="N9" s="4">
        <f t="shared" ref="N9:N27" si="5">L9-M9</f>
        <v>-42948377.29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22</v>
      </c>
      <c r="D10" s="6">
        <v>8.3966205104E8</v>
      </c>
      <c r="E10" s="6">
        <v>1.460638124E7</v>
      </c>
      <c r="F10" s="6">
        <f t="shared" si="2"/>
        <v>825055669.8</v>
      </c>
      <c r="G10" s="6">
        <v>7.7282253425E8</v>
      </c>
      <c r="H10" s="5">
        <v>4318.0</v>
      </c>
      <c r="I10" s="6">
        <v>2.6363297569999993E7</v>
      </c>
      <c r="J10" s="4">
        <v>1.2448817250000007E7</v>
      </c>
      <c r="K10" s="4">
        <f t="shared" si="3"/>
        <v>13914480.32</v>
      </c>
      <c r="L10" s="4">
        <f t="shared" ref="L10:M10" si="4">I10</f>
        <v>26363297.57</v>
      </c>
      <c r="M10" s="4">
        <f t="shared" si="4"/>
        <v>12448817.25</v>
      </c>
      <c r="N10" s="4">
        <f t="shared" si="5"/>
        <v>13914480.32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23</v>
      </c>
      <c r="D11" s="6">
        <v>1.18114703283E9</v>
      </c>
      <c r="E11" s="6">
        <v>3602939.42</v>
      </c>
      <c r="F11" s="6">
        <f t="shared" si="2"/>
        <v>1177544093</v>
      </c>
      <c r="G11" s="6">
        <v>1.11691470896E9</v>
      </c>
      <c r="H11" s="5">
        <v>2920.0</v>
      </c>
      <c r="I11" s="6">
        <v>1.9336343990000002E7</v>
      </c>
      <c r="J11" s="4">
        <v>2.0237651409999996E7</v>
      </c>
      <c r="K11" s="4">
        <f t="shared" si="3"/>
        <v>-901307.42</v>
      </c>
      <c r="L11" s="4">
        <f t="shared" ref="L11:M11" si="6">I11</f>
        <v>19336343.99</v>
      </c>
      <c r="M11" s="4">
        <f t="shared" si="6"/>
        <v>20237651.41</v>
      </c>
      <c r="N11" s="4">
        <f t="shared" si="5"/>
        <v>-901307.42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6">
        <v>3.6089249016E8</v>
      </c>
      <c r="E12" s="6">
        <v>8768078.68</v>
      </c>
      <c r="F12" s="6">
        <f t="shared" si="2"/>
        <v>352124411.5</v>
      </c>
      <c r="G12" s="6">
        <v>1.1124367436E8</v>
      </c>
      <c r="H12" s="5">
        <v>1621.0</v>
      </c>
      <c r="I12" s="6">
        <v>1239934.76</v>
      </c>
      <c r="J12" s="4">
        <v>5155350.69</v>
      </c>
      <c r="K12" s="4">
        <f t="shared" si="3"/>
        <v>-3915415.93</v>
      </c>
      <c r="L12" s="4">
        <f t="shared" ref="L12:M12" si="7">I12</f>
        <v>1239934.76</v>
      </c>
      <c r="M12" s="4">
        <f t="shared" si="7"/>
        <v>5155350.69</v>
      </c>
      <c r="N12" s="4">
        <f t="shared" si="5"/>
        <v>-3915415.93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25</v>
      </c>
      <c r="D13" s="6">
        <v>6.0724954896E8</v>
      </c>
      <c r="E13" s="6">
        <v>2.26387852E7</v>
      </c>
      <c r="F13" s="6">
        <f t="shared" si="2"/>
        <v>584610763.8</v>
      </c>
      <c r="G13" s="6">
        <v>5.306991579E8</v>
      </c>
      <c r="H13" s="5">
        <v>1536.0</v>
      </c>
      <c r="I13" s="6">
        <v>1506512.187</v>
      </c>
      <c r="J13" s="4">
        <v>6275249.8121</v>
      </c>
      <c r="K13" s="4">
        <f t="shared" si="3"/>
        <v>-4768737.625</v>
      </c>
      <c r="L13" s="4">
        <f t="shared" ref="L13:M13" si="8">I13</f>
        <v>1506512.187</v>
      </c>
      <c r="M13" s="4">
        <f t="shared" si="8"/>
        <v>6275249.812</v>
      </c>
      <c r="N13" s="4">
        <f t="shared" si="5"/>
        <v>-4768737.625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6">
        <v>4.59660221954E9</v>
      </c>
      <c r="E14" s="6">
        <v>2.1260094928E8</v>
      </c>
      <c r="F14" s="6">
        <f t="shared" si="2"/>
        <v>4384001270</v>
      </c>
      <c r="G14" s="6">
        <v>3.98457235602E9</v>
      </c>
      <c r="H14" s="5">
        <v>16626.0</v>
      </c>
      <c r="I14" s="6">
        <v>4.2273853589E7</v>
      </c>
      <c r="J14" s="4">
        <v>1.216496324415E8</v>
      </c>
      <c r="K14" s="4">
        <f t="shared" si="3"/>
        <v>-79375778.85</v>
      </c>
      <c r="L14" s="4">
        <f t="shared" ref="L14:M14" si="9">I14</f>
        <v>42273853.59</v>
      </c>
      <c r="M14" s="4">
        <f t="shared" si="9"/>
        <v>121649632.4</v>
      </c>
      <c r="N14" s="4">
        <f t="shared" si="5"/>
        <v>-79375778.85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27</v>
      </c>
      <c r="D15" s="6">
        <v>9.579309687E7</v>
      </c>
      <c r="E15" s="6">
        <v>627634.54</v>
      </c>
      <c r="F15" s="6">
        <f t="shared" si="2"/>
        <v>95165462.33</v>
      </c>
      <c r="G15" s="6">
        <v>9.203663201E7</v>
      </c>
      <c r="H15" s="5">
        <v>522.0</v>
      </c>
      <c r="I15" s="6">
        <v>1179498.584</v>
      </c>
      <c r="J15" s="4">
        <v>427977.9953</v>
      </c>
      <c r="K15" s="4">
        <f t="shared" si="3"/>
        <v>751520.5887</v>
      </c>
      <c r="L15" s="4">
        <f t="shared" ref="L15:M15" si="10">I15</f>
        <v>1179498.584</v>
      </c>
      <c r="M15" s="4">
        <f t="shared" si="10"/>
        <v>427977.9953</v>
      </c>
      <c r="N15" s="4">
        <f t="shared" si="5"/>
        <v>751520.5887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6">
        <v>1.5160231116E8</v>
      </c>
      <c r="E16" s="6">
        <v>748143.77</v>
      </c>
      <c r="F16" s="6">
        <f t="shared" si="2"/>
        <v>150854167.4</v>
      </c>
      <c r="G16" s="6">
        <v>1.4266238869E8</v>
      </c>
      <c r="H16" s="5">
        <v>50.0</v>
      </c>
      <c r="I16" s="6">
        <v>0.0</v>
      </c>
      <c r="J16" s="4">
        <v>0.0</v>
      </c>
      <c r="K16" s="4">
        <f t="shared" si="3"/>
        <v>0</v>
      </c>
      <c r="L16" s="4">
        <f t="shared" ref="L16:M16" si="11">I16</f>
        <v>0</v>
      </c>
      <c r="M16" s="4">
        <f t="shared" si="11"/>
        <v>0</v>
      </c>
      <c r="N16" s="4">
        <f t="shared" si="5"/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6">
        <v>1.761754075425E10</v>
      </c>
      <c r="E17" s="6">
        <v>1.0859700031E8</v>
      </c>
      <c r="F17" s="6">
        <f t="shared" si="2"/>
        <v>17508943754</v>
      </c>
      <c r="G17" s="6">
        <v>1.742156105742E10</v>
      </c>
      <c r="H17" s="5">
        <v>12906.0</v>
      </c>
      <c r="I17" s="6">
        <v>2.306411989E8</v>
      </c>
      <c r="J17" s="4">
        <v>2.034152673E7</v>
      </c>
      <c r="K17" s="4">
        <f t="shared" si="3"/>
        <v>210299672.2</v>
      </c>
      <c r="L17" s="4">
        <f t="shared" ref="L17:M17" si="12">I17</f>
        <v>230641198.9</v>
      </c>
      <c r="M17" s="4">
        <f t="shared" si="12"/>
        <v>20341526.73</v>
      </c>
      <c r="N17" s="4">
        <f t="shared" si="5"/>
        <v>210299672.2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6">
        <v>3.641717118103E10</v>
      </c>
      <c r="E18" s="6">
        <v>1.3766723457E8</v>
      </c>
      <c r="F18" s="6">
        <f t="shared" si="2"/>
        <v>36279503946</v>
      </c>
      <c r="G18" s="6">
        <v>3.43732795225E10</v>
      </c>
      <c r="H18" s="5">
        <v>12741.0</v>
      </c>
      <c r="I18" s="6">
        <v>9.069279453E7</v>
      </c>
      <c r="J18" s="4">
        <v>4.377526349E7</v>
      </c>
      <c r="K18" s="4">
        <f t="shared" si="3"/>
        <v>46917531.04</v>
      </c>
      <c r="L18" s="4">
        <f t="shared" ref="L18:M18" si="13">I18</f>
        <v>90692794.53</v>
      </c>
      <c r="M18" s="4">
        <f t="shared" si="13"/>
        <v>43775263.49</v>
      </c>
      <c r="N18" s="4">
        <f t="shared" si="5"/>
        <v>46917531.04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6">
        <v>2.54512532641655E9</v>
      </c>
      <c r="E19" s="6">
        <v>5184306.31400001</v>
      </c>
      <c r="F19" s="6">
        <f t="shared" si="2"/>
        <v>2539941020</v>
      </c>
      <c r="G19" s="6">
        <v>2.38269869083196E9</v>
      </c>
      <c r="H19" s="5">
        <v>4697.0</v>
      </c>
      <c r="I19" s="6">
        <v>1.46972466E7</v>
      </c>
      <c r="J19" s="4">
        <v>6.09464537E7</v>
      </c>
      <c r="K19" s="4">
        <f t="shared" si="3"/>
        <v>-46249207.1</v>
      </c>
      <c r="L19" s="4">
        <f t="shared" ref="L19:M19" si="14">I19</f>
        <v>14697246.6</v>
      </c>
      <c r="M19" s="4">
        <f t="shared" si="14"/>
        <v>60946453.7</v>
      </c>
      <c r="N19" s="4">
        <f t="shared" si="5"/>
        <v>-46249207.1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6">
        <v>1.11958657617357E10</v>
      </c>
      <c r="E20" s="6">
        <v>9.38868224894999E7</v>
      </c>
      <c r="F20" s="6">
        <f t="shared" si="2"/>
        <v>11101978939</v>
      </c>
      <c r="G20" s="6">
        <v>1.033652666074E10</v>
      </c>
      <c r="H20" s="5">
        <v>37263.0</v>
      </c>
      <c r="I20" s="6">
        <v>3.703210451E7</v>
      </c>
      <c r="J20" s="4">
        <v>3.49671915E7</v>
      </c>
      <c r="K20" s="4">
        <f t="shared" si="3"/>
        <v>2064913.01</v>
      </c>
      <c r="L20" s="4">
        <f t="shared" ref="L20:M20" si="15">I20</f>
        <v>37032104.51</v>
      </c>
      <c r="M20" s="4">
        <f t="shared" si="15"/>
        <v>34967191.5</v>
      </c>
      <c r="N20" s="4">
        <f t="shared" si="5"/>
        <v>2064913.01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6">
        <v>3.55527601397189E8</v>
      </c>
      <c r="E21" s="6">
        <v>1264034.5200001</v>
      </c>
      <c r="F21" s="6">
        <f t="shared" si="2"/>
        <v>354263566.9</v>
      </c>
      <c r="G21" s="6">
        <v>3.5252938756E8</v>
      </c>
      <c r="H21" s="5">
        <v>862.0</v>
      </c>
      <c r="I21" s="6">
        <v>667502.0</v>
      </c>
      <c r="J21" s="4">
        <v>296156.35</v>
      </c>
      <c r="K21" s="4">
        <f t="shared" si="3"/>
        <v>371345.65</v>
      </c>
      <c r="L21" s="4">
        <f t="shared" ref="L21:M21" si="16">I21</f>
        <v>667502</v>
      </c>
      <c r="M21" s="4">
        <f t="shared" si="16"/>
        <v>296156.35</v>
      </c>
      <c r="N21" s="4">
        <f t="shared" si="5"/>
        <v>371345.65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6">
        <v>4.04907263104359E9</v>
      </c>
      <c r="E22" s="6">
        <v>1.04903368067999E7</v>
      </c>
      <c r="F22" s="6">
        <f t="shared" si="2"/>
        <v>4038582294</v>
      </c>
      <c r="G22" s="6">
        <v>4.00906056917869E9</v>
      </c>
      <c r="H22" s="5">
        <v>27256.0</v>
      </c>
      <c r="I22" s="6">
        <v>3.327686638E7</v>
      </c>
      <c r="J22" s="4">
        <v>4.124295027E7</v>
      </c>
      <c r="K22" s="4">
        <f t="shared" si="3"/>
        <v>-7966083.89</v>
      </c>
      <c r="L22" s="4">
        <f t="shared" ref="L22:M22" si="17">I22</f>
        <v>33276866.38</v>
      </c>
      <c r="M22" s="4">
        <f t="shared" si="17"/>
        <v>41242950.27</v>
      </c>
      <c r="N22" s="4">
        <f t="shared" si="5"/>
        <v>-7966083.89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6">
        <v>1.126713215168E10</v>
      </c>
      <c r="E23" s="6">
        <v>2.27889654E7</v>
      </c>
      <c r="F23" s="6">
        <f t="shared" si="2"/>
        <v>11244343186</v>
      </c>
      <c r="G23" s="6">
        <v>1.123297855056E10</v>
      </c>
      <c r="H23" s="5">
        <v>15092.0</v>
      </c>
      <c r="I23" s="6">
        <v>9419296.9</v>
      </c>
      <c r="J23" s="4">
        <v>7.35069724E7</v>
      </c>
      <c r="K23" s="4">
        <f t="shared" si="3"/>
        <v>-64087675.5</v>
      </c>
      <c r="L23" s="4">
        <f t="shared" ref="L23:M23" si="18">I23</f>
        <v>9419296.9</v>
      </c>
      <c r="M23" s="4">
        <f t="shared" si="18"/>
        <v>73506972.4</v>
      </c>
      <c r="N23" s="4">
        <f t="shared" si="5"/>
        <v>-64087675.5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19" t="s">
        <v>36</v>
      </c>
      <c r="D24" s="6">
        <v>2.58406033542E9</v>
      </c>
      <c r="E24" s="6">
        <v>1.577798218E7</v>
      </c>
      <c r="F24" s="6">
        <f t="shared" si="2"/>
        <v>2568282353</v>
      </c>
      <c r="G24" s="6">
        <v>2.44465938514E9</v>
      </c>
      <c r="H24" s="5">
        <v>12741.0</v>
      </c>
      <c r="I24" s="6">
        <v>4.140198903999993E7</v>
      </c>
      <c r="J24" s="4">
        <v>3594588.0800000005</v>
      </c>
      <c r="K24" s="4">
        <f t="shared" si="3"/>
        <v>37807400.96</v>
      </c>
      <c r="L24" s="4">
        <f t="shared" ref="L24:M24" si="19">I24</f>
        <v>41401989.04</v>
      </c>
      <c r="M24" s="4">
        <f t="shared" si="19"/>
        <v>3594588.08</v>
      </c>
      <c r="N24" s="4">
        <f t="shared" si="5"/>
        <v>37807400.96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v>17.0</v>
      </c>
      <c r="C25" s="21" t="s">
        <v>37</v>
      </c>
      <c r="D25" s="6">
        <v>8.02264581676E9</v>
      </c>
      <c r="E25" s="6">
        <v>4.041924885E7</v>
      </c>
      <c r="F25" s="6">
        <f t="shared" si="2"/>
        <v>7982226568</v>
      </c>
      <c r="G25" s="6">
        <v>7.5767637237E9</v>
      </c>
      <c r="H25" s="5">
        <v>65273.0</v>
      </c>
      <c r="I25" s="6">
        <v>5.023498169E7</v>
      </c>
      <c r="J25" s="4">
        <v>1.1051112794E8</v>
      </c>
      <c r="K25" s="4">
        <f t="shared" si="3"/>
        <v>-60276146.25</v>
      </c>
      <c r="L25" s="4">
        <f t="shared" ref="L25:M25" si="20">I25</f>
        <v>50234981.69</v>
      </c>
      <c r="M25" s="4">
        <f t="shared" si="20"/>
        <v>110511127.9</v>
      </c>
      <c r="N25" s="4">
        <f t="shared" si="5"/>
        <v>-60276146.25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v>18.0</v>
      </c>
      <c r="C26" s="21" t="s">
        <v>38</v>
      </c>
      <c r="D26" s="6">
        <v>1.21883070822E10</v>
      </c>
      <c r="E26" s="6">
        <v>7.412658423E7</v>
      </c>
      <c r="F26" s="6">
        <f t="shared" si="2"/>
        <v>12114180498</v>
      </c>
      <c r="G26" s="6">
        <v>1.20798375144E10</v>
      </c>
      <c r="H26" s="5">
        <v>55061.0</v>
      </c>
      <c r="I26" s="6">
        <v>1.5053406912E8</v>
      </c>
      <c r="J26" s="4">
        <v>1.8300315861E8</v>
      </c>
      <c r="K26" s="4">
        <f t="shared" si="3"/>
        <v>-32469089.49</v>
      </c>
      <c r="L26" s="4">
        <f t="shared" ref="L26:M26" si="21">I26</f>
        <v>150534069.1</v>
      </c>
      <c r="M26" s="4">
        <f t="shared" si="21"/>
        <v>183003158.6</v>
      </c>
      <c r="N26" s="4">
        <f t="shared" si="5"/>
        <v>-32469089.49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6">
        <v>6.591010797980002E8</v>
      </c>
      <c r="E27" s="6">
        <v>6989710.823177781</v>
      </c>
      <c r="F27" s="6">
        <f t="shared" si="2"/>
        <v>652111369</v>
      </c>
      <c r="G27" s="6">
        <v>5.837913063000003E8</v>
      </c>
      <c r="H27" s="5">
        <v>1300.0</v>
      </c>
      <c r="I27" s="6">
        <v>976063.74</v>
      </c>
      <c r="J27" s="4">
        <v>477744.54</v>
      </c>
      <c r="K27" s="4">
        <f t="shared" si="3"/>
        <v>498319.2</v>
      </c>
      <c r="L27" s="4">
        <f t="shared" ref="L27:M27" si="22">I27</f>
        <v>976063.74</v>
      </c>
      <c r="M27" s="4">
        <f t="shared" si="22"/>
        <v>477744.54</v>
      </c>
      <c r="N27" s="4">
        <f t="shared" si="5"/>
        <v>498319.2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5"/>
      <c r="I28" s="6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3"/>
      <c r="B29" s="2">
        <v>20.0</v>
      </c>
      <c r="C29" s="3" t="s">
        <v>41</v>
      </c>
      <c r="D29" s="6">
        <v>3.41476788434001E8</v>
      </c>
      <c r="E29" s="6">
        <v>999989.529</v>
      </c>
      <c r="F29" s="6">
        <f t="shared" ref="F29:F30" si="24">D29-E29</f>
        <v>340476798.9</v>
      </c>
      <c r="G29" s="6">
        <v>3.1221962291E8</v>
      </c>
      <c r="H29" s="5">
        <v>1042.0</v>
      </c>
      <c r="I29" s="6">
        <v>8239126.51</v>
      </c>
      <c r="J29" s="4">
        <v>4679932.69</v>
      </c>
      <c r="K29" s="4">
        <f t="shared" ref="K29:K30" si="25">I29-J29</f>
        <v>3559193.82</v>
      </c>
      <c r="L29" s="4">
        <f t="shared" ref="L29:M29" si="23">I29</f>
        <v>8239126.51</v>
      </c>
      <c r="M29" s="4">
        <f t="shared" si="23"/>
        <v>4679932.69</v>
      </c>
      <c r="N29" s="4">
        <f t="shared" ref="N29:N30" si="27">L29-M29</f>
        <v>3559193.82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35</v>
      </c>
      <c r="D30" s="6">
        <v>1.5393858118E8</v>
      </c>
      <c r="E30" s="6">
        <v>7577262.39</v>
      </c>
      <c r="F30" s="6">
        <f t="shared" si="24"/>
        <v>146361318.8</v>
      </c>
      <c r="G30" s="6">
        <v>1.46293913E8</v>
      </c>
      <c r="H30" s="5">
        <v>120934.0</v>
      </c>
      <c r="I30" s="6">
        <v>1.608964505E8</v>
      </c>
      <c r="J30" s="4">
        <v>1.333955096E7</v>
      </c>
      <c r="K30" s="4">
        <f t="shared" si="25"/>
        <v>147556899.5</v>
      </c>
      <c r="L30" s="4">
        <f t="shared" ref="L30:M30" si="26">I30</f>
        <v>160896450.5</v>
      </c>
      <c r="M30" s="4">
        <f t="shared" si="26"/>
        <v>13339550.96</v>
      </c>
      <c r="N30" s="4">
        <f t="shared" si="27"/>
        <v>147556899.5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18" t="s">
        <v>42</v>
      </c>
      <c r="B31" s="2"/>
      <c r="C31" s="3"/>
      <c r="D31" s="6"/>
      <c r="E31" s="6"/>
      <c r="F31" s="6"/>
      <c r="G31" s="6"/>
      <c r="H31" s="5"/>
      <c r="I31" s="6"/>
      <c r="J31" s="4"/>
      <c r="K31" s="4"/>
      <c r="L31" s="4"/>
      <c r="M31" s="4"/>
      <c r="N31" s="4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1.25" customHeight="1">
      <c r="A32" s="3"/>
      <c r="B32" s="2">
        <v>22.0</v>
      </c>
      <c r="C32" s="3" t="s">
        <v>43</v>
      </c>
      <c r="D32" s="6">
        <v>2.27327385825E9</v>
      </c>
      <c r="E32" s="6">
        <v>6053519.25</v>
      </c>
      <c r="F32" s="6">
        <f>D32-E32</f>
        <v>2267220339</v>
      </c>
      <c r="G32" s="6">
        <v>2.26001471388E9</v>
      </c>
      <c r="H32" s="5">
        <v>3043.0</v>
      </c>
      <c r="I32" s="6">
        <v>1.0880756E7</v>
      </c>
      <c r="J32" s="4">
        <v>3331959.0</v>
      </c>
      <c r="K32" s="4">
        <f>I32-J32</f>
        <v>7548797</v>
      </c>
      <c r="L32" s="4">
        <f t="shared" ref="L32:M32" si="28">I32</f>
        <v>10880756</v>
      </c>
      <c r="M32" s="4">
        <f t="shared" si="28"/>
        <v>3331959</v>
      </c>
      <c r="N32" s="4">
        <f>L32-M32</f>
        <v>7548797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22" t="s">
        <v>44</v>
      </c>
      <c r="B33" s="23"/>
      <c r="C33" s="1"/>
      <c r="D33" s="24">
        <f t="shared" ref="D33:N33" si="29">SUM(D9:D32)</f>
        <v>123021176865</v>
      </c>
      <c r="E33" s="24">
        <f t="shared" si="29"/>
        <v>812802750.6</v>
      </c>
      <c r="F33" s="24">
        <f t="shared" si="29"/>
        <v>122208374115</v>
      </c>
      <c r="G33" s="24">
        <f t="shared" si="29"/>
        <v>117484683786</v>
      </c>
      <c r="H33" s="25">
        <f t="shared" si="29"/>
        <v>405474</v>
      </c>
      <c r="I33" s="24">
        <f t="shared" si="29"/>
        <v>948068606</v>
      </c>
      <c r="J33" s="26">
        <f t="shared" si="29"/>
        <v>819736352.1</v>
      </c>
      <c r="K33" s="26">
        <f t="shared" si="29"/>
        <v>128332254</v>
      </c>
      <c r="L33" s="26">
        <f t="shared" si="29"/>
        <v>948068606</v>
      </c>
      <c r="M33" s="26">
        <f t="shared" si="29"/>
        <v>819736352.1</v>
      </c>
      <c r="N33" s="26">
        <f t="shared" si="29"/>
        <v>128332254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2.0" customHeight="1">
      <c r="A34" s="18" t="s">
        <v>45</v>
      </c>
      <c r="B34" s="2"/>
      <c r="C34" s="3"/>
      <c r="D34" s="6"/>
      <c r="E34" s="6"/>
      <c r="F34" s="6"/>
      <c r="G34" s="6"/>
      <c r="H34" s="5"/>
      <c r="I34" s="6"/>
      <c r="J34" s="4"/>
      <c r="K34" s="4"/>
      <c r="L34" s="4"/>
      <c r="M34" s="4"/>
      <c r="N34" s="4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2.0" customHeight="1">
      <c r="A35" s="3"/>
      <c r="B35" s="2">
        <v>23.0</v>
      </c>
      <c r="C35" s="3" t="s">
        <v>46</v>
      </c>
      <c r="D35" s="6">
        <v>5.02021709731E7</v>
      </c>
      <c r="E35" s="6">
        <v>1011746.3929999998</v>
      </c>
      <c r="F35" s="6">
        <f t="shared" ref="F35:F36" si="31">D35-E35</f>
        <v>49190424.58</v>
      </c>
      <c r="G35" s="27">
        <v>0.0</v>
      </c>
      <c r="H35" s="5">
        <v>57.0</v>
      </c>
      <c r="I35" s="6">
        <v>99.77</v>
      </c>
      <c r="J35" s="4">
        <v>3932.8</v>
      </c>
      <c r="K35" s="4">
        <f t="shared" ref="K35:K36" si="32">I35-J35</f>
        <v>-3833.03</v>
      </c>
      <c r="L35" s="4">
        <f t="shared" ref="L35:M35" si="30">I35</f>
        <v>99.77</v>
      </c>
      <c r="M35" s="4">
        <f t="shared" si="30"/>
        <v>3932.8</v>
      </c>
      <c r="N35" s="4">
        <f t="shared" ref="N35:N36" si="34">L35-M35</f>
        <v>-3833.03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47</v>
      </c>
      <c r="D36" s="6">
        <f>50.95*38310707.15</f>
        <v>1951930529</v>
      </c>
      <c r="E36" s="6">
        <f>50.95*962842.17</f>
        <v>49056808.56</v>
      </c>
      <c r="F36" s="6">
        <f t="shared" si="31"/>
        <v>1902873721</v>
      </c>
      <c r="G36" s="6">
        <v>0.0</v>
      </c>
      <c r="H36" s="5">
        <v>2718.0</v>
      </c>
      <c r="I36" s="6">
        <f>50.95*517309.67</f>
        <v>26356927.69</v>
      </c>
      <c r="J36" s="6">
        <f>50.95*2016259.18</f>
        <v>102728405.2</v>
      </c>
      <c r="K36" s="4">
        <f t="shared" si="32"/>
        <v>-76371477.53</v>
      </c>
      <c r="L36" s="4">
        <f t="shared" ref="L36:M36" si="33">I36</f>
        <v>26356927.69</v>
      </c>
      <c r="M36" s="4">
        <f t="shared" si="33"/>
        <v>102728405.2</v>
      </c>
      <c r="N36" s="4">
        <f t="shared" si="34"/>
        <v>-76371477.53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22" t="s">
        <v>48</v>
      </c>
      <c r="B37" s="23"/>
      <c r="C37" s="1"/>
      <c r="D37" s="24">
        <f t="shared" ref="D37:N37" si="35">SUM(D35:D36)</f>
        <v>2002132700</v>
      </c>
      <c r="E37" s="24">
        <f t="shared" si="35"/>
        <v>50068554.95</v>
      </c>
      <c r="F37" s="24">
        <f t="shared" si="35"/>
        <v>1952064145</v>
      </c>
      <c r="G37" s="24">
        <f t="shared" si="35"/>
        <v>0</v>
      </c>
      <c r="H37" s="25">
        <f t="shared" si="35"/>
        <v>2775</v>
      </c>
      <c r="I37" s="24">
        <f t="shared" si="35"/>
        <v>26357027.46</v>
      </c>
      <c r="J37" s="26">
        <f t="shared" si="35"/>
        <v>102732338</v>
      </c>
      <c r="K37" s="26">
        <f t="shared" si="35"/>
        <v>-76375310.56</v>
      </c>
      <c r="L37" s="26">
        <f t="shared" si="35"/>
        <v>26357027.46</v>
      </c>
      <c r="M37" s="26">
        <f t="shared" si="35"/>
        <v>102732338</v>
      </c>
      <c r="N37" s="26">
        <f t="shared" si="35"/>
        <v>-76375310.56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2.0" customHeight="1">
      <c r="A38" s="1" t="s">
        <v>49</v>
      </c>
      <c r="B38" s="23"/>
      <c r="C38" s="1"/>
      <c r="D38" s="24">
        <f t="shared" ref="D38:N38" si="36">D33+D37</f>
        <v>125023309566</v>
      </c>
      <c r="E38" s="24">
        <f t="shared" si="36"/>
        <v>862871305.6</v>
      </c>
      <c r="F38" s="24">
        <f t="shared" si="36"/>
        <v>124160438260</v>
      </c>
      <c r="G38" s="24">
        <f t="shared" si="36"/>
        <v>117484683786</v>
      </c>
      <c r="H38" s="25">
        <f t="shared" si="36"/>
        <v>408249</v>
      </c>
      <c r="I38" s="24">
        <f t="shared" si="36"/>
        <v>974425633.5</v>
      </c>
      <c r="J38" s="26">
        <f t="shared" si="36"/>
        <v>922468690.1</v>
      </c>
      <c r="K38" s="26">
        <f t="shared" si="36"/>
        <v>51956943.39</v>
      </c>
      <c r="L38" s="26">
        <f t="shared" si="36"/>
        <v>974425633.5</v>
      </c>
      <c r="M38" s="26">
        <f t="shared" si="36"/>
        <v>922468690.1</v>
      </c>
      <c r="N38" s="26">
        <f t="shared" si="36"/>
        <v>51956943.39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50</v>
      </c>
      <c r="B39" s="2"/>
      <c r="C39" s="3"/>
      <c r="D39" s="6"/>
      <c r="E39" s="6"/>
      <c r="F39" s="6"/>
      <c r="G39" s="6"/>
      <c r="H39" s="5"/>
      <c r="I39" s="6"/>
      <c r="J39" s="4"/>
      <c r="K39" s="4"/>
      <c r="L39" s="4"/>
      <c r="M39" s="4"/>
      <c r="N39" s="4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ht="12.0" customHeight="1">
      <c r="A40" s="18" t="s">
        <v>20</v>
      </c>
      <c r="B40" s="2"/>
      <c r="C40" s="3"/>
      <c r="D40" s="6"/>
      <c r="E40" s="6"/>
      <c r="F40" s="6"/>
      <c r="G40" s="6"/>
      <c r="H40" s="5"/>
      <c r="I40" s="6"/>
      <c r="J40" s="4"/>
      <c r="K40" s="4"/>
      <c r="L40" s="4"/>
      <c r="M40" s="4"/>
      <c r="N40" s="4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/>
      <c r="B41" s="2">
        <v>25.0</v>
      </c>
      <c r="C41" s="3" t="s">
        <v>51</v>
      </c>
      <c r="D41" s="6">
        <v>1.3206969215E8</v>
      </c>
      <c r="E41" s="6">
        <v>3492791.53</v>
      </c>
      <c r="F41" s="6">
        <f t="shared" ref="F41:F50" si="38">D41-E41</f>
        <v>128576900.6</v>
      </c>
      <c r="G41" s="6">
        <v>5.15814708E7</v>
      </c>
      <c r="H41" s="5">
        <v>747.0</v>
      </c>
      <c r="I41" s="6">
        <v>4280453.330000001</v>
      </c>
      <c r="J41" s="4">
        <v>651534.2299999999</v>
      </c>
      <c r="K41" s="4">
        <f t="shared" ref="K41:K50" si="39">I41-J41</f>
        <v>3628919.1</v>
      </c>
      <c r="L41" s="4">
        <f t="shared" ref="L41:M41" si="37">I41</f>
        <v>4280453.33</v>
      </c>
      <c r="M41" s="4">
        <f t="shared" si="37"/>
        <v>651534.23</v>
      </c>
      <c r="N41" s="4">
        <f t="shared" ref="N41:N50" si="41">L41-M41</f>
        <v>3628919.1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3"/>
      <c r="B42" s="2">
        <v>26.0</v>
      </c>
      <c r="C42" s="3" t="s">
        <v>52</v>
      </c>
      <c r="D42" s="6">
        <v>7.2513202885E8</v>
      </c>
      <c r="E42" s="6">
        <v>2.444074514E7</v>
      </c>
      <c r="F42" s="6">
        <f t="shared" si="38"/>
        <v>700691283.7</v>
      </c>
      <c r="G42" s="6">
        <v>4.438531372E8</v>
      </c>
      <c r="H42" s="5">
        <v>2502.0</v>
      </c>
      <c r="I42" s="6">
        <v>1461165.19</v>
      </c>
      <c r="J42" s="4">
        <v>5139792.869999998</v>
      </c>
      <c r="K42" s="4">
        <f t="shared" si="39"/>
        <v>-3678627.68</v>
      </c>
      <c r="L42" s="4">
        <f t="shared" ref="L42:M42" si="40">I42</f>
        <v>1461165.19</v>
      </c>
      <c r="M42" s="4">
        <f t="shared" si="40"/>
        <v>5139792.87</v>
      </c>
      <c r="N42" s="4">
        <f t="shared" si="41"/>
        <v>-3678627.68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53</v>
      </c>
      <c r="D43" s="6">
        <v>1.38040604643E9</v>
      </c>
      <c r="E43" s="6">
        <v>6.320284727E7</v>
      </c>
      <c r="F43" s="6">
        <f t="shared" si="38"/>
        <v>1317203199</v>
      </c>
      <c r="G43" s="6">
        <v>8.0577772778E8</v>
      </c>
      <c r="H43" s="5">
        <v>4939.0</v>
      </c>
      <c r="I43" s="6">
        <v>2329359.732</v>
      </c>
      <c r="J43" s="4">
        <v>2786616.8143</v>
      </c>
      <c r="K43" s="4">
        <f t="shared" si="39"/>
        <v>-457257.0823</v>
      </c>
      <c r="L43" s="4">
        <f t="shared" ref="L43:M43" si="42">I43</f>
        <v>2329359.732</v>
      </c>
      <c r="M43" s="4">
        <f t="shared" si="42"/>
        <v>2786616.814</v>
      </c>
      <c r="N43" s="4">
        <f t="shared" si="41"/>
        <v>-457257.0823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54</v>
      </c>
      <c r="D44" s="6">
        <v>1.3671435734E8</v>
      </c>
      <c r="E44" s="6">
        <v>8732703.77</v>
      </c>
      <c r="F44" s="6">
        <f t="shared" si="38"/>
        <v>127981653.6</v>
      </c>
      <c r="G44" s="6">
        <v>2.26001471388E9</v>
      </c>
      <c r="H44" s="5">
        <v>70.0</v>
      </c>
      <c r="I44" s="6">
        <v>9.826086853E7</v>
      </c>
      <c r="J44" s="4">
        <v>0.0</v>
      </c>
      <c r="K44" s="4">
        <f t="shared" si="39"/>
        <v>98260868.53</v>
      </c>
      <c r="L44" s="4">
        <f t="shared" ref="L44:M44" si="43">I44</f>
        <v>98260868.53</v>
      </c>
      <c r="M44" s="4">
        <f t="shared" si="43"/>
        <v>0</v>
      </c>
      <c r="N44" s="4">
        <f t="shared" si="41"/>
        <v>98260868.53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55</v>
      </c>
      <c r="D45" s="6">
        <v>3.6303231085E8</v>
      </c>
      <c r="E45" s="6">
        <v>1312853.84</v>
      </c>
      <c r="F45" s="6">
        <f t="shared" si="38"/>
        <v>361719457</v>
      </c>
      <c r="G45" s="6">
        <v>1.7603567452E8</v>
      </c>
      <c r="H45" s="5">
        <v>57.0</v>
      </c>
      <c r="I45" s="6">
        <v>0.0</v>
      </c>
      <c r="J45" s="4">
        <v>0.0</v>
      </c>
      <c r="K45" s="4">
        <f t="shared" si="39"/>
        <v>0</v>
      </c>
      <c r="L45" s="4">
        <f t="shared" ref="L45:M45" si="44">I45</f>
        <v>0</v>
      </c>
      <c r="M45" s="4">
        <f t="shared" si="44"/>
        <v>0</v>
      </c>
      <c r="N45" s="4">
        <f t="shared" si="41"/>
        <v>0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56</v>
      </c>
      <c r="D46" s="6">
        <v>6.5565585552E8</v>
      </c>
      <c r="E46" s="6">
        <v>1.657658514E7</v>
      </c>
      <c r="F46" s="6">
        <f t="shared" si="38"/>
        <v>639079270.4</v>
      </c>
      <c r="G46" s="6">
        <v>3.566304094E8</v>
      </c>
      <c r="H46" s="5">
        <v>10279.0</v>
      </c>
      <c r="I46" s="6">
        <v>253166.07</v>
      </c>
      <c r="J46" s="4">
        <v>8386100.31</v>
      </c>
      <c r="K46" s="4">
        <f t="shared" si="39"/>
        <v>-8132934.24</v>
      </c>
      <c r="L46" s="4">
        <f t="shared" ref="L46:M46" si="45">I46</f>
        <v>253166.07</v>
      </c>
      <c r="M46" s="4">
        <f t="shared" si="45"/>
        <v>8386100.31</v>
      </c>
      <c r="N46" s="4">
        <f t="shared" si="41"/>
        <v>-8132934.24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57</v>
      </c>
      <c r="D47" s="6">
        <v>1.139574385914E10</v>
      </c>
      <c r="E47" s="6">
        <v>3.55369185E7</v>
      </c>
      <c r="F47" s="6">
        <f t="shared" si="38"/>
        <v>11360206941</v>
      </c>
      <c r="G47" s="6">
        <v>6.211333357E9</v>
      </c>
      <c r="H47" s="5">
        <v>8406.0</v>
      </c>
      <c r="I47" s="6">
        <v>4.126982945E7</v>
      </c>
      <c r="J47" s="4">
        <v>2.200700622E7</v>
      </c>
      <c r="K47" s="4">
        <f t="shared" si="39"/>
        <v>19262823.23</v>
      </c>
      <c r="L47" s="4">
        <f t="shared" ref="L47:M47" si="46">I47</f>
        <v>41269829.45</v>
      </c>
      <c r="M47" s="4">
        <f t="shared" si="46"/>
        <v>22007006.22</v>
      </c>
      <c r="N47" s="4">
        <f t="shared" si="41"/>
        <v>19262823.23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1.25" customHeight="1">
      <c r="A48" s="18"/>
      <c r="B48" s="2">
        <v>32.0</v>
      </c>
      <c r="C48" s="3" t="s">
        <v>58</v>
      </c>
      <c r="D48" s="6">
        <v>1.4783803748E8</v>
      </c>
      <c r="E48" s="6">
        <v>320253.76</v>
      </c>
      <c r="F48" s="6">
        <f t="shared" si="38"/>
        <v>147517783.7</v>
      </c>
      <c r="G48" s="6">
        <v>8.9579838E7</v>
      </c>
      <c r="H48" s="5">
        <v>196.0</v>
      </c>
      <c r="I48" s="6">
        <v>45991.71</v>
      </c>
      <c r="J48" s="4">
        <v>3215519.97</v>
      </c>
      <c r="K48" s="4">
        <f t="shared" si="39"/>
        <v>-3169528.26</v>
      </c>
      <c r="L48" s="4">
        <f t="shared" ref="L48:M48" si="47">I48</f>
        <v>45991.71</v>
      </c>
      <c r="M48" s="4">
        <f t="shared" si="47"/>
        <v>3215519.97</v>
      </c>
      <c r="N48" s="4">
        <f t="shared" si="41"/>
        <v>-3169528.26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v>33.0</v>
      </c>
      <c r="C49" s="3" t="s">
        <v>59</v>
      </c>
      <c r="D49" s="6">
        <v>8.30307678941E9</v>
      </c>
      <c r="E49" s="6">
        <v>4.223469281E7</v>
      </c>
      <c r="F49" s="6">
        <f t="shared" si="38"/>
        <v>8260842097</v>
      </c>
      <c r="G49" s="6">
        <v>4.994675097E9</v>
      </c>
      <c r="H49" s="5">
        <v>52918.0</v>
      </c>
      <c r="I49" s="6">
        <v>1.522018332E7</v>
      </c>
      <c r="J49" s="4">
        <v>6.605746643E7</v>
      </c>
      <c r="K49" s="4">
        <f t="shared" si="39"/>
        <v>-50837283.11</v>
      </c>
      <c r="L49" s="4">
        <f t="shared" ref="L49:M49" si="48">I49</f>
        <v>15220183.32</v>
      </c>
      <c r="M49" s="4">
        <f t="shared" si="48"/>
        <v>66057466.43</v>
      </c>
      <c r="N49" s="4">
        <f t="shared" si="41"/>
        <v>-50837283.11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60</v>
      </c>
      <c r="D50" s="6">
        <v>1.36850208919E9</v>
      </c>
      <c r="E50" s="6">
        <v>4.056850817E7</v>
      </c>
      <c r="F50" s="6">
        <f t="shared" si="38"/>
        <v>1327933581</v>
      </c>
      <c r="G50" s="6">
        <v>1.1128918219E9</v>
      </c>
      <c r="H50" s="5">
        <v>4995.0</v>
      </c>
      <c r="I50" s="6">
        <v>0.0</v>
      </c>
      <c r="J50" s="4">
        <v>2.378410553E7</v>
      </c>
      <c r="K50" s="4">
        <f t="shared" si="39"/>
        <v>-23784105.53</v>
      </c>
      <c r="L50" s="4">
        <f t="shared" ref="L50:M50" si="49">I50</f>
        <v>0</v>
      </c>
      <c r="M50" s="4">
        <f t="shared" si="49"/>
        <v>23784105.53</v>
      </c>
      <c r="N50" s="4">
        <f t="shared" si="41"/>
        <v>-23784105.53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18" t="s">
        <v>40</v>
      </c>
      <c r="B51" s="2"/>
      <c r="C51" s="3"/>
      <c r="D51" s="6"/>
      <c r="E51" s="6"/>
      <c r="F51" s="6"/>
      <c r="G51" s="6"/>
      <c r="H51" s="5"/>
      <c r="I51" s="6"/>
      <c r="J51" s="4"/>
      <c r="K51" s="4"/>
      <c r="L51" s="4"/>
      <c r="M51" s="4"/>
      <c r="N51" s="4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v>35.0</v>
      </c>
      <c r="C52" s="3" t="s">
        <v>61</v>
      </c>
      <c r="D52" s="6">
        <v>7.426176066E7</v>
      </c>
      <c r="E52" s="6">
        <v>251771.37</v>
      </c>
      <c r="F52" s="6">
        <f t="shared" ref="F52:F54" si="51">D52-E52</f>
        <v>74009989.29</v>
      </c>
      <c r="G52" s="6">
        <v>2.7159507E7</v>
      </c>
      <c r="H52" s="5">
        <v>867.0</v>
      </c>
      <c r="I52" s="6">
        <v>1474283.42</v>
      </c>
      <c r="J52" s="4">
        <v>206099.56</v>
      </c>
      <c r="K52" s="4">
        <f t="shared" ref="K52:K54" si="52">I52-J52</f>
        <v>1268183.86</v>
      </c>
      <c r="L52" s="4">
        <f t="shared" ref="L52:M52" si="50">I52</f>
        <v>1474283.42</v>
      </c>
      <c r="M52" s="4">
        <f t="shared" si="50"/>
        <v>206099.56</v>
      </c>
      <c r="N52" s="4">
        <f t="shared" ref="N52:N54" si="54">L52-M52</f>
        <v>1268183.86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62</v>
      </c>
      <c r="D53" s="6">
        <v>5.947767423E7</v>
      </c>
      <c r="E53" s="6">
        <v>228745.24</v>
      </c>
      <c r="F53" s="6">
        <f t="shared" si="51"/>
        <v>59248928.99</v>
      </c>
      <c r="G53" s="6">
        <v>4.67817142E7</v>
      </c>
      <c r="H53" s="5">
        <v>310.0</v>
      </c>
      <c r="I53" s="6">
        <v>2556421.41</v>
      </c>
      <c r="J53" s="4">
        <v>112777.68</v>
      </c>
      <c r="K53" s="4">
        <f t="shared" si="52"/>
        <v>2443643.73</v>
      </c>
      <c r="L53" s="4">
        <f t="shared" ref="L53:M53" si="53">I53</f>
        <v>2556421.41</v>
      </c>
      <c r="M53" s="4">
        <f t="shared" si="53"/>
        <v>112777.68</v>
      </c>
      <c r="N53" s="4">
        <f t="shared" si="54"/>
        <v>2443643.73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63</v>
      </c>
      <c r="D54" s="6">
        <v>5.1593758E7</v>
      </c>
      <c r="E54" s="6">
        <v>199129.48</v>
      </c>
      <c r="F54" s="6">
        <f t="shared" si="51"/>
        <v>51394628.52</v>
      </c>
      <c r="G54" s="6">
        <v>4.37095735E7</v>
      </c>
      <c r="H54" s="5">
        <v>148.0</v>
      </c>
      <c r="I54" s="6">
        <v>950275.15</v>
      </c>
      <c r="J54" s="4">
        <v>43438.56</v>
      </c>
      <c r="K54" s="4">
        <f t="shared" si="52"/>
        <v>906836.59</v>
      </c>
      <c r="L54" s="4">
        <f t="shared" ref="L54:M54" si="55">I54</f>
        <v>950275.15</v>
      </c>
      <c r="M54" s="4">
        <f t="shared" si="55"/>
        <v>43438.56</v>
      </c>
      <c r="N54" s="4">
        <f t="shared" si="54"/>
        <v>906836.59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22" t="s">
        <v>44</v>
      </c>
      <c r="B55" s="22"/>
      <c r="C55" s="1"/>
      <c r="D55" s="24">
        <f t="shared" ref="D55:N55" si="56">SUM(D41:D54)</f>
        <v>24793504259</v>
      </c>
      <c r="E55" s="24">
        <f t="shared" si="56"/>
        <v>237098546</v>
      </c>
      <c r="F55" s="24">
        <f t="shared" si="56"/>
        <v>24556405713</v>
      </c>
      <c r="G55" s="24">
        <f t="shared" si="56"/>
        <v>16620024042</v>
      </c>
      <c r="H55" s="25">
        <f t="shared" si="56"/>
        <v>86434</v>
      </c>
      <c r="I55" s="24">
        <f t="shared" si="56"/>
        <v>168101997.3</v>
      </c>
      <c r="J55" s="24">
        <f t="shared" si="56"/>
        <v>132390458.2</v>
      </c>
      <c r="K55" s="24">
        <f t="shared" si="56"/>
        <v>35711539.14</v>
      </c>
      <c r="L55" s="24">
        <f t="shared" si="56"/>
        <v>168101997.3</v>
      </c>
      <c r="M55" s="24">
        <f t="shared" si="56"/>
        <v>132390458.2</v>
      </c>
      <c r="N55" s="24">
        <f t="shared" si="56"/>
        <v>35711539.14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2.0" customHeight="1">
      <c r="A56" s="18" t="s">
        <v>45</v>
      </c>
      <c r="B56" s="2"/>
      <c r="C56" s="3"/>
      <c r="D56" s="6"/>
      <c r="E56" s="6"/>
      <c r="F56" s="6"/>
      <c r="G56" s="6"/>
      <c r="H56" s="5"/>
      <c r="I56" s="6"/>
      <c r="J56" s="4"/>
      <c r="K56" s="4"/>
      <c r="L56" s="4"/>
      <c r="M56" s="4"/>
      <c r="N56" s="4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18"/>
      <c r="B57" s="2">
        <v>38.0</v>
      </c>
      <c r="C57" s="3" t="s">
        <v>64</v>
      </c>
      <c r="D57" s="6">
        <f>50.95*1445571.03</f>
        <v>73651843.98</v>
      </c>
      <c r="E57" s="6">
        <f>50.95*10868.95</f>
        <v>553773.0025</v>
      </c>
      <c r="F57" s="6">
        <f t="shared" ref="F57:F60" si="58">D57-E57</f>
        <v>73098070.98</v>
      </c>
      <c r="G57" s="6">
        <v>0.0</v>
      </c>
      <c r="H57" s="5">
        <v>56.0</v>
      </c>
      <c r="I57" s="6">
        <f>50.95*562.98</f>
        <v>28683.831</v>
      </c>
      <c r="J57" s="6">
        <v>0.0</v>
      </c>
      <c r="K57" s="4">
        <f t="shared" ref="K57:K60" si="59">I57-J57</f>
        <v>28683.831</v>
      </c>
      <c r="L57" s="4">
        <f t="shared" ref="L57:M57" si="57">I57</f>
        <v>28683.831</v>
      </c>
      <c r="M57" s="4">
        <f t="shared" si="57"/>
        <v>0</v>
      </c>
      <c r="N57" s="4">
        <f t="shared" ref="N57:N60" si="61">L57-M57</f>
        <v>28683.831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65</v>
      </c>
      <c r="D58" s="6">
        <f>50.95*7636829.04</f>
        <v>389096439.6</v>
      </c>
      <c r="E58" s="6">
        <f>50.95*422646.49</f>
        <v>21533838.67</v>
      </c>
      <c r="F58" s="6">
        <f t="shared" si="58"/>
        <v>367562600.9</v>
      </c>
      <c r="G58" s="6">
        <f>50.95*3827598.67</f>
        <v>195016152.2</v>
      </c>
      <c r="H58" s="5">
        <v>279.0</v>
      </c>
      <c r="I58" s="6">
        <v>0.0</v>
      </c>
      <c r="J58" s="6">
        <f>50.95*5589.48</f>
        <v>284784.006</v>
      </c>
      <c r="K58" s="4">
        <f t="shared" si="59"/>
        <v>-284784.006</v>
      </c>
      <c r="L58" s="4">
        <f t="shared" ref="L58:M58" si="60">I58</f>
        <v>0</v>
      </c>
      <c r="M58" s="4">
        <f t="shared" si="60"/>
        <v>284784.006</v>
      </c>
      <c r="N58" s="4">
        <f t="shared" si="61"/>
        <v>-284784.006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3"/>
      <c r="B59" s="2">
        <v>40.0</v>
      </c>
      <c r="C59" s="3" t="s">
        <v>66</v>
      </c>
      <c r="D59" s="6">
        <f>50.95*34474384.38</f>
        <v>1756469884</v>
      </c>
      <c r="E59" s="6">
        <f>50.95*141266.14</f>
        <v>7197509.833</v>
      </c>
      <c r="F59" s="6">
        <f t="shared" si="58"/>
        <v>1749272374</v>
      </c>
      <c r="G59" s="6">
        <v>0.0</v>
      </c>
      <c r="H59" s="5">
        <v>4096.0</v>
      </c>
      <c r="I59" s="6">
        <f>50.95*420717.21</f>
        <v>21435541.85</v>
      </c>
      <c r="J59" s="6">
        <f>50.95*1079251.05</f>
        <v>54987841</v>
      </c>
      <c r="K59" s="4">
        <f t="shared" si="59"/>
        <v>-33552299.15</v>
      </c>
      <c r="L59" s="4">
        <f t="shared" ref="L59:M59" si="62">I59</f>
        <v>21435541.85</v>
      </c>
      <c r="M59" s="4">
        <f t="shared" si="62"/>
        <v>54987841</v>
      </c>
      <c r="N59" s="4">
        <f t="shared" si="61"/>
        <v>-33552299.15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67</v>
      </c>
      <c r="D60" s="6">
        <f>50.95*6831156.24</f>
        <v>348047410.4</v>
      </c>
      <c r="E60" s="6">
        <f>50.95*48554.84</f>
        <v>2473869.098</v>
      </c>
      <c r="F60" s="6">
        <f t="shared" si="58"/>
        <v>345573541.3</v>
      </c>
      <c r="G60" s="6">
        <v>0.0</v>
      </c>
      <c r="H60" s="5">
        <v>698.0</v>
      </c>
      <c r="I60" s="6">
        <f>50.95*15879.84</f>
        <v>809077.848</v>
      </c>
      <c r="J60" s="6">
        <f>50.95*100861.88</f>
        <v>5138912.786</v>
      </c>
      <c r="K60" s="4">
        <f t="shared" si="59"/>
        <v>-4329834.938</v>
      </c>
      <c r="L60" s="4">
        <f t="shared" ref="L60:M60" si="63">I60</f>
        <v>809077.848</v>
      </c>
      <c r="M60" s="4">
        <f t="shared" si="63"/>
        <v>5138912.786</v>
      </c>
      <c r="N60" s="4">
        <f t="shared" si="61"/>
        <v>-4329834.938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22" t="s">
        <v>48</v>
      </c>
      <c r="B61" s="23"/>
      <c r="C61" s="1"/>
      <c r="D61" s="24">
        <f t="shared" ref="D61:N61" si="64">SUM(D57:D60)</f>
        <v>2567265578</v>
      </c>
      <c r="E61" s="24">
        <f t="shared" si="64"/>
        <v>31758990.6</v>
      </c>
      <c r="F61" s="24">
        <f t="shared" si="64"/>
        <v>2535506588</v>
      </c>
      <c r="G61" s="24">
        <f t="shared" si="64"/>
        <v>195016152.2</v>
      </c>
      <c r="H61" s="25">
        <f t="shared" si="64"/>
        <v>5129</v>
      </c>
      <c r="I61" s="24">
        <f t="shared" si="64"/>
        <v>22273303.53</v>
      </c>
      <c r="J61" s="26">
        <f t="shared" si="64"/>
        <v>60411537.79</v>
      </c>
      <c r="K61" s="26">
        <f t="shared" si="64"/>
        <v>-38138234.26</v>
      </c>
      <c r="L61" s="26">
        <f t="shared" si="64"/>
        <v>22273303.53</v>
      </c>
      <c r="M61" s="26">
        <f t="shared" si="64"/>
        <v>60411537.79</v>
      </c>
      <c r="N61" s="26">
        <f t="shared" si="64"/>
        <v>-38138234.26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2.0" customHeight="1">
      <c r="A62" s="1" t="s">
        <v>68</v>
      </c>
      <c r="B62" s="23"/>
      <c r="C62" s="1"/>
      <c r="D62" s="24">
        <f t="shared" ref="D62:N62" si="65">D55+D61</f>
        <v>27360769837</v>
      </c>
      <c r="E62" s="24">
        <f t="shared" si="65"/>
        <v>268857536.6</v>
      </c>
      <c r="F62" s="24">
        <f t="shared" si="65"/>
        <v>27091912301</v>
      </c>
      <c r="G62" s="24">
        <f t="shared" si="65"/>
        <v>16815040194</v>
      </c>
      <c r="H62" s="25">
        <f t="shared" si="65"/>
        <v>91563</v>
      </c>
      <c r="I62" s="24">
        <f t="shared" si="65"/>
        <v>190375300.8</v>
      </c>
      <c r="J62" s="26">
        <f t="shared" si="65"/>
        <v>192801996</v>
      </c>
      <c r="K62" s="26">
        <f t="shared" si="65"/>
        <v>-2426695.123</v>
      </c>
      <c r="L62" s="26">
        <f t="shared" si="65"/>
        <v>190375300.8</v>
      </c>
      <c r="M62" s="26">
        <f t="shared" si="65"/>
        <v>192801996</v>
      </c>
      <c r="N62" s="26">
        <f t="shared" si="65"/>
        <v>-2426695.123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69</v>
      </c>
      <c r="B63" s="2"/>
      <c r="C63" s="3"/>
      <c r="D63" s="6"/>
      <c r="E63" s="6"/>
      <c r="F63" s="6"/>
      <c r="G63" s="6"/>
      <c r="H63" s="5"/>
      <c r="I63" s="6"/>
      <c r="J63" s="4"/>
      <c r="K63" s="4"/>
      <c r="L63" s="4"/>
      <c r="M63" s="4"/>
      <c r="N63" s="4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ht="12.0" customHeight="1">
      <c r="A64" s="18" t="s">
        <v>20</v>
      </c>
      <c r="B64" s="2"/>
      <c r="C64" s="3"/>
      <c r="D64" s="6"/>
      <c r="E64" s="6"/>
      <c r="F64" s="6"/>
      <c r="G64" s="6"/>
      <c r="H64" s="5"/>
      <c r="I64" s="6"/>
      <c r="J64" s="4"/>
      <c r="K64" s="4"/>
      <c r="L64" s="4"/>
      <c r="M64" s="4"/>
      <c r="N64" s="4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3"/>
      <c r="B65" s="2">
        <v>42.0</v>
      </c>
      <c r="C65" s="3" t="s">
        <v>70</v>
      </c>
      <c r="D65" s="6">
        <v>4.414936003371E10</v>
      </c>
      <c r="E65" s="6">
        <v>2.7338568633E8</v>
      </c>
      <c r="F65" s="6">
        <f t="shared" ref="F65:F75" si="67">D65-E65</f>
        <v>43875974347</v>
      </c>
      <c r="G65" s="6">
        <v>1.20768236E9</v>
      </c>
      <c r="H65" s="5">
        <v>26784.0</v>
      </c>
      <c r="I65" s="6">
        <v>2.4003897634E8</v>
      </c>
      <c r="J65" s="4">
        <v>4.7615671028E8</v>
      </c>
      <c r="K65" s="4">
        <f t="shared" ref="K65:K75" si="68">I65-J65</f>
        <v>-236117733.9</v>
      </c>
      <c r="L65" s="4">
        <f t="shared" ref="L65:M65" si="66">I65</f>
        <v>240038976.3</v>
      </c>
      <c r="M65" s="4">
        <f t="shared" si="66"/>
        <v>476156710.3</v>
      </c>
      <c r="N65" s="4">
        <f t="shared" ref="N65:N75" si="70">L65-M65</f>
        <v>-236117733.9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71</v>
      </c>
      <c r="D66" s="6">
        <v>2.9515996518E8</v>
      </c>
      <c r="E66" s="6">
        <v>1035949.74</v>
      </c>
      <c r="F66" s="6">
        <f t="shared" si="67"/>
        <v>294124015.4</v>
      </c>
      <c r="G66" s="6">
        <v>0.0</v>
      </c>
      <c r="H66" s="5">
        <v>1044.0</v>
      </c>
      <c r="I66" s="6">
        <v>1277555.3699999999</v>
      </c>
      <c r="J66" s="4">
        <v>220778.64</v>
      </c>
      <c r="K66" s="4">
        <f t="shared" si="68"/>
        <v>1056776.73</v>
      </c>
      <c r="L66" s="4">
        <f t="shared" ref="L66:M66" si="69">I66</f>
        <v>1277555.37</v>
      </c>
      <c r="M66" s="4">
        <f t="shared" si="69"/>
        <v>220778.64</v>
      </c>
      <c r="N66" s="4">
        <f t="shared" si="70"/>
        <v>1056776.73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72</v>
      </c>
      <c r="D67" s="6">
        <v>1.35359409876E9</v>
      </c>
      <c r="E67" s="6">
        <v>2.9243612259999998E7</v>
      </c>
      <c r="F67" s="6">
        <f t="shared" si="67"/>
        <v>1324350487</v>
      </c>
      <c r="G67" s="6">
        <v>0.0</v>
      </c>
      <c r="H67" s="5">
        <v>2001.0</v>
      </c>
      <c r="I67" s="6">
        <v>1.0779884490999952E8</v>
      </c>
      <c r="J67" s="4">
        <v>1.0373562719999995E7</v>
      </c>
      <c r="K67" s="4">
        <f t="shared" si="68"/>
        <v>97425282.19</v>
      </c>
      <c r="L67" s="4">
        <f t="shared" ref="L67:M67" si="71">I67</f>
        <v>107798844.9</v>
      </c>
      <c r="M67" s="4">
        <f t="shared" si="71"/>
        <v>10373562.72</v>
      </c>
      <c r="N67" s="4">
        <f t="shared" si="70"/>
        <v>97425282.19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1"/>
      <c r="B68" s="2">
        <v>45.0</v>
      </c>
      <c r="C68" s="3" t="s">
        <v>73</v>
      </c>
      <c r="D68" s="6">
        <v>2.0413104769E8</v>
      </c>
      <c r="E68" s="6">
        <v>307870.25</v>
      </c>
      <c r="F68" s="6">
        <f t="shared" si="67"/>
        <v>203823177.4</v>
      </c>
      <c r="G68" s="6">
        <v>1.8181544997E8</v>
      </c>
      <c r="H68" s="5">
        <v>130.0</v>
      </c>
      <c r="I68" s="6">
        <v>752485.19</v>
      </c>
      <c r="J68" s="4">
        <v>35057.25</v>
      </c>
      <c r="K68" s="4">
        <f t="shared" si="68"/>
        <v>717427.94</v>
      </c>
      <c r="L68" s="4">
        <f t="shared" ref="L68:M68" si="72">I68</f>
        <v>752485.19</v>
      </c>
      <c r="M68" s="4">
        <f t="shared" si="72"/>
        <v>35057.25</v>
      </c>
      <c r="N68" s="4">
        <f t="shared" si="70"/>
        <v>717427.94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v>46.0</v>
      </c>
      <c r="C69" s="3" t="s">
        <v>74</v>
      </c>
      <c r="D69" s="6">
        <v>1.54974303906E9</v>
      </c>
      <c r="E69" s="6">
        <v>5.963068586E7</v>
      </c>
      <c r="F69" s="6">
        <f t="shared" si="67"/>
        <v>1490112353</v>
      </c>
      <c r="G69" s="6">
        <v>0.0</v>
      </c>
      <c r="H69" s="5">
        <v>1913.0</v>
      </c>
      <c r="I69" s="6">
        <v>6324282.5</v>
      </c>
      <c r="J69" s="4">
        <v>4.61795972426E7</v>
      </c>
      <c r="K69" s="4">
        <f t="shared" si="68"/>
        <v>-39855314.74</v>
      </c>
      <c r="L69" s="4">
        <f t="shared" ref="L69:M69" si="73">I69</f>
        <v>6324282.5</v>
      </c>
      <c r="M69" s="4">
        <f t="shared" si="73"/>
        <v>46179597.24</v>
      </c>
      <c r="N69" s="4">
        <f t="shared" si="70"/>
        <v>-39855314.74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75</v>
      </c>
      <c r="D70" s="6">
        <v>1.02826645341E9</v>
      </c>
      <c r="E70" s="6">
        <v>3.783258659E7</v>
      </c>
      <c r="F70" s="6">
        <f t="shared" si="67"/>
        <v>990433866.8</v>
      </c>
      <c r="G70" s="6">
        <v>0.0</v>
      </c>
      <c r="H70" s="5">
        <v>547.0</v>
      </c>
      <c r="I70" s="6">
        <v>1697418.36</v>
      </c>
      <c r="J70" s="4">
        <v>4337617.52</v>
      </c>
      <c r="K70" s="4">
        <f t="shared" si="68"/>
        <v>-2640199.16</v>
      </c>
      <c r="L70" s="4">
        <f t="shared" ref="L70:M70" si="74">I70</f>
        <v>1697418.36</v>
      </c>
      <c r="M70" s="4">
        <f t="shared" si="74"/>
        <v>4337617.52</v>
      </c>
      <c r="N70" s="4">
        <f t="shared" si="70"/>
        <v>-2640199.16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76</v>
      </c>
      <c r="D71" s="6">
        <v>6.79793437524E9</v>
      </c>
      <c r="E71" s="6">
        <v>1.778088924E7</v>
      </c>
      <c r="F71" s="6">
        <f t="shared" si="67"/>
        <v>6780153486</v>
      </c>
      <c r="G71" s="6">
        <v>0.0</v>
      </c>
      <c r="H71" s="5">
        <v>5196.0</v>
      </c>
      <c r="I71" s="6">
        <v>3.217801919E7</v>
      </c>
      <c r="J71" s="4">
        <v>1.725501046E7</v>
      </c>
      <c r="K71" s="4">
        <f t="shared" si="68"/>
        <v>14923008.73</v>
      </c>
      <c r="L71" s="4">
        <f t="shared" ref="L71:M71" si="75">I71</f>
        <v>32178019.19</v>
      </c>
      <c r="M71" s="4">
        <f t="shared" si="75"/>
        <v>17255010.46</v>
      </c>
      <c r="N71" s="4">
        <f t="shared" si="70"/>
        <v>14923008.73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77</v>
      </c>
      <c r="D72" s="6">
        <v>3.23151309096344E8</v>
      </c>
      <c r="E72" s="6">
        <v>697163.246300002</v>
      </c>
      <c r="F72" s="6">
        <f t="shared" si="67"/>
        <v>322454145.9</v>
      </c>
      <c r="G72" s="6">
        <v>1.726967E7</v>
      </c>
      <c r="H72" s="5">
        <v>4123.0</v>
      </c>
      <c r="I72" s="6">
        <v>9932203.39</v>
      </c>
      <c r="J72" s="4">
        <v>1199347.75</v>
      </c>
      <c r="K72" s="4">
        <f t="shared" si="68"/>
        <v>8732855.64</v>
      </c>
      <c r="L72" s="4">
        <f t="shared" ref="L72:M72" si="76">I72</f>
        <v>9932203.39</v>
      </c>
      <c r="M72" s="4">
        <f t="shared" si="76"/>
        <v>1199347.75</v>
      </c>
      <c r="N72" s="4">
        <f t="shared" si="70"/>
        <v>8732855.64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78</v>
      </c>
      <c r="D73" s="6">
        <v>9.21918996E8</v>
      </c>
      <c r="E73" s="28">
        <v>3509162.03</v>
      </c>
      <c r="F73" s="6">
        <f t="shared" si="67"/>
        <v>918409834</v>
      </c>
      <c r="G73" s="6">
        <v>0.0</v>
      </c>
      <c r="H73" s="5">
        <v>782.0</v>
      </c>
      <c r="I73" s="6">
        <v>3312063.639999999</v>
      </c>
      <c r="J73" s="4">
        <v>1444824.7</v>
      </c>
      <c r="K73" s="4">
        <f t="shared" si="68"/>
        <v>1867238.94</v>
      </c>
      <c r="L73" s="4">
        <f t="shared" ref="L73:M73" si="77">I73</f>
        <v>3312063.64</v>
      </c>
      <c r="M73" s="4">
        <f t="shared" si="77"/>
        <v>1444824.7</v>
      </c>
      <c r="N73" s="4">
        <f t="shared" si="70"/>
        <v>1867238.94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79</v>
      </c>
      <c r="D74" s="6">
        <v>4.7018794127E9</v>
      </c>
      <c r="E74" s="6">
        <v>7853815.8</v>
      </c>
      <c r="F74" s="6">
        <f t="shared" si="67"/>
        <v>4694025597</v>
      </c>
      <c r="G74" s="6">
        <v>0.0</v>
      </c>
      <c r="H74" s="5">
        <v>15929.0</v>
      </c>
      <c r="I74" s="6">
        <v>4.66511284099999E7</v>
      </c>
      <c r="J74" s="4">
        <v>4.91667702799999E7</v>
      </c>
      <c r="K74" s="4">
        <f t="shared" si="68"/>
        <v>-2515641.87</v>
      </c>
      <c r="L74" s="4">
        <f t="shared" ref="L74:M74" si="78">I74</f>
        <v>46651128.41</v>
      </c>
      <c r="M74" s="4">
        <f t="shared" si="78"/>
        <v>49166770.28</v>
      </c>
      <c r="N74" s="4">
        <f t="shared" si="70"/>
        <v>-2515641.87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80</v>
      </c>
      <c r="D75" s="6">
        <v>1.6086135005E8</v>
      </c>
      <c r="E75" s="6">
        <v>336668.09</v>
      </c>
      <c r="F75" s="6">
        <f t="shared" si="67"/>
        <v>160524682</v>
      </c>
      <c r="G75" s="6">
        <v>0.0</v>
      </c>
      <c r="H75" s="5">
        <v>2517.0</v>
      </c>
      <c r="I75" s="6">
        <v>820324.04</v>
      </c>
      <c r="J75" s="4">
        <v>2456729.51</v>
      </c>
      <c r="K75" s="4">
        <f t="shared" si="68"/>
        <v>-1636405.47</v>
      </c>
      <c r="L75" s="4">
        <f t="shared" ref="L75:M75" si="79">I75</f>
        <v>820324.04</v>
      </c>
      <c r="M75" s="4">
        <f t="shared" si="79"/>
        <v>2456729.51</v>
      </c>
      <c r="N75" s="4">
        <f t="shared" si="70"/>
        <v>-1636405.47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22" t="s">
        <v>44</v>
      </c>
      <c r="B76" s="1"/>
      <c r="C76" s="1"/>
      <c r="D76" s="24">
        <f t="shared" ref="D76:N76" si="80">SUM(D65:D75)</f>
        <v>61486000081</v>
      </c>
      <c r="E76" s="24">
        <f t="shared" si="80"/>
        <v>431614089.4</v>
      </c>
      <c r="F76" s="24">
        <f t="shared" si="80"/>
        <v>61054385991</v>
      </c>
      <c r="G76" s="24">
        <f t="shared" si="80"/>
        <v>1406767480</v>
      </c>
      <c r="H76" s="25">
        <f t="shared" si="80"/>
        <v>60966</v>
      </c>
      <c r="I76" s="24">
        <f t="shared" si="80"/>
        <v>450783301.3</v>
      </c>
      <c r="J76" s="24">
        <f t="shared" si="80"/>
        <v>608826006.4</v>
      </c>
      <c r="K76" s="24">
        <f t="shared" si="80"/>
        <v>-158042705</v>
      </c>
      <c r="L76" s="24">
        <f t="shared" si="80"/>
        <v>450783301.3</v>
      </c>
      <c r="M76" s="24">
        <f t="shared" si="80"/>
        <v>608826006.4</v>
      </c>
      <c r="N76" s="24">
        <f t="shared" si="80"/>
        <v>-158042705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18" t="s">
        <v>45</v>
      </c>
      <c r="B77" s="2"/>
      <c r="C77" s="3"/>
      <c r="D77" s="6"/>
      <c r="E77" s="6"/>
      <c r="F77" s="6"/>
      <c r="G77" s="6"/>
      <c r="H77" s="5"/>
      <c r="I77" s="6"/>
      <c r="J77" s="4"/>
      <c r="K77" s="4"/>
      <c r="L77" s="4"/>
      <c r="M77" s="4"/>
      <c r="N77" s="4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3"/>
      <c r="B78" s="2">
        <v>53.0</v>
      </c>
      <c r="C78" s="3" t="s">
        <v>81</v>
      </c>
      <c r="D78" s="6">
        <f>50.95*295072707.85</f>
        <v>15033954465</v>
      </c>
      <c r="E78" s="6">
        <f>50.95*1227917.47</f>
        <v>62562395.1</v>
      </c>
      <c r="F78" s="6">
        <f t="shared" ref="F78:F84" si="82">D78-E78</f>
        <v>14971392070</v>
      </c>
      <c r="G78" s="6">
        <v>0.0</v>
      </c>
      <c r="H78" s="5">
        <v>10081.0</v>
      </c>
      <c r="I78" s="6">
        <f>50.95*2086366.04</f>
        <v>106300349.7</v>
      </c>
      <c r="J78" s="4">
        <f>50.95*51622151.07</f>
        <v>2630148597</v>
      </c>
      <c r="K78" s="4">
        <f t="shared" ref="K78:K84" si="83">I78-J78</f>
        <v>-2523848247</v>
      </c>
      <c r="L78" s="4">
        <f t="shared" ref="L78:M78" si="81">I78</f>
        <v>106300349.7</v>
      </c>
      <c r="M78" s="4">
        <f t="shared" si="81"/>
        <v>2630148597</v>
      </c>
      <c r="N78" s="4">
        <f t="shared" ref="N78:N84" si="85">L78-M78</f>
        <v>-2523848247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82</v>
      </c>
      <c r="D79" s="6">
        <v>7.991503239211E8</v>
      </c>
      <c r="E79" s="6">
        <v>2760788.2860999997</v>
      </c>
      <c r="F79" s="6">
        <f t="shared" si="82"/>
        <v>796389535.6</v>
      </c>
      <c r="G79" s="6">
        <v>0.0</v>
      </c>
      <c r="H79" s="5">
        <v>201.0</v>
      </c>
      <c r="I79" s="6">
        <v>85334.22</v>
      </c>
      <c r="J79" s="4">
        <v>75905.56</v>
      </c>
      <c r="K79" s="4">
        <f t="shared" si="83"/>
        <v>9428.66</v>
      </c>
      <c r="L79" s="4">
        <f t="shared" ref="L79:M79" si="84">I79</f>
        <v>85334.22</v>
      </c>
      <c r="M79" s="4">
        <f t="shared" si="84"/>
        <v>75905.56</v>
      </c>
      <c r="N79" s="4">
        <f t="shared" si="85"/>
        <v>9428.66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83</v>
      </c>
      <c r="D80" s="6">
        <v>7.33270758391E8</v>
      </c>
      <c r="E80" s="6">
        <v>3017814.8645</v>
      </c>
      <c r="F80" s="6">
        <f t="shared" si="82"/>
        <v>730252943.5</v>
      </c>
      <c r="G80" s="6">
        <v>0.0</v>
      </c>
      <c r="H80" s="5">
        <v>157.0</v>
      </c>
      <c r="I80" s="6">
        <v>318126.1902</v>
      </c>
      <c r="J80" s="4">
        <v>4584199.1231673</v>
      </c>
      <c r="K80" s="4">
        <f t="shared" si="83"/>
        <v>-4266072.933</v>
      </c>
      <c r="L80" s="4">
        <f t="shared" ref="L80:M80" si="86">I80</f>
        <v>318126.1902</v>
      </c>
      <c r="M80" s="4">
        <f t="shared" si="86"/>
        <v>4584199.123</v>
      </c>
      <c r="N80" s="4">
        <f t="shared" si="85"/>
        <v>-4266072.933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1.25" customHeight="1">
      <c r="A81" s="18"/>
      <c r="B81" s="2">
        <v>56.0</v>
      </c>
      <c r="C81" s="3" t="s">
        <v>84</v>
      </c>
      <c r="D81" s="6">
        <f>50.95*1283295.6</f>
        <v>65383910.82</v>
      </c>
      <c r="E81" s="6">
        <f>50.95*223818.76</f>
        <v>11403565.82</v>
      </c>
      <c r="F81" s="6">
        <f t="shared" si="82"/>
        <v>53980345</v>
      </c>
      <c r="G81" s="6">
        <v>0.0</v>
      </c>
      <c r="H81" s="5">
        <v>28.0</v>
      </c>
      <c r="I81" s="6">
        <v>0.0</v>
      </c>
      <c r="J81" s="4">
        <v>0.0</v>
      </c>
      <c r="K81" s="4">
        <f t="shared" si="83"/>
        <v>0</v>
      </c>
      <c r="L81" s="4">
        <f t="shared" ref="L81:M81" si="87">I81</f>
        <v>0</v>
      </c>
      <c r="M81" s="4">
        <f t="shared" si="87"/>
        <v>0</v>
      </c>
      <c r="N81" s="4">
        <f t="shared" si="85"/>
        <v>0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v>57.0</v>
      </c>
      <c r="C82" s="3" t="s">
        <v>85</v>
      </c>
      <c r="D82" s="6">
        <f>50.95*45642288.19</f>
        <v>2325474583</v>
      </c>
      <c r="E82" s="6">
        <f>50.95*-224942.87</f>
        <v>-11460839.23</v>
      </c>
      <c r="F82" s="6">
        <f t="shared" si="82"/>
        <v>2336935423</v>
      </c>
      <c r="G82" s="6">
        <v>0.0</v>
      </c>
      <c r="H82" s="5">
        <v>2068.0</v>
      </c>
      <c r="I82" s="6">
        <f>50.95*198.1</f>
        <v>10093.195</v>
      </c>
      <c r="J82" s="4">
        <f>50.95*77248.53</f>
        <v>3935812.604</v>
      </c>
      <c r="K82" s="4">
        <f t="shared" si="83"/>
        <v>-3925719.409</v>
      </c>
      <c r="L82" s="4">
        <f t="shared" ref="L82:M82" si="88">I82</f>
        <v>10093.195</v>
      </c>
      <c r="M82" s="4">
        <f t="shared" si="88"/>
        <v>3935812.604</v>
      </c>
      <c r="N82" s="4">
        <f t="shared" si="85"/>
        <v>-3925719.409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86</v>
      </c>
      <c r="D83" s="6">
        <v>2.23880480129227E8</v>
      </c>
      <c r="E83" s="6">
        <v>869170.256323162</v>
      </c>
      <c r="F83" s="6">
        <f t="shared" si="82"/>
        <v>223011309.9</v>
      </c>
      <c r="G83" s="6">
        <v>0.0</v>
      </c>
      <c r="H83" s="5">
        <v>131.0</v>
      </c>
      <c r="I83" s="6">
        <v>25475.0</v>
      </c>
      <c r="J83" s="4">
        <v>37628.1035</v>
      </c>
      <c r="K83" s="4">
        <f t="shared" si="83"/>
        <v>-12153.1035</v>
      </c>
      <c r="L83" s="4">
        <f t="shared" ref="L83:M83" si="89">I83</f>
        <v>25475</v>
      </c>
      <c r="M83" s="4">
        <f t="shared" si="89"/>
        <v>37628.1035</v>
      </c>
      <c r="N83" s="4">
        <f t="shared" si="85"/>
        <v>-12153.1035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87</v>
      </c>
      <c r="D84" s="6">
        <f>50.95*10608443.76</f>
        <v>540500209.6</v>
      </c>
      <c r="E84" s="6">
        <f>50.95*500275.45</f>
        <v>25489034.18</v>
      </c>
      <c r="F84" s="6">
        <f t="shared" si="82"/>
        <v>515011175.4</v>
      </c>
      <c r="G84" s="6">
        <v>0.0</v>
      </c>
      <c r="H84" s="5">
        <v>2512.0</v>
      </c>
      <c r="I84" s="6">
        <f>50.95*27473.37</f>
        <v>1399768.202</v>
      </c>
      <c r="J84" s="4">
        <f>50.95*46371.24</f>
        <v>2362614.678</v>
      </c>
      <c r="K84" s="4">
        <f t="shared" si="83"/>
        <v>-962846.4765</v>
      </c>
      <c r="L84" s="4">
        <f t="shared" ref="L84:M84" si="90">I84</f>
        <v>1399768.202</v>
      </c>
      <c r="M84" s="4">
        <f t="shared" si="90"/>
        <v>2362614.678</v>
      </c>
      <c r="N84" s="4">
        <f t="shared" si="85"/>
        <v>-962846.4765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22" t="s">
        <v>88</v>
      </c>
      <c r="B85" s="23"/>
      <c r="C85" s="29"/>
      <c r="D85" s="24">
        <f t="shared" ref="D85:N85" si="91">SUM(D78:D84)</f>
        <v>19721614731</v>
      </c>
      <c r="E85" s="24">
        <f t="shared" si="91"/>
        <v>94641929.28</v>
      </c>
      <c r="F85" s="24">
        <f t="shared" si="91"/>
        <v>19626972802</v>
      </c>
      <c r="G85" s="24">
        <f t="shared" si="91"/>
        <v>0</v>
      </c>
      <c r="H85" s="25">
        <f t="shared" si="91"/>
        <v>15178</v>
      </c>
      <c r="I85" s="24">
        <f t="shared" si="91"/>
        <v>108139146.5</v>
      </c>
      <c r="J85" s="26">
        <f t="shared" si="91"/>
        <v>2641144757</v>
      </c>
      <c r="K85" s="26">
        <f t="shared" si="91"/>
        <v>-2533005611</v>
      </c>
      <c r="L85" s="26">
        <f t="shared" si="91"/>
        <v>108139146.5</v>
      </c>
      <c r="M85" s="26">
        <f t="shared" si="91"/>
        <v>2641144757</v>
      </c>
      <c r="N85" s="26">
        <f t="shared" si="91"/>
        <v>-2533005611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v>60.0</v>
      </c>
      <c r="C86" s="3" t="s">
        <v>89</v>
      </c>
      <c r="D86" s="6">
        <f>56.967195*17167713.89</f>
        <v>977996504.9</v>
      </c>
      <c r="E86" s="6">
        <f>56.967195*75661.66</f>
        <v>4310232.539</v>
      </c>
      <c r="F86" s="6">
        <f>D86-E86</f>
        <v>973686272.3</v>
      </c>
      <c r="G86" s="6">
        <v>0.0</v>
      </c>
      <c r="H86" s="5">
        <v>688.0</v>
      </c>
      <c r="I86" s="6">
        <f>56.967195*12726.21</f>
        <v>724976.4867</v>
      </c>
      <c r="J86" s="4">
        <f>56.967195*34885.28</f>
        <v>1987316.548</v>
      </c>
      <c r="K86" s="4">
        <f>I86-J86</f>
        <v>-1262340.062</v>
      </c>
      <c r="L86" s="4">
        <f t="shared" ref="L86:M86" si="92">I86</f>
        <v>724976.4867</v>
      </c>
      <c r="M86" s="4">
        <f t="shared" si="92"/>
        <v>1987316.548</v>
      </c>
      <c r="N86" s="4">
        <f>L86-M86</f>
        <v>-1262340.062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22" t="s">
        <v>90</v>
      </c>
      <c r="B87" s="29"/>
      <c r="C87" s="1"/>
      <c r="D87" s="24">
        <f t="shared" ref="D87:N87" si="93">SUM(D86)</f>
        <v>977996504.9</v>
      </c>
      <c r="E87" s="24">
        <f t="shared" si="93"/>
        <v>4310232.539</v>
      </c>
      <c r="F87" s="24">
        <f t="shared" si="93"/>
        <v>973686272.3</v>
      </c>
      <c r="G87" s="24">
        <f t="shared" si="93"/>
        <v>0</v>
      </c>
      <c r="H87" s="25">
        <f t="shared" si="93"/>
        <v>688</v>
      </c>
      <c r="I87" s="24">
        <f t="shared" si="93"/>
        <v>724976.4867</v>
      </c>
      <c r="J87" s="26">
        <f t="shared" si="93"/>
        <v>1987316.548</v>
      </c>
      <c r="K87" s="26">
        <f t="shared" si="93"/>
        <v>-1262340.062</v>
      </c>
      <c r="L87" s="26">
        <f t="shared" si="93"/>
        <v>724976.4867</v>
      </c>
      <c r="M87" s="26">
        <f t="shared" si="93"/>
        <v>1987316.548</v>
      </c>
      <c r="N87" s="26">
        <f t="shared" si="93"/>
        <v>-1262340.062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1" t="s">
        <v>91</v>
      </c>
      <c r="B88" s="23"/>
      <c r="C88" s="29"/>
      <c r="D88" s="24">
        <f t="shared" ref="D88:N88" si="94">D76+D85+D87</f>
        <v>82185611317</v>
      </c>
      <c r="E88" s="24">
        <f t="shared" si="94"/>
        <v>530566251.3</v>
      </c>
      <c r="F88" s="24">
        <f t="shared" si="94"/>
        <v>81655045066</v>
      </c>
      <c r="G88" s="24">
        <f t="shared" si="94"/>
        <v>1406767480</v>
      </c>
      <c r="H88" s="25">
        <f t="shared" si="94"/>
        <v>76832</v>
      </c>
      <c r="I88" s="24">
        <f t="shared" si="94"/>
        <v>559647424.4</v>
      </c>
      <c r="J88" s="26">
        <f t="shared" si="94"/>
        <v>3251958080</v>
      </c>
      <c r="K88" s="26">
        <f t="shared" si="94"/>
        <v>-2692310656</v>
      </c>
      <c r="L88" s="26">
        <f t="shared" si="94"/>
        <v>559647424.4</v>
      </c>
      <c r="M88" s="26">
        <f t="shared" si="94"/>
        <v>3251958080</v>
      </c>
      <c r="N88" s="26">
        <f t="shared" si="94"/>
        <v>-2692310656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92</v>
      </c>
      <c r="B89" s="2"/>
      <c r="C89" s="30"/>
      <c r="D89" s="6"/>
      <c r="E89" s="6"/>
      <c r="F89" s="6"/>
      <c r="G89" s="6"/>
      <c r="H89" s="5"/>
      <c r="I89" s="6"/>
      <c r="J89" s="4"/>
      <c r="K89" s="4"/>
      <c r="L89" s="4"/>
      <c r="M89" s="4"/>
      <c r="N89" s="4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8" t="s">
        <v>20</v>
      </c>
      <c r="B90" s="2"/>
      <c r="C90" s="30"/>
      <c r="D90" s="6"/>
      <c r="E90" s="6"/>
      <c r="F90" s="6"/>
      <c r="G90" s="6"/>
      <c r="H90" s="5"/>
      <c r="I90" s="6"/>
      <c r="J90" s="4"/>
      <c r="K90" s="4"/>
      <c r="L90" s="4"/>
      <c r="M90" s="4"/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/>
      <c r="B91" s="2">
        <v>61.0</v>
      </c>
      <c r="C91" s="3" t="s">
        <v>93</v>
      </c>
      <c r="D91" s="6">
        <v>5.835832989631E10</v>
      </c>
      <c r="E91" s="6">
        <v>4.749541583E7</v>
      </c>
      <c r="F91" s="6">
        <f t="shared" ref="F91:F93" si="96">D91-E91</f>
        <v>58310834480</v>
      </c>
      <c r="G91" s="6">
        <v>0.0</v>
      </c>
      <c r="H91" s="5">
        <v>32146.0</v>
      </c>
      <c r="I91" s="6">
        <v>3.92260805212E9</v>
      </c>
      <c r="J91" s="4">
        <v>3.7262291779E9</v>
      </c>
      <c r="K91" s="4">
        <f t="shared" ref="K91:K93" si="97">I91-J91</f>
        <v>196378874.2</v>
      </c>
      <c r="L91" s="4">
        <f t="shared" ref="L91:M91" si="95">I91</f>
        <v>3922608052</v>
      </c>
      <c r="M91" s="4">
        <f t="shared" si="95"/>
        <v>3726229178</v>
      </c>
      <c r="N91" s="4">
        <f t="shared" ref="N91:N93" si="99">L91-M91</f>
        <v>196378874.2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94</v>
      </c>
      <c r="D92" s="6">
        <v>3.09736961658E9</v>
      </c>
      <c r="E92" s="6">
        <v>4.403210192E7</v>
      </c>
      <c r="F92" s="6">
        <f t="shared" si="96"/>
        <v>3053337515</v>
      </c>
      <c r="G92" s="6">
        <v>0.0</v>
      </c>
      <c r="H92" s="5">
        <v>505.0</v>
      </c>
      <c r="I92" s="6">
        <v>4.970822384E8</v>
      </c>
      <c r="J92" s="4">
        <v>2.170161104143E8</v>
      </c>
      <c r="K92" s="4">
        <f t="shared" si="97"/>
        <v>280066128</v>
      </c>
      <c r="L92" s="4">
        <f t="shared" ref="L92:M92" si="98">I92</f>
        <v>497082238.4</v>
      </c>
      <c r="M92" s="4">
        <f t="shared" si="98"/>
        <v>217016110.4</v>
      </c>
      <c r="N92" s="4">
        <f t="shared" si="99"/>
        <v>280066128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/>
      <c r="B93" s="2">
        <v>63.0</v>
      </c>
      <c r="C93" s="3" t="s">
        <v>95</v>
      </c>
      <c r="D93" s="6">
        <v>1.3008649987748E11</v>
      </c>
      <c r="E93" s="6">
        <v>6.3140151424E8</v>
      </c>
      <c r="F93" s="6">
        <f t="shared" si="96"/>
        <v>129455098363</v>
      </c>
      <c r="G93" s="6">
        <v>0.0</v>
      </c>
      <c r="H93" s="5">
        <v>57996.0</v>
      </c>
      <c r="I93" s="6">
        <v>1.74795670038E10</v>
      </c>
      <c r="J93" s="4">
        <v>1.52815669335E10</v>
      </c>
      <c r="K93" s="4">
        <f t="shared" si="97"/>
        <v>2198000070</v>
      </c>
      <c r="L93" s="4">
        <f t="shared" ref="L93:M93" si="100">I93</f>
        <v>17479567004</v>
      </c>
      <c r="M93" s="4">
        <f t="shared" si="100"/>
        <v>15281566934</v>
      </c>
      <c r="N93" s="4">
        <f t="shared" si="99"/>
        <v>2198000070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2" t="s">
        <v>44</v>
      </c>
      <c r="B94" s="2"/>
      <c r="C94" s="3"/>
      <c r="D94" s="24">
        <f t="shared" ref="D94:N94" si="101">SUM(D91:D93)</f>
        <v>191542199390</v>
      </c>
      <c r="E94" s="24">
        <f t="shared" si="101"/>
        <v>722929032</v>
      </c>
      <c r="F94" s="24">
        <f t="shared" si="101"/>
        <v>190819270358</v>
      </c>
      <c r="G94" s="24">
        <f t="shared" si="101"/>
        <v>0</v>
      </c>
      <c r="H94" s="25">
        <f t="shared" si="101"/>
        <v>90647</v>
      </c>
      <c r="I94" s="24">
        <f t="shared" si="101"/>
        <v>21899257294</v>
      </c>
      <c r="J94" s="24">
        <f t="shared" si="101"/>
        <v>19224812222</v>
      </c>
      <c r="K94" s="24">
        <f t="shared" si="101"/>
        <v>2674445073</v>
      </c>
      <c r="L94" s="24">
        <f t="shared" si="101"/>
        <v>21899257294</v>
      </c>
      <c r="M94" s="24">
        <f t="shared" si="101"/>
        <v>19224812222</v>
      </c>
      <c r="N94" s="24">
        <f t="shared" si="101"/>
        <v>2674445073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45</v>
      </c>
      <c r="B95" s="2"/>
      <c r="C95" s="3"/>
      <c r="D95" s="6"/>
      <c r="E95" s="6"/>
      <c r="F95" s="6"/>
      <c r="G95" s="6"/>
      <c r="H95" s="5"/>
      <c r="I95" s="6"/>
      <c r="J95" s="4"/>
      <c r="K95" s="4"/>
      <c r="L95" s="4"/>
      <c r="M95" s="4"/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64.0</v>
      </c>
      <c r="C96" s="3" t="s">
        <v>96</v>
      </c>
      <c r="D96" s="6">
        <f>50.95*181783499.39</f>
        <v>9261869294</v>
      </c>
      <c r="E96" s="6">
        <f>50.95*455733.9</f>
        <v>23219642.21</v>
      </c>
      <c r="F96" s="6">
        <f>D96-E96</f>
        <v>9238649652</v>
      </c>
      <c r="G96" s="6">
        <v>0.0</v>
      </c>
      <c r="H96" s="5">
        <v>2586.0</v>
      </c>
      <c r="I96" s="6">
        <f>50.95*28992800.5</f>
        <v>1477183185</v>
      </c>
      <c r="J96" s="6">
        <f>50.95*33426661.15</f>
        <v>1703088386</v>
      </c>
      <c r="K96" s="4">
        <f>I96-J96</f>
        <v>-225905200.1</v>
      </c>
      <c r="L96" s="4">
        <f t="shared" ref="L96:M96" si="102">I96</f>
        <v>1477183185</v>
      </c>
      <c r="M96" s="4">
        <f t="shared" si="102"/>
        <v>1703088386</v>
      </c>
      <c r="N96" s="4">
        <f>L96-M96</f>
        <v>-225905200.1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2" t="s">
        <v>88</v>
      </c>
      <c r="B97" s="2"/>
      <c r="C97" s="3"/>
      <c r="D97" s="24">
        <f t="shared" ref="D97:N97" si="103">SUM(D96)</f>
        <v>9261869294</v>
      </c>
      <c r="E97" s="24">
        <f t="shared" si="103"/>
        <v>23219642.21</v>
      </c>
      <c r="F97" s="24">
        <f t="shared" si="103"/>
        <v>9238649652</v>
      </c>
      <c r="G97" s="24">
        <f t="shared" si="103"/>
        <v>0</v>
      </c>
      <c r="H97" s="25">
        <f t="shared" si="103"/>
        <v>2586</v>
      </c>
      <c r="I97" s="24">
        <f t="shared" si="103"/>
        <v>1477183185</v>
      </c>
      <c r="J97" s="24">
        <f t="shared" si="103"/>
        <v>1703088386</v>
      </c>
      <c r="K97" s="24">
        <f t="shared" si="103"/>
        <v>-225905200.1</v>
      </c>
      <c r="L97" s="24">
        <f t="shared" si="103"/>
        <v>1477183185</v>
      </c>
      <c r="M97" s="24">
        <f t="shared" si="103"/>
        <v>1703088386</v>
      </c>
      <c r="N97" s="24">
        <f t="shared" si="103"/>
        <v>-225905200.1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 t="s">
        <v>97</v>
      </c>
      <c r="B98" s="2"/>
      <c r="C98" s="3"/>
      <c r="D98" s="24">
        <f t="shared" ref="D98:N98" si="104">D94+D97</f>
        <v>200804068684</v>
      </c>
      <c r="E98" s="24">
        <f t="shared" si="104"/>
        <v>746148674.2</v>
      </c>
      <c r="F98" s="24">
        <f t="shared" si="104"/>
        <v>200057920010</v>
      </c>
      <c r="G98" s="24">
        <f t="shared" si="104"/>
        <v>0</v>
      </c>
      <c r="H98" s="25">
        <f t="shared" si="104"/>
        <v>93233</v>
      </c>
      <c r="I98" s="24">
        <f t="shared" si="104"/>
        <v>23376440480</v>
      </c>
      <c r="J98" s="24">
        <f t="shared" si="104"/>
        <v>20927900607</v>
      </c>
      <c r="K98" s="24">
        <f t="shared" si="104"/>
        <v>2448539872</v>
      </c>
      <c r="L98" s="24">
        <f t="shared" si="104"/>
        <v>23376440480</v>
      </c>
      <c r="M98" s="24">
        <f t="shared" si="104"/>
        <v>20927900607</v>
      </c>
      <c r="N98" s="24">
        <f t="shared" si="104"/>
        <v>2448539872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 t="s">
        <v>98</v>
      </c>
      <c r="B99" s="2"/>
      <c r="C99" s="3"/>
      <c r="D99" s="6"/>
      <c r="E99" s="6"/>
      <c r="F99" s="6"/>
      <c r="G99" s="6"/>
      <c r="H99" s="5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8" t="s">
        <v>99</v>
      </c>
      <c r="B100" s="2"/>
      <c r="C100" s="3"/>
      <c r="D100" s="6"/>
      <c r="E100" s="6"/>
      <c r="F100" s="6"/>
      <c r="G100" s="6"/>
      <c r="H100" s="5"/>
      <c r="I100" s="6"/>
      <c r="J100" s="6"/>
      <c r="K100" s="4"/>
      <c r="L100" s="4"/>
      <c r="M100" s="4"/>
      <c r="N100" s="4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8"/>
      <c r="B101" s="2">
        <v>65.0</v>
      </c>
      <c r="C101" s="3" t="s">
        <v>100</v>
      </c>
      <c r="D101" s="6">
        <v>8.1529972304E9</v>
      </c>
      <c r="E101" s="6">
        <v>1.61401919E8</v>
      </c>
      <c r="F101" s="6">
        <f t="shared" ref="F101:F102" si="106">D101-E101</f>
        <v>7991595311</v>
      </c>
      <c r="G101" s="6">
        <v>0.0</v>
      </c>
      <c r="H101" s="5">
        <v>3189.0</v>
      </c>
      <c r="I101" s="6">
        <v>8.0997977295E8</v>
      </c>
      <c r="J101" s="6">
        <v>2.784055508E7</v>
      </c>
      <c r="K101" s="4">
        <f t="shared" ref="K101:K102" si="107">I101-J101</f>
        <v>782139217.9</v>
      </c>
      <c r="L101" s="4">
        <f t="shared" ref="L101:M101" si="105">I101</f>
        <v>809979773</v>
      </c>
      <c r="M101" s="4">
        <f t="shared" si="105"/>
        <v>27840555.08</v>
      </c>
      <c r="N101" s="4">
        <f t="shared" ref="N101:N102" si="109">L101-M101</f>
        <v>782139217.9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/>
      <c r="B102" s="2">
        <v>66.0</v>
      </c>
      <c r="C102" s="3" t="s">
        <v>101</v>
      </c>
      <c r="D102" s="6">
        <v>3.57344278303E9</v>
      </c>
      <c r="E102" s="6">
        <v>7.828685602E7</v>
      </c>
      <c r="F102" s="6">
        <f t="shared" si="106"/>
        <v>3495155927</v>
      </c>
      <c r="G102" s="6">
        <v>0.0</v>
      </c>
      <c r="H102" s="5">
        <v>4702.0</v>
      </c>
      <c r="I102" s="6">
        <v>1.5534156889E8</v>
      </c>
      <c r="J102" s="6">
        <v>2.0479427423E8</v>
      </c>
      <c r="K102" s="4">
        <f t="shared" si="107"/>
        <v>-49452705.34</v>
      </c>
      <c r="L102" s="4">
        <f t="shared" ref="L102:M102" si="108">I102</f>
        <v>155341568.9</v>
      </c>
      <c r="M102" s="4">
        <f t="shared" si="108"/>
        <v>204794274.2</v>
      </c>
      <c r="N102" s="4">
        <f t="shared" si="109"/>
        <v>-49452705.34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22" t="s">
        <v>44</v>
      </c>
      <c r="B103" s="2"/>
      <c r="C103" s="3"/>
      <c r="D103" s="24">
        <f t="shared" ref="D103:N103" si="110">D101+D102</f>
        <v>11726440013</v>
      </c>
      <c r="E103" s="24">
        <f t="shared" si="110"/>
        <v>239688775</v>
      </c>
      <c r="F103" s="24">
        <f t="shared" si="110"/>
        <v>11486751238</v>
      </c>
      <c r="G103" s="24">
        <f t="shared" si="110"/>
        <v>0</v>
      </c>
      <c r="H103" s="25">
        <f t="shared" si="110"/>
        <v>7891</v>
      </c>
      <c r="I103" s="24">
        <f t="shared" si="110"/>
        <v>965321341.8</v>
      </c>
      <c r="J103" s="24">
        <f t="shared" si="110"/>
        <v>232634829.3</v>
      </c>
      <c r="K103" s="24">
        <f t="shared" si="110"/>
        <v>732686512.5</v>
      </c>
      <c r="L103" s="24">
        <f t="shared" si="110"/>
        <v>965321341.8</v>
      </c>
      <c r="M103" s="24">
        <f t="shared" si="110"/>
        <v>232634829.3</v>
      </c>
      <c r="N103" s="24">
        <f t="shared" si="110"/>
        <v>732686512.5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 t="s">
        <v>102</v>
      </c>
      <c r="B104" s="2"/>
      <c r="C104" s="3"/>
      <c r="D104" s="6"/>
      <c r="E104" s="6"/>
      <c r="F104" s="6"/>
      <c r="G104" s="6"/>
      <c r="H104" s="5"/>
      <c r="I104" s="6"/>
      <c r="J104" s="6"/>
      <c r="K104" s="4"/>
      <c r="L104" s="4"/>
      <c r="M104" s="4"/>
      <c r="N104" s="4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67.0</v>
      </c>
      <c r="C105" s="3" t="s">
        <v>103</v>
      </c>
      <c r="D105" s="6">
        <f>50.95*200489206.92</f>
        <v>10214925093</v>
      </c>
      <c r="E105" s="6">
        <f>50.95*1438849.65</f>
        <v>73309389.67</v>
      </c>
      <c r="F105" s="6">
        <f>D105-E105</f>
        <v>10141615703</v>
      </c>
      <c r="G105" s="6">
        <v>0.0</v>
      </c>
      <c r="H105" s="5">
        <v>8321.0</v>
      </c>
      <c r="I105" s="6">
        <f>50.95*3819929.56</f>
        <v>194625411.1</v>
      </c>
      <c r="J105" s="6">
        <f>50.95*2484464.52</f>
        <v>126583467.3</v>
      </c>
      <c r="K105" s="4">
        <f>I105-J105</f>
        <v>68041943.79</v>
      </c>
      <c r="L105" s="4">
        <f t="shared" ref="L105:M105" si="111">I105</f>
        <v>194625411.1</v>
      </c>
      <c r="M105" s="4">
        <f t="shared" si="111"/>
        <v>126583467.3</v>
      </c>
      <c r="N105" s="4">
        <f>L105-M105</f>
        <v>68041943.79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2" t="s">
        <v>88</v>
      </c>
      <c r="B106" s="23"/>
      <c r="C106" s="1"/>
      <c r="D106" s="24">
        <f t="shared" ref="D106:N106" si="112">SUM(D105)</f>
        <v>10214925093</v>
      </c>
      <c r="E106" s="24">
        <f t="shared" si="112"/>
        <v>73309389.67</v>
      </c>
      <c r="F106" s="24">
        <f t="shared" si="112"/>
        <v>10141615703</v>
      </c>
      <c r="G106" s="24">
        <f t="shared" si="112"/>
        <v>0</v>
      </c>
      <c r="H106" s="25">
        <f t="shared" si="112"/>
        <v>8321</v>
      </c>
      <c r="I106" s="24">
        <f t="shared" si="112"/>
        <v>194625411.1</v>
      </c>
      <c r="J106" s="24">
        <f t="shared" si="112"/>
        <v>126583467.3</v>
      </c>
      <c r="K106" s="24">
        <f t="shared" si="112"/>
        <v>68041943.79</v>
      </c>
      <c r="L106" s="24">
        <f t="shared" si="112"/>
        <v>194625411.1</v>
      </c>
      <c r="M106" s="24">
        <f t="shared" si="112"/>
        <v>126583467.3</v>
      </c>
      <c r="N106" s="24">
        <f t="shared" si="112"/>
        <v>68041943.79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" t="s">
        <v>104</v>
      </c>
      <c r="B107" s="31"/>
      <c r="C107" s="29"/>
      <c r="D107" s="24">
        <f t="shared" ref="D107:F107" si="113">SUM(D103+D106)</f>
        <v>21941365106</v>
      </c>
      <c r="E107" s="24">
        <f t="shared" si="113"/>
        <v>312998164.7</v>
      </c>
      <c r="F107" s="24">
        <f t="shared" si="113"/>
        <v>21628366941</v>
      </c>
      <c r="G107" s="24">
        <f>SUM(G106)</f>
        <v>0</v>
      </c>
      <c r="H107" s="25">
        <f t="shared" ref="H107:N107" si="114">SUM(H103+H106)</f>
        <v>16212</v>
      </c>
      <c r="I107" s="24">
        <f t="shared" si="114"/>
        <v>1159946753</v>
      </c>
      <c r="J107" s="24">
        <f t="shared" si="114"/>
        <v>359218296.6</v>
      </c>
      <c r="K107" s="24">
        <f t="shared" si="114"/>
        <v>800728456.3</v>
      </c>
      <c r="L107" s="24">
        <f t="shared" si="114"/>
        <v>1159946753</v>
      </c>
      <c r="M107" s="24">
        <f t="shared" si="114"/>
        <v>359218296.6</v>
      </c>
      <c r="N107" s="24">
        <f t="shared" si="114"/>
        <v>800728456.3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32" t="s">
        <v>105</v>
      </c>
      <c r="B108" s="33"/>
      <c r="C108" s="34"/>
      <c r="D108" s="35">
        <f t="shared" ref="D108:N108" si="115">D38+D62+D88+D98+D107</f>
        <v>457315124510</v>
      </c>
      <c r="E108" s="35">
        <f t="shared" si="115"/>
        <v>2721441932</v>
      </c>
      <c r="F108" s="35">
        <f t="shared" si="115"/>
        <v>454593682578</v>
      </c>
      <c r="G108" s="35">
        <f t="shared" si="115"/>
        <v>135706491461</v>
      </c>
      <c r="H108" s="35">
        <f t="shared" si="115"/>
        <v>686089</v>
      </c>
      <c r="I108" s="35">
        <f t="shared" si="115"/>
        <v>26260835591</v>
      </c>
      <c r="J108" s="35">
        <f t="shared" si="115"/>
        <v>25654347670</v>
      </c>
      <c r="K108" s="35">
        <f t="shared" si="115"/>
        <v>606487921.4</v>
      </c>
      <c r="L108" s="35">
        <f t="shared" si="115"/>
        <v>26260835591</v>
      </c>
      <c r="M108" s="35">
        <f t="shared" si="115"/>
        <v>25654347670</v>
      </c>
      <c r="N108" s="35">
        <f t="shared" si="115"/>
        <v>606487921.4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2.0" customHeight="1">
      <c r="A109" s="3"/>
      <c r="B109" s="2"/>
      <c r="C109" s="36"/>
      <c r="D109" s="4"/>
      <c r="E109" s="4"/>
      <c r="F109" s="4"/>
      <c r="G109" s="4"/>
      <c r="H109" s="5"/>
      <c r="I109" s="6"/>
      <c r="J109" s="4"/>
      <c r="K109" s="4"/>
      <c r="L109" s="4"/>
      <c r="M109" s="4"/>
      <c r="N109" s="4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30"/>
      <c r="B110" s="36"/>
      <c r="C110" s="36"/>
      <c r="D110" s="4"/>
      <c r="E110" s="4"/>
      <c r="F110" s="4"/>
      <c r="G110" s="4"/>
      <c r="H110" s="5"/>
      <c r="I110" s="4"/>
      <c r="J110" s="4"/>
      <c r="K110" s="4"/>
      <c r="L110" s="4"/>
      <c r="M110" s="4"/>
      <c r="N110" s="4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6"/>
      <c r="B111" s="36"/>
      <c r="C111" s="36"/>
      <c r="D111" s="4"/>
      <c r="E111" s="4"/>
      <c r="F111" s="4"/>
      <c r="G111" s="4"/>
      <c r="H111" s="5"/>
      <c r="I111" s="6"/>
      <c r="J111" s="4"/>
      <c r="K111" s="4"/>
      <c r="L111" s="4"/>
      <c r="M111" s="4"/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36"/>
      <c r="B112" s="36"/>
      <c r="C112" s="36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6"/>
      <c r="B113" s="36"/>
      <c r="C113" s="36"/>
      <c r="D113" s="4"/>
      <c r="E113" s="4"/>
      <c r="F113" s="4"/>
      <c r="G113" s="4"/>
      <c r="H113" s="5"/>
      <c r="I113" s="6"/>
      <c r="J113" s="4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6"/>
      <c r="B114" s="36"/>
      <c r="C114" s="36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6"/>
      <c r="B115" s="36"/>
      <c r="C115" s="36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6"/>
      <c r="B116" s="36"/>
      <c r="C116" s="36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6"/>
      <c r="B117" s="36"/>
      <c r="C117" s="36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6"/>
      <c r="B118" s="36"/>
      <c r="C118" s="36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6"/>
      <c r="B119" s="36"/>
      <c r="C119" s="36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0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106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5.50234573027E9</v>
      </c>
      <c r="E9" s="6">
        <v>4.179523524E7</v>
      </c>
      <c r="F9" s="6">
        <f t="shared" ref="F9:F27" si="1">D9-E9</f>
        <v>5460550495</v>
      </c>
      <c r="G9" s="6">
        <v>5.1599286445E9</v>
      </c>
      <c r="H9" s="5">
        <v>7601.0</v>
      </c>
      <c r="I9" s="6">
        <v>1.660043501E7</v>
      </c>
      <c r="J9" s="4">
        <v>4.450742073E7</v>
      </c>
      <c r="K9" s="4">
        <f t="shared" ref="K9:K27" si="2">I9-J9</f>
        <v>-27906985.72</v>
      </c>
      <c r="L9" s="4">
        <f>I9+Jan!L9</f>
        <v>33179153.95</v>
      </c>
      <c r="M9" s="4">
        <f>J9+Jan!M9</f>
        <v>104034517</v>
      </c>
      <c r="N9" s="4">
        <f t="shared" ref="N9:N27" si="3">L9-M9</f>
        <v>-70855363.01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107</v>
      </c>
      <c r="D10" s="6">
        <v>9.0302161926E8</v>
      </c>
      <c r="E10" s="6">
        <v>4.62475355E7</v>
      </c>
      <c r="F10" s="6">
        <f t="shared" si="1"/>
        <v>856774083.8</v>
      </c>
      <c r="G10" s="6">
        <v>7.5178026215E8</v>
      </c>
      <c r="H10" s="5">
        <v>4346.0</v>
      </c>
      <c r="I10" s="6">
        <v>9.890029781E7</v>
      </c>
      <c r="J10" s="4">
        <v>4.582334885000001E7</v>
      </c>
      <c r="K10" s="4">
        <f t="shared" si="2"/>
        <v>53076948.96</v>
      </c>
      <c r="L10" s="4">
        <f>I10+Jan!L10</f>
        <v>125263595.4</v>
      </c>
      <c r="M10" s="4">
        <f>J10+Jan!M10</f>
        <v>58272166.1</v>
      </c>
      <c r="N10" s="4">
        <f t="shared" si="3"/>
        <v>66991429.28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108</v>
      </c>
      <c r="D11" s="6">
        <v>1.20575333387E9</v>
      </c>
      <c r="E11" s="6">
        <v>2.02491787E7</v>
      </c>
      <c r="F11" s="6">
        <f t="shared" si="1"/>
        <v>1185504155</v>
      </c>
      <c r="G11" s="6">
        <v>1.12541803616E9</v>
      </c>
      <c r="H11" s="5">
        <v>2934.0</v>
      </c>
      <c r="I11" s="6">
        <v>1.377468062E7</v>
      </c>
      <c r="J11" s="4">
        <v>5637747.7700000005</v>
      </c>
      <c r="K11" s="4">
        <f t="shared" si="2"/>
        <v>8136932.85</v>
      </c>
      <c r="L11" s="4">
        <f>I11+Jan!L11</f>
        <v>33111024.61</v>
      </c>
      <c r="M11" s="4">
        <f>J11+Jan!M11</f>
        <v>25875399.18</v>
      </c>
      <c r="N11" s="4">
        <f t="shared" si="3"/>
        <v>7235625.43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6">
        <v>3.5901242823E8</v>
      </c>
      <c r="E12" s="6">
        <v>6112033.47</v>
      </c>
      <c r="F12" s="6">
        <f t="shared" si="1"/>
        <v>352900394.8</v>
      </c>
      <c r="G12" s="6">
        <v>1.1949880861E8</v>
      </c>
      <c r="H12" s="5">
        <v>1645.0</v>
      </c>
      <c r="I12" s="6">
        <v>1434327.42</v>
      </c>
      <c r="J12" s="4">
        <v>303337.57</v>
      </c>
      <c r="K12" s="4">
        <f t="shared" si="2"/>
        <v>1130989.85</v>
      </c>
      <c r="L12" s="4">
        <f>I12+Jan!L12</f>
        <v>2674262.18</v>
      </c>
      <c r="M12" s="4">
        <f>J12+Jan!M12</f>
        <v>5458688.26</v>
      </c>
      <c r="N12" s="4">
        <f t="shared" si="3"/>
        <v>-2784426.08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25</v>
      </c>
      <c r="D13" s="6">
        <v>5.7876477755E8</v>
      </c>
      <c r="E13" s="6">
        <v>1066443.33</v>
      </c>
      <c r="F13" s="6">
        <f t="shared" si="1"/>
        <v>577698334.2</v>
      </c>
      <c r="G13" s="6">
        <v>4.4216959491E8</v>
      </c>
      <c r="H13" s="5">
        <v>1528.0</v>
      </c>
      <c r="I13" s="6">
        <v>1.306489371E7</v>
      </c>
      <c r="J13" s="4">
        <v>2483026.0661</v>
      </c>
      <c r="K13" s="4">
        <f t="shared" si="2"/>
        <v>10581867.64</v>
      </c>
      <c r="L13" s="4">
        <f>I13+Jan!L13</f>
        <v>14571405.9</v>
      </c>
      <c r="M13" s="4">
        <f>J13+Jan!M13</f>
        <v>8758275.878</v>
      </c>
      <c r="N13" s="4">
        <f t="shared" si="3"/>
        <v>5813130.019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6">
        <v>4.3983989768E9</v>
      </c>
      <c r="E14" s="6">
        <v>6.552804987E7</v>
      </c>
      <c r="F14" s="6">
        <f t="shared" si="1"/>
        <v>4332870927</v>
      </c>
      <c r="G14" s="6">
        <v>4.02426366683E9</v>
      </c>
      <c r="H14" s="5">
        <v>16569.0</v>
      </c>
      <c r="I14" s="6">
        <v>4.2563072058E7</v>
      </c>
      <c r="J14" s="4">
        <v>9.94093393838003E7</v>
      </c>
      <c r="K14" s="4">
        <f t="shared" si="2"/>
        <v>-56846267.33</v>
      </c>
      <c r="L14" s="4">
        <f>I14+Jan!L14</f>
        <v>84836925.65</v>
      </c>
      <c r="M14" s="4">
        <f>J14+Jan!M14</f>
        <v>221058971.8</v>
      </c>
      <c r="N14" s="4">
        <f t="shared" si="3"/>
        <v>-136222046.2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109</v>
      </c>
      <c r="D15" s="6">
        <v>9.529634144E7</v>
      </c>
      <c r="E15" s="6">
        <v>1085574.41</v>
      </c>
      <c r="F15" s="6">
        <f t="shared" si="1"/>
        <v>94210767.03</v>
      </c>
      <c r="G15" s="6">
        <v>9.109774009E7</v>
      </c>
      <c r="H15" s="5">
        <v>525.0</v>
      </c>
      <c r="I15" s="6">
        <v>2260130.832</v>
      </c>
      <c r="J15" s="4">
        <v>2664832.0876</v>
      </c>
      <c r="K15" s="4">
        <f t="shared" si="2"/>
        <v>-404701.2556</v>
      </c>
      <c r="L15" s="4">
        <f>I15+Jan!L15</f>
        <v>3439629.416</v>
      </c>
      <c r="M15" s="4">
        <f>J15+Jan!M15</f>
        <v>3092810.083</v>
      </c>
      <c r="N15" s="4">
        <f t="shared" si="3"/>
        <v>346819.3331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6">
        <v>1.523199538E8</v>
      </c>
      <c r="E16" s="6">
        <v>788522.83</v>
      </c>
      <c r="F16" s="6">
        <f t="shared" si="1"/>
        <v>151531431</v>
      </c>
      <c r="G16" s="6">
        <v>1.434173773E8</v>
      </c>
      <c r="H16" s="5">
        <v>50.0</v>
      </c>
      <c r="I16" s="6">
        <v>1500000.0</v>
      </c>
      <c r="J16" s="4">
        <v>950000.0</v>
      </c>
      <c r="K16" s="4">
        <f t="shared" si="2"/>
        <v>550000</v>
      </c>
      <c r="L16" s="4">
        <f>I16+Jan!L16</f>
        <v>1500000</v>
      </c>
      <c r="M16" s="4">
        <f>J16+Jan!M16</f>
        <v>950000</v>
      </c>
      <c r="N16" s="4">
        <f t="shared" si="3"/>
        <v>550000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6">
        <v>1.761137223725E10</v>
      </c>
      <c r="E17" s="6">
        <v>3.887509937E7</v>
      </c>
      <c r="F17" s="6">
        <f t="shared" si="1"/>
        <v>17572497138</v>
      </c>
      <c r="G17" s="6">
        <v>1.744159369684E10</v>
      </c>
      <c r="H17" s="5">
        <v>12841.0</v>
      </c>
      <c r="I17" s="6">
        <v>2.1841968126E8</v>
      </c>
      <c r="J17" s="4">
        <v>1.260010219E7</v>
      </c>
      <c r="K17" s="4">
        <f t="shared" si="2"/>
        <v>205819579.1</v>
      </c>
      <c r="L17" s="4">
        <f>I17+Jan!L17</f>
        <v>449060880.2</v>
      </c>
      <c r="M17" s="4">
        <f>J17+Jan!M17</f>
        <v>32941628.92</v>
      </c>
      <c r="N17" s="4">
        <f t="shared" si="3"/>
        <v>416119251.2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6">
        <v>3.625866428324E10</v>
      </c>
      <c r="E18" s="6">
        <v>2.3708773132E8</v>
      </c>
      <c r="F18" s="6">
        <f t="shared" si="1"/>
        <v>36021576552</v>
      </c>
      <c r="G18" s="6">
        <v>3.39631084265E10</v>
      </c>
      <c r="H18" s="5">
        <v>12681.0</v>
      </c>
      <c r="I18" s="6">
        <v>1.1954539812E8</v>
      </c>
      <c r="J18" s="4">
        <v>2.8077449634E8</v>
      </c>
      <c r="K18" s="4">
        <f t="shared" si="2"/>
        <v>-161229098.2</v>
      </c>
      <c r="L18" s="4">
        <f>I18+Jan!L18</f>
        <v>210238192.7</v>
      </c>
      <c r="M18" s="4">
        <f>J18+Jan!M18</f>
        <v>324549759.8</v>
      </c>
      <c r="N18" s="4">
        <f t="shared" si="3"/>
        <v>-114311567.2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6">
        <v>2.5453655368805466E9</v>
      </c>
      <c r="E19" s="6">
        <v>1.0292567764E7</v>
      </c>
      <c r="F19" s="6">
        <f t="shared" si="1"/>
        <v>2535072969</v>
      </c>
      <c r="G19" s="6">
        <v>2.33638144995196E9</v>
      </c>
      <c r="H19" s="5">
        <v>5127.0</v>
      </c>
      <c r="I19" s="6">
        <v>4.228489179E7</v>
      </c>
      <c r="J19" s="4">
        <v>1.342288961E7</v>
      </c>
      <c r="K19" s="4">
        <f t="shared" si="2"/>
        <v>28862002.18</v>
      </c>
      <c r="L19" s="4">
        <f>I19+Jan!L19</f>
        <v>56982138.39</v>
      </c>
      <c r="M19" s="4">
        <f>J19+Jan!M19</f>
        <v>74369343.31</v>
      </c>
      <c r="N19" s="4">
        <f t="shared" si="3"/>
        <v>-17387204.92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6">
        <v>1.10712113570697E10</v>
      </c>
      <c r="E20" s="6">
        <v>8.00606972494998E7</v>
      </c>
      <c r="F20" s="6">
        <f t="shared" si="1"/>
        <v>10991150660</v>
      </c>
      <c r="G20" s="6">
        <v>1.016747904166E10</v>
      </c>
      <c r="H20" s="5">
        <v>37169.0</v>
      </c>
      <c r="I20" s="6">
        <v>1.9886752900000006E7</v>
      </c>
      <c r="J20" s="4">
        <v>5.219828404E7</v>
      </c>
      <c r="K20" s="4">
        <f t="shared" si="2"/>
        <v>-32311531.14</v>
      </c>
      <c r="L20" s="4">
        <f>I20+Jan!L20</f>
        <v>56918857.41</v>
      </c>
      <c r="M20" s="4">
        <f>J20+Jan!M20</f>
        <v>87165475.54</v>
      </c>
      <c r="N20" s="4">
        <f t="shared" si="3"/>
        <v>-30246618.13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6">
        <v>3.580819306471891E8</v>
      </c>
      <c r="E21" s="6">
        <v>932982.450000107</v>
      </c>
      <c r="F21" s="6">
        <f t="shared" si="1"/>
        <v>357148948.2</v>
      </c>
      <c r="G21" s="6">
        <v>3.547794399E8</v>
      </c>
      <c r="H21" s="5">
        <v>926.0</v>
      </c>
      <c r="I21" s="6">
        <v>1766160.0</v>
      </c>
      <c r="J21" s="4">
        <v>285613.59</v>
      </c>
      <c r="K21" s="4">
        <f t="shared" si="2"/>
        <v>1480546.41</v>
      </c>
      <c r="L21" s="4">
        <f>I21+Jan!L21</f>
        <v>2433662</v>
      </c>
      <c r="M21" s="4">
        <f>J21+Jan!M21</f>
        <v>581769.94</v>
      </c>
      <c r="N21" s="4">
        <f t="shared" si="3"/>
        <v>1851892.06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6">
        <v>4.039437166441595E9</v>
      </c>
      <c r="E22" s="6">
        <v>2.08342287567999E7</v>
      </c>
      <c r="F22" s="6">
        <f t="shared" si="1"/>
        <v>4018602938</v>
      </c>
      <c r="G22" s="6">
        <v>3.9559663553486857E9</v>
      </c>
      <c r="H22" s="5">
        <v>27429.0</v>
      </c>
      <c r="I22" s="6">
        <v>3.3138872029999997E7</v>
      </c>
      <c r="J22" s="4">
        <v>3.219339092E7</v>
      </c>
      <c r="K22" s="4">
        <f t="shared" si="2"/>
        <v>945481.11</v>
      </c>
      <c r="L22" s="4">
        <f>I22+Jan!L22</f>
        <v>66415738.41</v>
      </c>
      <c r="M22" s="4">
        <f>J22+Jan!M22</f>
        <v>73436341.19</v>
      </c>
      <c r="N22" s="4">
        <f t="shared" si="3"/>
        <v>-7020602.78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6">
        <v>1.106570165219E10</v>
      </c>
      <c r="E23" s="6">
        <v>1.937007085E7</v>
      </c>
      <c r="F23" s="6">
        <f t="shared" si="1"/>
        <v>11046331581</v>
      </c>
      <c r="G23" s="6">
        <v>1.099720197122E10</v>
      </c>
      <c r="H23" s="5">
        <v>9411.0</v>
      </c>
      <c r="I23" s="6">
        <v>8362814.05</v>
      </c>
      <c r="J23" s="4">
        <v>1.1861505219E8</v>
      </c>
      <c r="K23" s="4">
        <f t="shared" si="2"/>
        <v>-110252238.1</v>
      </c>
      <c r="L23" s="4">
        <f>I23+Jan!L23</f>
        <v>17782110.95</v>
      </c>
      <c r="M23" s="4">
        <f>J23+Jan!M23</f>
        <v>192122024.6</v>
      </c>
      <c r="N23" s="4">
        <f t="shared" si="3"/>
        <v>-174339913.6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19" t="s">
        <v>36</v>
      </c>
      <c r="D24" s="6">
        <v>2.64070844931E9</v>
      </c>
      <c r="E24" s="6">
        <v>4.247194478E7</v>
      </c>
      <c r="F24" s="6">
        <f t="shared" si="1"/>
        <v>2598236505</v>
      </c>
      <c r="G24" s="6">
        <v>2.4722371604E9</v>
      </c>
      <c r="H24" s="5">
        <v>13051.0</v>
      </c>
      <c r="I24" s="6">
        <v>2.685636518999999E7</v>
      </c>
      <c r="J24" s="4">
        <v>1661775.7499999995</v>
      </c>
      <c r="K24" s="4">
        <f t="shared" si="2"/>
        <v>25194589.44</v>
      </c>
      <c r="L24" s="4">
        <f>I24+Jan!L24</f>
        <v>68258354.23</v>
      </c>
      <c r="M24" s="4">
        <f>J24+Jan!M24</f>
        <v>5256363.83</v>
      </c>
      <c r="N24" s="4">
        <f t="shared" si="3"/>
        <v>63001990.4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v>17.0</v>
      </c>
      <c r="C25" s="21" t="s">
        <v>37</v>
      </c>
      <c r="D25" s="6">
        <v>8.01239597642E9</v>
      </c>
      <c r="E25" s="6">
        <v>4.049316777E7</v>
      </c>
      <c r="F25" s="6">
        <f t="shared" si="1"/>
        <v>7971902809</v>
      </c>
      <c r="G25" s="6">
        <v>7.8196066672E9</v>
      </c>
      <c r="H25" s="5">
        <v>65428.0</v>
      </c>
      <c r="I25" s="6">
        <v>9.234115009E7</v>
      </c>
      <c r="J25" s="4">
        <v>7.785156885E7</v>
      </c>
      <c r="K25" s="4">
        <f t="shared" si="2"/>
        <v>14489581.24</v>
      </c>
      <c r="L25" s="4">
        <f>I25+Jan!L25</f>
        <v>142576131.8</v>
      </c>
      <c r="M25" s="4">
        <f>J25+Jan!M25</f>
        <v>188362696.8</v>
      </c>
      <c r="N25" s="4">
        <f t="shared" si="3"/>
        <v>-45786565.01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v>18.0</v>
      </c>
      <c r="C26" s="21" t="s">
        <v>38</v>
      </c>
      <c r="D26" s="6">
        <v>1.222515643142E10</v>
      </c>
      <c r="E26" s="6">
        <v>1.6544062606E8</v>
      </c>
      <c r="F26" s="6">
        <f t="shared" si="1"/>
        <v>12059715805</v>
      </c>
      <c r="G26" s="6">
        <v>1.202428278528E10</v>
      </c>
      <c r="H26" s="5">
        <v>55304.0</v>
      </c>
      <c r="I26" s="6">
        <v>4.8536528659E8</v>
      </c>
      <c r="J26" s="4">
        <v>4.370609077E8</v>
      </c>
      <c r="K26" s="4">
        <f t="shared" si="2"/>
        <v>48304378.89</v>
      </c>
      <c r="L26" s="4">
        <f>I26+Jan!L26</f>
        <v>635899355.7</v>
      </c>
      <c r="M26" s="4">
        <f>J26+Jan!M26</f>
        <v>620064066.3</v>
      </c>
      <c r="N26" s="4">
        <f t="shared" si="3"/>
        <v>15835289.4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6">
        <v>6.687162360380003E8</v>
      </c>
      <c r="E27" s="6">
        <v>5676745.132477783</v>
      </c>
      <c r="F27" s="6">
        <f t="shared" si="1"/>
        <v>663039490.9</v>
      </c>
      <c r="G27" s="6">
        <v>5.916565400000004E8</v>
      </c>
      <c r="H27" s="5">
        <v>1303.0</v>
      </c>
      <c r="I27" s="6">
        <v>7901800.64</v>
      </c>
      <c r="J27" s="4">
        <v>307375.51</v>
      </c>
      <c r="K27" s="4">
        <f t="shared" si="2"/>
        <v>7594425.13</v>
      </c>
      <c r="L27" s="4">
        <f>I27+Jan!L27</f>
        <v>8877864.38</v>
      </c>
      <c r="M27" s="4">
        <f>J27+Jan!M27</f>
        <v>785120.05</v>
      </c>
      <c r="N27" s="4">
        <f t="shared" si="3"/>
        <v>8092744.33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5"/>
      <c r="I28" s="6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3"/>
      <c r="B29" s="2">
        <v>20.0</v>
      </c>
      <c r="C29" s="3" t="s">
        <v>41</v>
      </c>
      <c r="D29" s="6">
        <v>3.678498795040011E8</v>
      </c>
      <c r="E29" s="6">
        <v>6639840.32899999</v>
      </c>
      <c r="F29" s="6">
        <f t="shared" ref="F29:F30" si="4">D29-E29</f>
        <v>361210039.2</v>
      </c>
      <c r="G29" s="6">
        <v>3.1323153392E8</v>
      </c>
      <c r="H29" s="5">
        <v>1189.0</v>
      </c>
      <c r="I29" s="6">
        <v>1.889286011E7</v>
      </c>
      <c r="J29" s="4">
        <v>3320308.59</v>
      </c>
      <c r="K29" s="4">
        <f t="shared" ref="K29:K30" si="5">I29-J29</f>
        <v>15572551.52</v>
      </c>
      <c r="L29" s="4">
        <f>I29+Jan!L29</f>
        <v>27131986.62</v>
      </c>
      <c r="M29" s="4">
        <f>J29+Jan!M29</f>
        <v>8000241.28</v>
      </c>
      <c r="N29" s="4">
        <f t="shared" ref="N29:N30" si="6">L29-M29</f>
        <v>19131745.34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35</v>
      </c>
      <c r="D30" s="6">
        <v>2.0859375099E8</v>
      </c>
      <c r="E30" s="6">
        <v>1.768584363E7</v>
      </c>
      <c r="F30" s="6">
        <f t="shared" si="4"/>
        <v>190907907.4</v>
      </c>
      <c r="G30" s="6">
        <v>1.9030951E8</v>
      </c>
      <c r="H30" s="5">
        <v>223356.55</v>
      </c>
      <c r="I30" s="6">
        <v>5.498528176E7</v>
      </c>
      <c r="J30" s="4">
        <v>8160245.73</v>
      </c>
      <c r="K30" s="4">
        <f t="shared" si="5"/>
        <v>46825036.03</v>
      </c>
      <c r="L30" s="4">
        <f>I30+Jan!L30</f>
        <v>215881732.3</v>
      </c>
      <c r="M30" s="4">
        <f>J30+Jan!M30</f>
        <v>21499796.69</v>
      </c>
      <c r="N30" s="4">
        <f t="shared" si="6"/>
        <v>194381935.6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18" t="s">
        <v>42</v>
      </c>
      <c r="B31" s="2"/>
      <c r="C31" s="3"/>
      <c r="D31" s="6"/>
      <c r="E31" s="6"/>
      <c r="F31" s="6"/>
      <c r="G31" s="6"/>
      <c r="H31" s="5"/>
      <c r="I31" s="6"/>
      <c r="J31" s="4"/>
      <c r="K31" s="4"/>
      <c r="L31" s="4"/>
      <c r="M31" s="4"/>
      <c r="N31" s="4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1.25" customHeight="1">
      <c r="A32" s="3"/>
      <c r="B32" s="2">
        <v>22.0</v>
      </c>
      <c r="C32" s="3" t="s">
        <v>43</v>
      </c>
      <c r="D32" s="6">
        <v>2.27031834532E9</v>
      </c>
      <c r="E32" s="6">
        <v>4918758.19</v>
      </c>
      <c r="F32" s="6">
        <f>D32-E32</f>
        <v>2265399587</v>
      </c>
      <c r="G32" s="6">
        <v>2.24355042058E9</v>
      </c>
      <c r="H32" s="5">
        <v>3087.0</v>
      </c>
      <c r="I32" s="6">
        <v>1.3570706E7</v>
      </c>
      <c r="J32" s="4">
        <v>0.0</v>
      </c>
      <c r="K32" s="4">
        <f>I32-J32</f>
        <v>13570706</v>
      </c>
      <c r="L32" s="4">
        <f>I32+Jan!L32</f>
        <v>24451462</v>
      </c>
      <c r="M32" s="4">
        <f>J32+Jan!M32</f>
        <v>3331959</v>
      </c>
      <c r="N32" s="4">
        <f>L32-M32</f>
        <v>21119503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22" t="s">
        <v>44</v>
      </c>
      <c r="B33" s="23"/>
      <c r="C33" s="1"/>
      <c r="D33" s="24">
        <f t="shared" ref="D33:N33" si="7">SUM(D9:D32)</f>
        <v>122538486394</v>
      </c>
      <c r="E33" s="24">
        <f t="shared" si="7"/>
        <v>873652877</v>
      </c>
      <c r="F33" s="24">
        <f t="shared" si="7"/>
        <v>121664833517</v>
      </c>
      <c r="G33" s="24">
        <f t="shared" si="7"/>
        <v>116728959129</v>
      </c>
      <c r="H33" s="25">
        <f t="shared" si="7"/>
        <v>503500.55</v>
      </c>
      <c r="I33" s="24">
        <f t="shared" si="7"/>
        <v>1333415858</v>
      </c>
      <c r="J33" s="26">
        <f t="shared" si="7"/>
        <v>1240231063</v>
      </c>
      <c r="K33" s="26">
        <f t="shared" si="7"/>
        <v>93184794.52</v>
      </c>
      <c r="L33" s="26">
        <f t="shared" si="7"/>
        <v>2281484464</v>
      </c>
      <c r="M33" s="26">
        <f t="shared" si="7"/>
        <v>2059967416</v>
      </c>
      <c r="N33" s="26">
        <f t="shared" si="7"/>
        <v>221517048.5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2.0" customHeight="1">
      <c r="A34" s="18" t="s">
        <v>45</v>
      </c>
      <c r="B34" s="2"/>
      <c r="C34" s="3"/>
      <c r="D34" s="6"/>
      <c r="E34" s="6"/>
      <c r="F34" s="6"/>
      <c r="G34" s="6"/>
      <c r="H34" s="5"/>
      <c r="I34" s="6"/>
      <c r="J34" s="4"/>
      <c r="K34" s="4"/>
      <c r="L34" s="4"/>
      <c r="M34" s="4"/>
      <c r="N34" s="4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2.0" customHeight="1">
      <c r="A35" s="3"/>
      <c r="B35" s="2">
        <v>23.0</v>
      </c>
      <c r="C35" s="3" t="s">
        <v>110</v>
      </c>
      <c r="D35" s="6">
        <v>4.8507171468600005E7</v>
      </c>
      <c r="E35" s="6">
        <v>870845.5596</v>
      </c>
      <c r="F35" s="6">
        <f t="shared" ref="F35:F36" si="8">D35-E35</f>
        <v>47636325.91</v>
      </c>
      <c r="G35" s="27">
        <v>0.0</v>
      </c>
      <c r="H35" s="5">
        <v>57.0</v>
      </c>
      <c r="I35" s="6">
        <v>66487.45</v>
      </c>
      <c r="J35" s="4">
        <v>0.0</v>
      </c>
      <c r="K35" s="4">
        <f t="shared" ref="K35:K36" si="9">I35-J35</f>
        <v>66487.45</v>
      </c>
      <c r="L35" s="4">
        <f>I35+Jan!L35</f>
        <v>66587.22</v>
      </c>
      <c r="M35" s="4">
        <f>J35+Jan!M35</f>
        <v>3932.8</v>
      </c>
      <c r="N35" s="4">
        <f t="shared" ref="N35:N36" si="10">L35-M35</f>
        <v>62654.42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47</v>
      </c>
      <c r="D36" s="6">
        <f>51.27*38407946.19</f>
        <v>1969175401</v>
      </c>
      <c r="E36" s="6">
        <f>51.27*456910.44</f>
        <v>23425798.26</v>
      </c>
      <c r="F36" s="6">
        <f t="shared" si="8"/>
        <v>1945749603</v>
      </c>
      <c r="G36" s="6">
        <v>0.0</v>
      </c>
      <c r="H36" s="5">
        <v>2737.0</v>
      </c>
      <c r="I36" s="6">
        <f>51.27*1708172.56</f>
        <v>87578007.15</v>
      </c>
      <c r="J36" s="6">
        <f>51.27*827089.28</f>
        <v>42404867.39</v>
      </c>
      <c r="K36" s="4">
        <f t="shared" si="9"/>
        <v>45173139.77</v>
      </c>
      <c r="L36" s="4">
        <f>I36+Jan!L36</f>
        <v>113934934.8</v>
      </c>
      <c r="M36" s="4">
        <f>J36+Jan!M36</f>
        <v>145133272.6</v>
      </c>
      <c r="N36" s="4">
        <f t="shared" si="10"/>
        <v>-31198337.77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22" t="s">
        <v>48</v>
      </c>
      <c r="B37" s="23"/>
      <c r="C37" s="1"/>
      <c r="D37" s="24">
        <f t="shared" ref="D37:N37" si="11">SUM(D35:D36)</f>
        <v>2017682573</v>
      </c>
      <c r="E37" s="24">
        <f t="shared" si="11"/>
        <v>24296643.82</v>
      </c>
      <c r="F37" s="24">
        <f t="shared" si="11"/>
        <v>1993385929</v>
      </c>
      <c r="G37" s="24">
        <f t="shared" si="11"/>
        <v>0</v>
      </c>
      <c r="H37" s="25">
        <f t="shared" si="11"/>
        <v>2794</v>
      </c>
      <c r="I37" s="24">
        <f t="shared" si="11"/>
        <v>87644494.6</v>
      </c>
      <c r="J37" s="26">
        <f t="shared" si="11"/>
        <v>42404867.39</v>
      </c>
      <c r="K37" s="26">
        <f t="shared" si="11"/>
        <v>45239627.22</v>
      </c>
      <c r="L37" s="26">
        <f t="shared" si="11"/>
        <v>114001522.1</v>
      </c>
      <c r="M37" s="26">
        <f t="shared" si="11"/>
        <v>145137205.4</v>
      </c>
      <c r="N37" s="26">
        <f t="shared" si="11"/>
        <v>-31135683.35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2.0" customHeight="1">
      <c r="A38" s="1" t="s">
        <v>49</v>
      </c>
      <c r="B38" s="23"/>
      <c r="C38" s="1"/>
      <c r="D38" s="24">
        <f t="shared" ref="D38:N38" si="12">D33+D37</f>
        <v>124556168967</v>
      </c>
      <c r="E38" s="24">
        <f t="shared" si="12"/>
        <v>897949520.8</v>
      </c>
      <c r="F38" s="24">
        <f t="shared" si="12"/>
        <v>123658219446</v>
      </c>
      <c r="G38" s="24">
        <f t="shared" si="12"/>
        <v>116728959129</v>
      </c>
      <c r="H38" s="25">
        <f t="shared" si="12"/>
        <v>506294.55</v>
      </c>
      <c r="I38" s="24">
        <f t="shared" si="12"/>
        <v>1421060353</v>
      </c>
      <c r="J38" s="26">
        <f t="shared" si="12"/>
        <v>1282635931</v>
      </c>
      <c r="K38" s="26">
        <f t="shared" si="12"/>
        <v>138424421.7</v>
      </c>
      <c r="L38" s="26">
        <f t="shared" si="12"/>
        <v>2395485986</v>
      </c>
      <c r="M38" s="26">
        <f t="shared" si="12"/>
        <v>2205104621</v>
      </c>
      <c r="N38" s="26">
        <f t="shared" si="12"/>
        <v>190381365.1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50</v>
      </c>
      <c r="B39" s="2"/>
      <c r="C39" s="3"/>
      <c r="D39" s="6"/>
      <c r="E39" s="6"/>
      <c r="F39" s="6"/>
      <c r="G39" s="6"/>
      <c r="H39" s="5"/>
      <c r="I39" s="6"/>
      <c r="J39" s="4"/>
      <c r="K39" s="4"/>
      <c r="L39" s="4"/>
      <c r="M39" s="4"/>
      <c r="N39" s="4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ht="12.0" customHeight="1">
      <c r="A40" s="18" t="s">
        <v>20</v>
      </c>
      <c r="B40" s="2"/>
      <c r="C40" s="3"/>
      <c r="D40" s="6"/>
      <c r="E40" s="6"/>
      <c r="F40" s="6"/>
      <c r="G40" s="6"/>
      <c r="H40" s="5"/>
      <c r="I40" s="6"/>
      <c r="J40" s="4"/>
      <c r="K40" s="4"/>
      <c r="L40" s="4"/>
      <c r="M40" s="4"/>
      <c r="N40" s="4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/>
      <c r="B41" s="2">
        <v>25.0</v>
      </c>
      <c r="C41" s="3" t="s">
        <v>111</v>
      </c>
      <c r="D41" s="6">
        <v>1.3571172748E8</v>
      </c>
      <c r="E41" s="6">
        <v>7767502.24</v>
      </c>
      <c r="F41" s="6">
        <f t="shared" ref="F41:F50" si="13">D41-E41</f>
        <v>127944225.2</v>
      </c>
      <c r="G41" s="6">
        <v>4.41002738E7</v>
      </c>
      <c r="H41" s="5">
        <v>737.0</v>
      </c>
      <c r="I41" s="6">
        <v>640001.4999999999</v>
      </c>
      <c r="J41" s="4">
        <v>408396.6999999999</v>
      </c>
      <c r="K41" s="4">
        <f t="shared" ref="K41:K50" si="14">I41-J41</f>
        <v>231604.8</v>
      </c>
      <c r="L41" s="4">
        <f>I41+Jan!L41</f>
        <v>4920454.83</v>
      </c>
      <c r="M41" s="4">
        <f>J41+Jan!M41</f>
        <v>1059930.93</v>
      </c>
      <c r="N41" s="4">
        <f t="shared" ref="N41:N50" si="15">L41-M41</f>
        <v>3860523.9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3"/>
      <c r="B42" s="2">
        <v>26.0</v>
      </c>
      <c r="C42" s="3" t="s">
        <v>112</v>
      </c>
      <c r="D42" s="6">
        <v>7.66179756E8</v>
      </c>
      <c r="E42" s="6">
        <v>7.799620277E7</v>
      </c>
      <c r="F42" s="6">
        <f t="shared" si="13"/>
        <v>688183553.2</v>
      </c>
      <c r="G42" s="6">
        <v>3.670889631E8</v>
      </c>
      <c r="H42" s="5">
        <v>2496.0</v>
      </c>
      <c r="I42" s="6">
        <v>2834082.04</v>
      </c>
      <c r="J42" s="4">
        <v>6744427.540000001</v>
      </c>
      <c r="K42" s="4">
        <f t="shared" si="14"/>
        <v>-3910345.5</v>
      </c>
      <c r="L42" s="4">
        <f>I42+Jan!L42</f>
        <v>4295247.23</v>
      </c>
      <c r="M42" s="4">
        <f>J42+Jan!M42</f>
        <v>11884220.41</v>
      </c>
      <c r="N42" s="4">
        <f t="shared" si="15"/>
        <v>-7588973.18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53</v>
      </c>
      <c r="D43" s="6">
        <v>1.22149721631E9</v>
      </c>
      <c r="E43" s="6">
        <v>1.508250314E7</v>
      </c>
      <c r="F43" s="6">
        <f t="shared" si="13"/>
        <v>1206414713</v>
      </c>
      <c r="G43" s="6">
        <v>7.5770797526E8</v>
      </c>
      <c r="H43" s="5">
        <v>4915.0</v>
      </c>
      <c r="I43" s="6">
        <v>2980749.476</v>
      </c>
      <c r="J43" s="4">
        <v>1.13441689988E8</v>
      </c>
      <c r="K43" s="4">
        <f t="shared" si="14"/>
        <v>-110460940.5</v>
      </c>
      <c r="L43" s="4">
        <f>I43+Jan!L43</f>
        <v>5310109.208</v>
      </c>
      <c r="M43" s="4">
        <f>J43+Jan!M43</f>
        <v>116228306.8</v>
      </c>
      <c r="N43" s="4">
        <f t="shared" si="15"/>
        <v>-110918197.6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54</v>
      </c>
      <c r="D44" s="6">
        <v>2.021003443E8</v>
      </c>
      <c r="E44" s="6">
        <v>2656225.71</v>
      </c>
      <c r="F44" s="6">
        <f t="shared" si="13"/>
        <v>199444118.6</v>
      </c>
      <c r="G44" s="6">
        <v>1.5564739246E8</v>
      </c>
      <c r="H44" s="5">
        <v>117.0</v>
      </c>
      <c r="I44" s="6">
        <v>7.280682772E7</v>
      </c>
      <c r="J44" s="4">
        <v>9966.8754</v>
      </c>
      <c r="K44" s="4">
        <f t="shared" si="14"/>
        <v>72796860.84</v>
      </c>
      <c r="L44" s="4">
        <f>I44+Jan!L44</f>
        <v>171067696.3</v>
      </c>
      <c r="M44" s="4">
        <f>J44+Jan!M44</f>
        <v>9966.8754</v>
      </c>
      <c r="N44" s="4">
        <f t="shared" si="15"/>
        <v>171057729.4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55</v>
      </c>
      <c r="D45" s="6">
        <v>3.6011491558E8</v>
      </c>
      <c r="E45" s="6">
        <v>1580349.65</v>
      </c>
      <c r="F45" s="6">
        <f t="shared" si="13"/>
        <v>358534565.9</v>
      </c>
      <c r="G45" s="6">
        <v>1.7487343026E8</v>
      </c>
      <c r="H45" s="5">
        <v>57.0</v>
      </c>
      <c r="I45" s="6">
        <v>0.0</v>
      </c>
      <c r="J45" s="4">
        <v>1017100.0</v>
      </c>
      <c r="K45" s="4">
        <f t="shared" si="14"/>
        <v>-1017100</v>
      </c>
      <c r="L45" s="4">
        <f>I45+Jan!L45</f>
        <v>0</v>
      </c>
      <c r="M45" s="4">
        <f>J45+Jan!M45</f>
        <v>1017100</v>
      </c>
      <c r="N45" s="4">
        <f t="shared" si="15"/>
        <v>-1017100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56</v>
      </c>
      <c r="D46" s="6">
        <v>6.6010759077E8</v>
      </c>
      <c r="E46" s="6">
        <v>2.706823621E7</v>
      </c>
      <c r="F46" s="6">
        <f t="shared" si="13"/>
        <v>633039354.6</v>
      </c>
      <c r="G46" s="6">
        <v>3.644476774E8</v>
      </c>
      <c r="H46" s="5">
        <v>10272.0</v>
      </c>
      <c r="I46" s="6">
        <v>857580.44</v>
      </c>
      <c r="J46" s="4">
        <v>6899852.41</v>
      </c>
      <c r="K46" s="4">
        <f t="shared" si="14"/>
        <v>-6042271.97</v>
      </c>
      <c r="L46" s="4">
        <f>I46+Jan!L46</f>
        <v>1110746.51</v>
      </c>
      <c r="M46" s="4">
        <f>J46+Jan!M46</f>
        <v>15285952.72</v>
      </c>
      <c r="N46" s="4">
        <f t="shared" si="15"/>
        <v>-14175206.21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57</v>
      </c>
      <c r="D47" s="6">
        <v>1.143906743024E10</v>
      </c>
      <c r="E47" s="6">
        <v>1.3671762263E8</v>
      </c>
      <c r="F47" s="6">
        <f t="shared" si="13"/>
        <v>11302349808</v>
      </c>
      <c r="G47" s="6">
        <v>6.451520638E9</v>
      </c>
      <c r="H47" s="5">
        <v>8384.0</v>
      </c>
      <c r="I47" s="6">
        <v>3.03043164E7</v>
      </c>
      <c r="J47" s="4">
        <v>1.15449942E7</v>
      </c>
      <c r="K47" s="4">
        <f t="shared" si="14"/>
        <v>18759322.2</v>
      </c>
      <c r="L47" s="4">
        <f>I47+Jan!L47</f>
        <v>71574145.85</v>
      </c>
      <c r="M47" s="4">
        <f>J47+Jan!M47</f>
        <v>33552000.42</v>
      </c>
      <c r="N47" s="4">
        <f t="shared" si="15"/>
        <v>38022145.43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1.25" customHeight="1">
      <c r="A48" s="18"/>
      <c r="B48" s="2">
        <v>32.0</v>
      </c>
      <c r="C48" s="3" t="s">
        <v>113</v>
      </c>
      <c r="D48" s="6">
        <v>1.4782265621E8</v>
      </c>
      <c r="E48" s="6">
        <v>228418.95</v>
      </c>
      <c r="F48" s="6">
        <f t="shared" si="13"/>
        <v>147594237.3</v>
      </c>
      <c r="G48" s="6">
        <v>9.3151779E7</v>
      </c>
      <c r="H48" s="5">
        <v>196.0</v>
      </c>
      <c r="I48" s="6">
        <v>210993.86</v>
      </c>
      <c r="J48" s="4">
        <v>0.0</v>
      </c>
      <c r="K48" s="4">
        <f t="shared" si="14"/>
        <v>210993.86</v>
      </c>
      <c r="L48" s="4">
        <f>I48+Jan!L48</f>
        <v>256985.57</v>
      </c>
      <c r="M48" s="4">
        <f>J48+Jan!M48</f>
        <v>3215519.97</v>
      </c>
      <c r="N48" s="4">
        <f t="shared" si="15"/>
        <v>-2958534.4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v>33.0</v>
      </c>
      <c r="C49" s="3" t="s">
        <v>59</v>
      </c>
      <c r="D49" s="6">
        <v>8.69524834295E9</v>
      </c>
      <c r="E49" s="6">
        <v>5.002471581E8</v>
      </c>
      <c r="F49" s="6">
        <f t="shared" si="13"/>
        <v>8195001185</v>
      </c>
      <c r="G49" s="6">
        <v>4.9370881444E9</v>
      </c>
      <c r="H49" s="5">
        <v>52988.0</v>
      </c>
      <c r="I49" s="6">
        <v>1.362941036E7</v>
      </c>
      <c r="J49" s="4">
        <v>4.430535381E7</v>
      </c>
      <c r="K49" s="4">
        <f t="shared" si="14"/>
        <v>-30675943.45</v>
      </c>
      <c r="L49" s="4">
        <f>I49+Jan!L49</f>
        <v>28849593.68</v>
      </c>
      <c r="M49" s="4">
        <f>J49+Jan!M49</f>
        <v>110362820.2</v>
      </c>
      <c r="N49" s="4">
        <f t="shared" si="15"/>
        <v>-81513226.56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60</v>
      </c>
      <c r="D50" s="6">
        <v>1.39529506961E9</v>
      </c>
      <c r="E50" s="6">
        <v>8.577971394E7</v>
      </c>
      <c r="F50" s="6">
        <f t="shared" si="13"/>
        <v>1309515356</v>
      </c>
      <c r="G50" s="6">
        <v>1.0040864209E9</v>
      </c>
      <c r="H50" s="5">
        <v>4996.0</v>
      </c>
      <c r="I50" s="6">
        <v>0.0</v>
      </c>
      <c r="J50" s="4">
        <v>9843032.21</v>
      </c>
      <c r="K50" s="4">
        <f t="shared" si="14"/>
        <v>-9843032.21</v>
      </c>
      <c r="L50" s="4">
        <f>I50+Jan!L50</f>
        <v>0</v>
      </c>
      <c r="M50" s="4">
        <f>J50+Jan!M50</f>
        <v>33627137.74</v>
      </c>
      <c r="N50" s="4">
        <f t="shared" si="15"/>
        <v>-33627137.74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18" t="s">
        <v>40</v>
      </c>
      <c r="B51" s="2"/>
      <c r="C51" s="3"/>
      <c r="D51" s="6"/>
      <c r="E51" s="6"/>
      <c r="F51" s="6"/>
      <c r="G51" s="6"/>
      <c r="H51" s="5"/>
      <c r="I51" s="6"/>
      <c r="J51" s="4"/>
      <c r="K51" s="4"/>
      <c r="L51" s="4"/>
      <c r="M51" s="4"/>
      <c r="N51" s="4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v>35.0</v>
      </c>
      <c r="C52" s="3" t="s">
        <v>61</v>
      </c>
      <c r="D52" s="6">
        <v>7.397284155E7</v>
      </c>
      <c r="E52" s="6">
        <v>140385.24</v>
      </c>
      <c r="F52" s="6">
        <f t="shared" ref="F52:F54" si="16">D52-E52</f>
        <v>73832456.31</v>
      </c>
      <c r="G52" s="6">
        <v>2.70641856E7</v>
      </c>
      <c r="H52" s="5">
        <v>893.0</v>
      </c>
      <c r="I52" s="6">
        <v>795442.23</v>
      </c>
      <c r="J52" s="4">
        <v>55983.53</v>
      </c>
      <c r="K52" s="4">
        <f t="shared" ref="K52:K54" si="17">I52-J52</f>
        <v>739458.7</v>
      </c>
      <c r="L52" s="4">
        <f>I52+Jan!L52</f>
        <v>2269725.65</v>
      </c>
      <c r="M52" s="4">
        <f>J52+Jan!M52</f>
        <v>262083.09</v>
      </c>
      <c r="N52" s="4">
        <f t="shared" ref="N52:N54" si="18">L52-M52</f>
        <v>2007642.56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62</v>
      </c>
      <c r="D53" s="6">
        <v>5.886935972E7</v>
      </c>
      <c r="E53" s="6">
        <v>253448.77</v>
      </c>
      <c r="F53" s="6">
        <f t="shared" si="16"/>
        <v>58615910.95</v>
      </c>
      <c r="G53" s="6">
        <v>4.645307E7</v>
      </c>
      <c r="H53" s="5">
        <v>326.0</v>
      </c>
      <c r="I53" s="6">
        <v>552858.79</v>
      </c>
      <c r="J53" s="4">
        <v>91978.15</v>
      </c>
      <c r="K53" s="4">
        <f t="shared" si="17"/>
        <v>460880.64</v>
      </c>
      <c r="L53" s="4">
        <f>I53+Jan!L53</f>
        <v>3109280.2</v>
      </c>
      <c r="M53" s="4">
        <f>J53+Jan!M53</f>
        <v>204755.83</v>
      </c>
      <c r="N53" s="4">
        <f t="shared" si="18"/>
        <v>2904524.37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63</v>
      </c>
      <c r="D54" s="6">
        <v>5.08694332E7</v>
      </c>
      <c r="E54" s="6">
        <v>233861.55</v>
      </c>
      <c r="F54" s="6">
        <f t="shared" si="16"/>
        <v>50635571.65</v>
      </c>
      <c r="G54" s="6">
        <v>4.31962711E7</v>
      </c>
      <c r="H54" s="5">
        <v>153.0</v>
      </c>
      <c r="I54" s="6">
        <v>137041.16</v>
      </c>
      <c r="J54" s="4">
        <v>39081.62</v>
      </c>
      <c r="K54" s="4">
        <f t="shared" si="17"/>
        <v>97959.54</v>
      </c>
      <c r="L54" s="4">
        <f>I54+Jan!L54</f>
        <v>1087316.31</v>
      </c>
      <c r="M54" s="4">
        <f>J54+Jan!M54</f>
        <v>82520.18</v>
      </c>
      <c r="N54" s="4">
        <f t="shared" si="18"/>
        <v>1004796.13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22" t="s">
        <v>44</v>
      </c>
      <c r="B55" s="22"/>
      <c r="C55" s="1"/>
      <c r="D55" s="24">
        <f t="shared" ref="D55:N55" si="19">SUM(D41:D54)</f>
        <v>25206856684</v>
      </c>
      <c r="E55" s="24">
        <f t="shared" si="19"/>
        <v>855751628.9</v>
      </c>
      <c r="F55" s="24">
        <f t="shared" si="19"/>
        <v>24351105055</v>
      </c>
      <c r="G55" s="24">
        <f t="shared" si="19"/>
        <v>14466426221</v>
      </c>
      <c r="H55" s="25">
        <f t="shared" si="19"/>
        <v>86530</v>
      </c>
      <c r="I55" s="24">
        <f t="shared" si="19"/>
        <v>125749304</v>
      </c>
      <c r="J55" s="24">
        <f t="shared" si="19"/>
        <v>194401857</v>
      </c>
      <c r="K55" s="24">
        <f t="shared" si="19"/>
        <v>-68652553.06</v>
      </c>
      <c r="L55" s="24">
        <f t="shared" si="19"/>
        <v>293851301.3</v>
      </c>
      <c r="M55" s="24">
        <f t="shared" si="19"/>
        <v>326792315.2</v>
      </c>
      <c r="N55" s="24">
        <f t="shared" si="19"/>
        <v>-32941013.92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2.0" customHeight="1">
      <c r="A56" s="18" t="s">
        <v>45</v>
      </c>
      <c r="B56" s="2"/>
      <c r="C56" s="3"/>
      <c r="D56" s="6"/>
      <c r="E56" s="6"/>
      <c r="F56" s="6"/>
      <c r="G56" s="6"/>
      <c r="H56" s="5"/>
      <c r="I56" s="6"/>
      <c r="J56" s="4"/>
      <c r="K56" s="4"/>
      <c r="L56" s="4"/>
      <c r="M56" s="4"/>
      <c r="N56" s="4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18"/>
      <c r="B57" s="2">
        <v>38.0</v>
      </c>
      <c r="C57" s="3" t="s">
        <v>64</v>
      </c>
      <c r="D57" s="6">
        <f>51.27*1503845.87</f>
        <v>77102177.75</v>
      </c>
      <c r="E57" s="6">
        <f>51.27*9096.86</f>
        <v>466396.0122</v>
      </c>
      <c r="F57" s="6">
        <f t="shared" ref="F57:F60" si="20">D57-E57</f>
        <v>76635781.74</v>
      </c>
      <c r="G57" s="6">
        <v>0.0</v>
      </c>
      <c r="H57" s="5">
        <v>56.0</v>
      </c>
      <c r="I57" s="6">
        <f>51.27*100896.29</f>
        <v>5172952.788</v>
      </c>
      <c r="J57" s="6">
        <f>51.27*10398.848</f>
        <v>533148.937</v>
      </c>
      <c r="K57" s="4">
        <f t="shared" ref="K57:K60" si="21">I57-J57</f>
        <v>4639803.851</v>
      </c>
      <c r="L57" s="4">
        <f>I57+Jan!L57</f>
        <v>5201636.619</v>
      </c>
      <c r="M57" s="4">
        <f>J57+Jan!M57</f>
        <v>533148.937</v>
      </c>
      <c r="N57" s="4">
        <f t="shared" ref="N57:N60" si="22">L57-M57</f>
        <v>4668487.682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65</v>
      </c>
      <c r="D58" s="6">
        <f>51.27*7585920.03</f>
        <v>388930119.9</v>
      </c>
      <c r="E58" s="6">
        <f>51.27*503821.89</f>
        <v>25830948.3</v>
      </c>
      <c r="F58" s="6">
        <f t="shared" si="20"/>
        <v>363099171.6</v>
      </c>
      <c r="G58" s="6">
        <f>51.27*3772046.63</f>
        <v>193392830.7</v>
      </c>
      <c r="H58" s="5">
        <v>278.0</v>
      </c>
      <c r="I58" s="6">
        <f>51.27*9199.76</f>
        <v>471671.6952</v>
      </c>
      <c r="J58" s="6">
        <f>51.27*92278.24</f>
        <v>4731105.365</v>
      </c>
      <c r="K58" s="4">
        <f t="shared" si="21"/>
        <v>-4259433.67</v>
      </c>
      <c r="L58" s="4">
        <f>I58+Jan!L58</f>
        <v>471671.6952</v>
      </c>
      <c r="M58" s="4">
        <f>J58+Jan!M58</f>
        <v>5015889.371</v>
      </c>
      <c r="N58" s="4">
        <f t="shared" si="22"/>
        <v>-4544217.676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3"/>
      <c r="B59" s="2">
        <v>40.0</v>
      </c>
      <c r="C59" s="3" t="s">
        <v>66</v>
      </c>
      <c r="D59" s="6">
        <f>51.27*34335445.82</f>
        <v>1760378307</v>
      </c>
      <c r="E59" s="6">
        <f>51.27*285678.01</f>
        <v>14646711.57</v>
      </c>
      <c r="F59" s="6">
        <f t="shared" si="20"/>
        <v>1745731596</v>
      </c>
      <c r="G59" s="6">
        <v>0.0</v>
      </c>
      <c r="H59" s="5">
        <v>4102.0</v>
      </c>
      <c r="I59" s="6">
        <f>51.27*567357.63</f>
        <v>29088425.69</v>
      </c>
      <c r="J59" s="6">
        <f>51.27*440481.78</f>
        <v>22583500.86</v>
      </c>
      <c r="K59" s="4">
        <f t="shared" si="21"/>
        <v>6504924.83</v>
      </c>
      <c r="L59" s="4">
        <f>I59+Jan!L59</f>
        <v>50523967.54</v>
      </c>
      <c r="M59" s="4">
        <f>J59+Jan!M59</f>
        <v>77571341.86</v>
      </c>
      <c r="N59" s="4">
        <f t="shared" si="22"/>
        <v>-27047374.32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67</v>
      </c>
      <c r="D60" s="6">
        <f>51.27*6687874.34</f>
        <v>342887317.4</v>
      </c>
      <c r="E60" s="6">
        <f>51.27*14869.39</f>
        <v>762353.6253</v>
      </c>
      <c r="F60" s="6">
        <f t="shared" si="20"/>
        <v>342124963.8</v>
      </c>
      <c r="G60" s="6">
        <v>0.0</v>
      </c>
      <c r="H60" s="5">
        <v>698.0</v>
      </c>
      <c r="I60" s="6">
        <f>51.27*8000</f>
        <v>410160</v>
      </c>
      <c r="J60" s="6">
        <f>51.27*11473.11</f>
        <v>588226.3497</v>
      </c>
      <c r="K60" s="4">
        <f t="shared" si="21"/>
        <v>-178066.3497</v>
      </c>
      <c r="L60" s="4">
        <f>I60+Jan!L60</f>
        <v>1219237.848</v>
      </c>
      <c r="M60" s="4">
        <f>J60+Jan!M60</f>
        <v>5727139.136</v>
      </c>
      <c r="N60" s="4">
        <f t="shared" si="22"/>
        <v>-4507901.288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22" t="s">
        <v>48</v>
      </c>
      <c r="B61" s="23"/>
      <c r="C61" s="1"/>
      <c r="D61" s="24">
        <f t="shared" ref="D61:N61" si="23">SUM(D57:D60)</f>
        <v>2569297922</v>
      </c>
      <c r="E61" s="24">
        <f t="shared" si="23"/>
        <v>41706409.51</v>
      </c>
      <c r="F61" s="24">
        <f t="shared" si="23"/>
        <v>2527591513</v>
      </c>
      <c r="G61" s="24">
        <f t="shared" si="23"/>
        <v>193392830.7</v>
      </c>
      <c r="H61" s="25">
        <f t="shared" si="23"/>
        <v>5134</v>
      </c>
      <c r="I61" s="24">
        <f t="shared" si="23"/>
        <v>35143210.17</v>
      </c>
      <c r="J61" s="26">
        <f t="shared" si="23"/>
        <v>28435981.51</v>
      </c>
      <c r="K61" s="26">
        <f t="shared" si="23"/>
        <v>6707228.662</v>
      </c>
      <c r="L61" s="26">
        <f t="shared" si="23"/>
        <v>57416513.7</v>
      </c>
      <c r="M61" s="26">
        <f t="shared" si="23"/>
        <v>88847519.3</v>
      </c>
      <c r="N61" s="26">
        <f t="shared" si="23"/>
        <v>-31431005.6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2.0" customHeight="1">
      <c r="A62" s="1" t="s">
        <v>68</v>
      </c>
      <c r="B62" s="23"/>
      <c r="C62" s="1"/>
      <c r="D62" s="24">
        <f t="shared" ref="D62:N62" si="24">D55+D61</f>
        <v>27776154606</v>
      </c>
      <c r="E62" s="24">
        <f t="shared" si="24"/>
        <v>897458038.4</v>
      </c>
      <c r="F62" s="24">
        <f t="shared" si="24"/>
        <v>26878696568</v>
      </c>
      <c r="G62" s="24">
        <f t="shared" si="24"/>
        <v>14659819052</v>
      </c>
      <c r="H62" s="25">
        <f t="shared" si="24"/>
        <v>91664</v>
      </c>
      <c r="I62" s="24">
        <f t="shared" si="24"/>
        <v>160892514.1</v>
      </c>
      <c r="J62" s="26">
        <f t="shared" si="24"/>
        <v>222837838.5</v>
      </c>
      <c r="K62" s="26">
        <f t="shared" si="24"/>
        <v>-61945324.4</v>
      </c>
      <c r="L62" s="26">
        <f t="shared" si="24"/>
        <v>351267815</v>
      </c>
      <c r="M62" s="26">
        <f t="shared" si="24"/>
        <v>415639834.5</v>
      </c>
      <c r="N62" s="26">
        <f t="shared" si="24"/>
        <v>-64372019.52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69</v>
      </c>
      <c r="B63" s="2"/>
      <c r="C63" s="3"/>
      <c r="D63" s="6"/>
      <c r="E63" s="6"/>
      <c r="F63" s="6"/>
      <c r="G63" s="6"/>
      <c r="H63" s="5"/>
      <c r="I63" s="6"/>
      <c r="J63" s="4"/>
      <c r="K63" s="4"/>
      <c r="L63" s="4"/>
      <c r="M63" s="4"/>
      <c r="N63" s="4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ht="12.0" customHeight="1">
      <c r="A64" s="18" t="s">
        <v>20</v>
      </c>
      <c r="B64" s="2"/>
      <c r="C64" s="3"/>
      <c r="D64" s="6"/>
      <c r="E64" s="6"/>
      <c r="F64" s="6"/>
      <c r="G64" s="6"/>
      <c r="H64" s="5"/>
      <c r="I64" s="6"/>
      <c r="J64" s="4"/>
      <c r="K64" s="4"/>
      <c r="L64" s="4"/>
      <c r="M64" s="4"/>
      <c r="N64" s="4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3"/>
      <c r="B65" s="2">
        <v>42.0</v>
      </c>
      <c r="C65" s="3" t="s">
        <v>70</v>
      </c>
      <c r="D65" s="6">
        <v>4.340409823567E10</v>
      </c>
      <c r="E65" s="6">
        <v>2.2615648532E8</v>
      </c>
      <c r="F65" s="6">
        <f t="shared" ref="F65:F75" si="25">D65-E65</f>
        <v>43177941750</v>
      </c>
      <c r="G65" s="6">
        <v>1.18884616E9</v>
      </c>
      <c r="H65" s="5">
        <v>26665.0</v>
      </c>
      <c r="I65" s="6">
        <v>2.7659391002E8</v>
      </c>
      <c r="J65" s="4">
        <v>8.8444716419E8</v>
      </c>
      <c r="K65" s="4">
        <f t="shared" ref="K65:K75" si="26">I65-J65</f>
        <v>-607853254.2</v>
      </c>
      <c r="L65" s="4">
        <f>I65+Jan!L65</f>
        <v>516632886.4</v>
      </c>
      <c r="M65" s="4">
        <f>J65+Jan!M65</f>
        <v>1360603874</v>
      </c>
      <c r="N65" s="4">
        <f t="shared" ref="N65:N75" si="27">L65-M65</f>
        <v>-843970988.1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114</v>
      </c>
      <c r="D66" s="6">
        <v>3.3300126285E8</v>
      </c>
      <c r="E66" s="6">
        <v>3.362611245E7</v>
      </c>
      <c r="F66" s="6">
        <f t="shared" si="25"/>
        <v>299375150.4</v>
      </c>
      <c r="G66" s="6">
        <v>0.0</v>
      </c>
      <c r="H66" s="5">
        <v>1048.0</v>
      </c>
      <c r="I66" s="6">
        <v>7000503.9399999995</v>
      </c>
      <c r="J66" s="4">
        <v>1651569.63</v>
      </c>
      <c r="K66" s="4">
        <f t="shared" si="26"/>
        <v>5348934.31</v>
      </c>
      <c r="L66" s="4">
        <f>I66+Jan!L66</f>
        <v>8278059.31</v>
      </c>
      <c r="M66" s="4">
        <f>J66+Jan!M66</f>
        <v>1872348.27</v>
      </c>
      <c r="N66" s="4">
        <f t="shared" si="27"/>
        <v>6405711.04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72</v>
      </c>
      <c r="D67" s="6">
        <v>1.3474219124799995E9</v>
      </c>
      <c r="E67" s="6">
        <v>1.8887829519999996E7</v>
      </c>
      <c r="F67" s="6">
        <f t="shared" si="25"/>
        <v>1328534083</v>
      </c>
      <c r="G67" s="6">
        <v>0.0</v>
      </c>
      <c r="H67" s="5">
        <v>2011.0</v>
      </c>
      <c r="I67" s="6">
        <v>7048275.749999985</v>
      </c>
      <c r="J67" s="4">
        <v>1249200.8599999992</v>
      </c>
      <c r="K67" s="4">
        <f t="shared" si="26"/>
        <v>5799074.89</v>
      </c>
      <c r="L67" s="4">
        <f>I67+Jan!L67</f>
        <v>114847120.7</v>
      </c>
      <c r="M67" s="4">
        <f>J67+Jan!M67</f>
        <v>11622763.58</v>
      </c>
      <c r="N67" s="4">
        <f t="shared" si="27"/>
        <v>103224357.1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1"/>
      <c r="B68" s="2">
        <v>45.0</v>
      </c>
      <c r="C68" s="3" t="s">
        <v>73</v>
      </c>
      <c r="D68" s="6">
        <v>2.0226400449E8</v>
      </c>
      <c r="E68" s="6">
        <v>277862.29</v>
      </c>
      <c r="F68" s="6">
        <f t="shared" si="25"/>
        <v>201986142.2</v>
      </c>
      <c r="G68" s="6">
        <v>4965000.0</v>
      </c>
      <c r="H68" s="5">
        <v>126.0</v>
      </c>
      <c r="I68" s="6">
        <v>329484.35</v>
      </c>
      <c r="J68" s="4">
        <v>45745.44</v>
      </c>
      <c r="K68" s="4">
        <f t="shared" si="26"/>
        <v>283738.91</v>
      </c>
      <c r="L68" s="4">
        <f>I68+Jan!L68</f>
        <v>1081969.54</v>
      </c>
      <c r="M68" s="4">
        <f>J68+Jan!M68</f>
        <v>80802.69</v>
      </c>
      <c r="N68" s="4">
        <f t="shared" si="27"/>
        <v>1001166.85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v>46.0</v>
      </c>
      <c r="C69" s="3" t="s">
        <v>74</v>
      </c>
      <c r="D69" s="6">
        <v>1.53815652514E9</v>
      </c>
      <c r="E69" s="6">
        <v>5.897545377E7</v>
      </c>
      <c r="F69" s="6">
        <f t="shared" si="25"/>
        <v>1479181071</v>
      </c>
      <c r="G69" s="6">
        <v>0.0</v>
      </c>
      <c r="H69" s="5">
        <v>1907.0</v>
      </c>
      <c r="I69" s="6">
        <v>1689985.5</v>
      </c>
      <c r="J69" s="4">
        <v>7119695.1556</v>
      </c>
      <c r="K69" s="4">
        <f t="shared" si="26"/>
        <v>-5429709.656</v>
      </c>
      <c r="L69" s="4">
        <f>I69+Jan!L69</f>
        <v>8014268</v>
      </c>
      <c r="M69" s="4">
        <f>J69+Jan!M69</f>
        <v>53299292.4</v>
      </c>
      <c r="N69" s="4">
        <f t="shared" si="27"/>
        <v>-45285024.4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75</v>
      </c>
      <c r="D70" s="6">
        <v>9.9478555731E8</v>
      </c>
      <c r="E70" s="6">
        <v>3.82775404E7</v>
      </c>
      <c r="F70" s="6">
        <f t="shared" si="25"/>
        <v>956508016.9</v>
      </c>
      <c r="G70" s="6">
        <v>0.0</v>
      </c>
      <c r="H70" s="5">
        <v>543.0</v>
      </c>
      <c r="I70" s="6">
        <v>4381318.86</v>
      </c>
      <c r="J70" s="4">
        <v>3.490570658E7</v>
      </c>
      <c r="K70" s="4">
        <f t="shared" si="26"/>
        <v>-30524387.72</v>
      </c>
      <c r="L70" s="4">
        <f>I70+Jan!L70</f>
        <v>6078737.22</v>
      </c>
      <c r="M70" s="4">
        <f>J70+Jan!M70</f>
        <v>39243324.1</v>
      </c>
      <c r="N70" s="4">
        <f t="shared" si="27"/>
        <v>-33164586.88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76</v>
      </c>
      <c r="D71" s="6">
        <v>6.6640314366E9</v>
      </c>
      <c r="E71" s="6">
        <v>1.978723669E7</v>
      </c>
      <c r="F71" s="6">
        <f t="shared" si="25"/>
        <v>6644244200</v>
      </c>
      <c r="G71" s="6">
        <v>0.0</v>
      </c>
      <c r="H71" s="5">
        <v>5177.0</v>
      </c>
      <c r="I71" s="6">
        <v>3.090697687E7</v>
      </c>
      <c r="J71" s="4">
        <v>5.633747289E7</v>
      </c>
      <c r="K71" s="4">
        <f t="shared" si="26"/>
        <v>-25430496.02</v>
      </c>
      <c r="L71" s="4">
        <f>I71+Jan!L71</f>
        <v>63084996.06</v>
      </c>
      <c r="M71" s="4">
        <f>J71+Jan!M71</f>
        <v>73592483.35</v>
      </c>
      <c r="N71" s="4">
        <f t="shared" si="27"/>
        <v>-10507487.29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77</v>
      </c>
      <c r="D72" s="6">
        <v>3.16144246542344E8</v>
      </c>
      <c r="E72" s="6">
        <v>1195061.9663</v>
      </c>
      <c r="F72" s="6">
        <f t="shared" si="25"/>
        <v>314949184.6</v>
      </c>
      <c r="G72" s="6">
        <v>1.718704E7</v>
      </c>
      <c r="H72" s="5">
        <v>4159.0</v>
      </c>
      <c r="I72" s="6">
        <v>2133699.0</v>
      </c>
      <c r="J72" s="4">
        <v>5486864.89</v>
      </c>
      <c r="K72" s="4">
        <f t="shared" si="26"/>
        <v>-3353165.89</v>
      </c>
      <c r="L72" s="4">
        <f>I72+Jan!L72</f>
        <v>12065902.39</v>
      </c>
      <c r="M72" s="4">
        <f>J72+Jan!M72</f>
        <v>6686212.64</v>
      </c>
      <c r="N72" s="4">
        <f t="shared" si="27"/>
        <v>5379689.75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78</v>
      </c>
      <c r="D73" s="6">
        <v>1.16101230001E9</v>
      </c>
      <c r="E73" s="28">
        <v>2.492319627E8</v>
      </c>
      <c r="F73" s="6">
        <f t="shared" si="25"/>
        <v>911780337.3</v>
      </c>
      <c r="G73" s="6">
        <v>0.0</v>
      </c>
      <c r="H73" s="5">
        <v>855.0</v>
      </c>
      <c r="I73" s="6">
        <v>354760.93</v>
      </c>
      <c r="J73" s="4">
        <v>155741.12999999998</v>
      </c>
      <c r="K73" s="4">
        <f t="shared" si="26"/>
        <v>199019.8</v>
      </c>
      <c r="L73" s="4">
        <f>I73+Jan!L73</f>
        <v>3666824.57</v>
      </c>
      <c r="M73" s="4">
        <f>J73+Jan!M73</f>
        <v>1600565.83</v>
      </c>
      <c r="N73" s="4">
        <f t="shared" si="27"/>
        <v>2066258.74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79</v>
      </c>
      <c r="D74" s="6">
        <v>5.23049443311E9</v>
      </c>
      <c r="E74" s="6">
        <v>5.8635846175E8</v>
      </c>
      <c r="F74" s="6">
        <f t="shared" si="25"/>
        <v>4644135971</v>
      </c>
      <c r="G74" s="6">
        <v>0.0</v>
      </c>
      <c r="H74" s="5">
        <v>15981.0</v>
      </c>
      <c r="I74" s="6">
        <v>3.67583967599999E7</v>
      </c>
      <c r="J74" s="4">
        <v>5.052861076E7</v>
      </c>
      <c r="K74" s="4">
        <f t="shared" si="26"/>
        <v>-13770214</v>
      </c>
      <c r="L74" s="4">
        <f>I74+Jan!L74</f>
        <v>83409525.17</v>
      </c>
      <c r="M74" s="4">
        <f>J74+Jan!M74</f>
        <v>99695381.04</v>
      </c>
      <c r="N74" s="4">
        <f t="shared" si="27"/>
        <v>-16285855.87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80</v>
      </c>
      <c r="D75" s="6">
        <v>1.7694256873E8</v>
      </c>
      <c r="E75" s="6">
        <v>1.854451364E7</v>
      </c>
      <c r="F75" s="6">
        <f t="shared" si="25"/>
        <v>158398055.1</v>
      </c>
      <c r="G75" s="6">
        <v>0.0</v>
      </c>
      <c r="H75" s="5">
        <v>2529.0</v>
      </c>
      <c r="I75" s="6">
        <v>629646.59</v>
      </c>
      <c r="J75" s="4">
        <v>1179774.65</v>
      </c>
      <c r="K75" s="4">
        <f t="shared" si="26"/>
        <v>-550128.06</v>
      </c>
      <c r="L75" s="4">
        <f>I75+Jan!L75</f>
        <v>1449970.63</v>
      </c>
      <c r="M75" s="4">
        <f>J75+Jan!M75</f>
        <v>3636504.16</v>
      </c>
      <c r="N75" s="4">
        <f t="shared" si="27"/>
        <v>-2186533.53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22" t="s">
        <v>44</v>
      </c>
      <c r="B76" s="1"/>
      <c r="C76" s="1"/>
      <c r="D76" s="24">
        <f t="shared" ref="D76:N76" si="28">SUM(D65:D75)</f>
        <v>61368352483</v>
      </c>
      <c r="E76" s="24">
        <f t="shared" si="28"/>
        <v>1251318520</v>
      </c>
      <c r="F76" s="24">
        <f t="shared" si="28"/>
        <v>60117033962</v>
      </c>
      <c r="G76" s="24">
        <f t="shared" si="28"/>
        <v>1210998200</v>
      </c>
      <c r="H76" s="25">
        <f t="shared" si="28"/>
        <v>61001</v>
      </c>
      <c r="I76" s="24">
        <f t="shared" si="28"/>
        <v>367826958.6</v>
      </c>
      <c r="J76" s="24">
        <f t="shared" si="28"/>
        <v>1043107546</v>
      </c>
      <c r="K76" s="24">
        <f t="shared" si="28"/>
        <v>-675280587.6</v>
      </c>
      <c r="L76" s="24">
        <f t="shared" si="28"/>
        <v>818610259.9</v>
      </c>
      <c r="M76" s="24">
        <f t="shared" si="28"/>
        <v>1651933553</v>
      </c>
      <c r="N76" s="24">
        <f t="shared" si="28"/>
        <v>-833323292.6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18" t="s">
        <v>45</v>
      </c>
      <c r="B77" s="2"/>
      <c r="C77" s="3"/>
      <c r="D77" s="6"/>
      <c r="E77" s="6"/>
      <c r="F77" s="6"/>
      <c r="G77" s="6"/>
      <c r="H77" s="5"/>
      <c r="I77" s="6"/>
      <c r="J77" s="4"/>
      <c r="K77" s="4"/>
      <c r="L77" s="4"/>
      <c r="M77" s="4"/>
      <c r="N77" s="4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3"/>
      <c r="B78" s="2">
        <v>53.0</v>
      </c>
      <c r="C78" s="3" t="s">
        <v>81</v>
      </c>
      <c r="D78" s="6">
        <f>51.27*292286349.75</f>
        <v>14985521152</v>
      </c>
      <c r="E78" s="6">
        <f>51.27*823292.42</f>
        <v>42210202.37</v>
      </c>
      <c r="F78" s="6">
        <f t="shared" ref="F78:F84" si="29">D78-E78</f>
        <v>14943310949</v>
      </c>
      <c r="G78" s="6">
        <v>0.0</v>
      </c>
      <c r="H78" s="5">
        <v>9984.0</v>
      </c>
      <c r="I78" s="6">
        <f>51.27*2626128.9</f>
        <v>134641628.7</v>
      </c>
      <c r="J78" s="4">
        <f>51.27*3859795</f>
        <v>197891689.7</v>
      </c>
      <c r="K78" s="4">
        <f t="shared" ref="K78:K84" si="30">I78-J78</f>
        <v>-63250060.95</v>
      </c>
      <c r="L78" s="4">
        <f>I78+Jan!L78</f>
        <v>240941978.4</v>
      </c>
      <c r="M78" s="4">
        <f>J78+Jan!M78</f>
        <v>2828040287</v>
      </c>
      <c r="N78" s="4">
        <f t="shared" ref="N78:N84" si="31">L78-M78</f>
        <v>-2587098308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115</v>
      </c>
      <c r="D79" s="6">
        <v>7.594970741832E8</v>
      </c>
      <c r="E79" s="6">
        <v>2670206.7129</v>
      </c>
      <c r="F79" s="6">
        <f t="shared" si="29"/>
        <v>756826867.5</v>
      </c>
      <c r="G79" s="6">
        <v>0.0</v>
      </c>
      <c r="H79" s="5">
        <v>204.0</v>
      </c>
      <c r="I79" s="6">
        <v>5983702.73</v>
      </c>
      <c r="J79" s="4">
        <v>1.043038213E7</v>
      </c>
      <c r="K79" s="4">
        <f t="shared" si="30"/>
        <v>-4446679.4</v>
      </c>
      <c r="L79" s="4">
        <f>I79+Jan!L79</f>
        <v>6069036.95</v>
      </c>
      <c r="M79" s="4">
        <f>J79+Jan!M79</f>
        <v>10506287.69</v>
      </c>
      <c r="N79" s="4">
        <f t="shared" si="31"/>
        <v>-4437250.74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83</v>
      </c>
      <c r="D80" s="6">
        <v>7.17490049537E8</v>
      </c>
      <c r="E80" s="6">
        <v>2944348.0215</v>
      </c>
      <c r="F80" s="6">
        <f t="shared" si="29"/>
        <v>714545701.5</v>
      </c>
      <c r="G80" s="6">
        <v>0.0</v>
      </c>
      <c r="H80" s="5">
        <v>156.0</v>
      </c>
      <c r="I80" s="6">
        <v>471918.4315153843</v>
      </c>
      <c r="J80" s="4">
        <v>982244.5069846149</v>
      </c>
      <c r="K80" s="4">
        <f t="shared" si="30"/>
        <v>-510326.0755</v>
      </c>
      <c r="L80" s="4">
        <f>I80+Jan!L80</f>
        <v>790044.6217</v>
      </c>
      <c r="M80" s="4">
        <f>J80+Jan!M80</f>
        <v>5566443.63</v>
      </c>
      <c r="N80" s="4">
        <f t="shared" si="31"/>
        <v>-4776399.008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1.25" customHeight="1">
      <c r="A81" s="18"/>
      <c r="B81" s="2">
        <v>56.0</v>
      </c>
      <c r="C81" s="3" t="s">
        <v>84</v>
      </c>
      <c r="D81" s="6">
        <f>51.27*1259120.11</f>
        <v>64555088.04</v>
      </c>
      <c r="E81" s="6">
        <f>51.27*235558.67</f>
        <v>12077093.01</v>
      </c>
      <c r="F81" s="6">
        <f t="shared" si="29"/>
        <v>52477995.03</v>
      </c>
      <c r="G81" s="6">
        <v>0.0</v>
      </c>
      <c r="H81" s="5">
        <v>27.0</v>
      </c>
      <c r="I81" s="6">
        <v>0.0</v>
      </c>
      <c r="J81" s="4">
        <f>51.27*7046.39</f>
        <v>361268.4153</v>
      </c>
      <c r="K81" s="4">
        <f t="shared" si="30"/>
        <v>-361268.4153</v>
      </c>
      <c r="L81" s="4">
        <f>I81+Jan!L81</f>
        <v>0</v>
      </c>
      <c r="M81" s="4">
        <f>J81+Jan!M81</f>
        <v>361268.4153</v>
      </c>
      <c r="N81" s="4">
        <f t="shared" si="31"/>
        <v>-361268.4153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v>57.0</v>
      </c>
      <c r="C82" s="3" t="s">
        <v>85</v>
      </c>
      <c r="D82" s="6">
        <f>51.27*44208629.73</f>
        <v>2266576446</v>
      </c>
      <c r="E82" s="6">
        <f>51.27*-234373.79</f>
        <v>-12016344.21</v>
      </c>
      <c r="F82" s="6">
        <f t="shared" si="29"/>
        <v>2278592790</v>
      </c>
      <c r="G82" s="6">
        <v>0.0</v>
      </c>
      <c r="H82" s="5">
        <v>2061.0</v>
      </c>
      <c r="I82" s="6">
        <f>51.27*3099444.38</f>
        <v>158908513.4</v>
      </c>
      <c r="J82" s="4">
        <f>51.27*78833.53</f>
        <v>4041795.083</v>
      </c>
      <c r="K82" s="4">
        <f t="shared" si="30"/>
        <v>154866718.3</v>
      </c>
      <c r="L82" s="4">
        <f>I82+Jan!L82</f>
        <v>158918606.6</v>
      </c>
      <c r="M82" s="4">
        <f>J82+Jan!M82</f>
        <v>7977607.687</v>
      </c>
      <c r="N82" s="4">
        <f t="shared" si="31"/>
        <v>150940998.9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86</v>
      </c>
      <c r="D83" s="6">
        <v>2.22551488610727E8</v>
      </c>
      <c r="E83" s="6">
        <v>2013320.7793231618</v>
      </c>
      <c r="F83" s="6">
        <f t="shared" si="29"/>
        <v>220538167.8</v>
      </c>
      <c r="G83" s="6">
        <v>0.0</v>
      </c>
      <c r="H83" s="5">
        <v>129.0</v>
      </c>
      <c r="I83" s="6">
        <v>968050.0</v>
      </c>
      <c r="J83" s="4">
        <v>1422475.0880000002</v>
      </c>
      <c r="K83" s="4">
        <f t="shared" si="30"/>
        <v>-454425.088</v>
      </c>
      <c r="L83" s="4">
        <f>I83+Jan!L83</f>
        <v>993525</v>
      </c>
      <c r="M83" s="4">
        <f>J83+Jan!M83</f>
        <v>1460103.192</v>
      </c>
      <c r="N83" s="4">
        <f t="shared" si="31"/>
        <v>-466578.1915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87</v>
      </c>
      <c r="D84" s="6">
        <f>51.27*9712979.15</f>
        <v>497984441</v>
      </c>
      <c r="E84" s="6">
        <f>51.27*65724.44</f>
        <v>3369692.039</v>
      </c>
      <c r="F84" s="6">
        <f t="shared" si="29"/>
        <v>494614749</v>
      </c>
      <c r="G84" s="6">
        <v>0.0</v>
      </c>
      <c r="H84" s="5">
        <v>2512.0</v>
      </c>
      <c r="I84" s="6">
        <f>51.27*2643.36</f>
        <v>135525.0672</v>
      </c>
      <c r="J84" s="4">
        <f>51.27*77224.55</f>
        <v>3959302.679</v>
      </c>
      <c r="K84" s="4">
        <f t="shared" si="30"/>
        <v>-3823777.611</v>
      </c>
      <c r="L84" s="4">
        <f>I84+Jan!L84</f>
        <v>1535293.269</v>
      </c>
      <c r="M84" s="4">
        <f>J84+Jan!M84</f>
        <v>6321917.357</v>
      </c>
      <c r="N84" s="4">
        <f t="shared" si="31"/>
        <v>-4786624.088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22" t="s">
        <v>88</v>
      </c>
      <c r="B85" s="23"/>
      <c r="C85" s="29"/>
      <c r="D85" s="24">
        <f t="shared" ref="D85:N85" si="32">SUM(D78:D84)</f>
        <v>19514175739</v>
      </c>
      <c r="E85" s="24">
        <f t="shared" si="32"/>
        <v>53268518.72</v>
      </c>
      <c r="F85" s="24">
        <f t="shared" si="32"/>
        <v>19460907221</v>
      </c>
      <c r="G85" s="24">
        <f t="shared" si="32"/>
        <v>0</v>
      </c>
      <c r="H85" s="25">
        <f t="shared" si="32"/>
        <v>15073</v>
      </c>
      <c r="I85" s="24">
        <f t="shared" si="32"/>
        <v>301109338.3</v>
      </c>
      <c r="J85" s="26">
        <f t="shared" si="32"/>
        <v>219089157.6</v>
      </c>
      <c r="K85" s="26">
        <f t="shared" si="32"/>
        <v>82020180.74</v>
      </c>
      <c r="L85" s="26">
        <f t="shared" si="32"/>
        <v>409248484.8</v>
      </c>
      <c r="M85" s="26">
        <f t="shared" si="32"/>
        <v>2860233915</v>
      </c>
      <c r="N85" s="26">
        <f t="shared" si="32"/>
        <v>-2450985430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v>60.0</v>
      </c>
      <c r="C86" s="3" t="s">
        <v>89</v>
      </c>
      <c r="D86" s="6">
        <f>57.330114*16855953.59</f>
        <v>966353740.9</v>
      </c>
      <c r="E86" s="6">
        <f>57.330114*19792.6</f>
        <v>1134712.014</v>
      </c>
      <c r="F86" s="6">
        <f>D86-E86</f>
        <v>965219028.9</v>
      </c>
      <c r="G86" s="6">
        <v>0.0</v>
      </c>
      <c r="H86" s="5">
        <v>684.0</v>
      </c>
      <c r="I86" s="6">
        <f>57.330114*17644.67</f>
        <v>1011570.943</v>
      </c>
      <c r="J86" s="4">
        <f>57.330114*99717.35</f>
        <v>5716807.043</v>
      </c>
      <c r="K86" s="4">
        <f>I86-J86</f>
        <v>-4705236.101</v>
      </c>
      <c r="L86" s="4">
        <f>I86+Jan!L86</f>
        <v>1736547.429</v>
      </c>
      <c r="M86" s="4">
        <f>J86+Jan!M86</f>
        <v>7704123.592</v>
      </c>
      <c r="N86" s="4">
        <f>L86-M86</f>
        <v>-5967576.162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22" t="s">
        <v>90</v>
      </c>
      <c r="B87" s="29"/>
      <c r="C87" s="1"/>
      <c r="D87" s="24">
        <f t="shared" ref="D87:N87" si="33">SUM(D86)</f>
        <v>966353740.9</v>
      </c>
      <c r="E87" s="24">
        <f t="shared" si="33"/>
        <v>1134712.014</v>
      </c>
      <c r="F87" s="24">
        <f t="shared" si="33"/>
        <v>965219028.9</v>
      </c>
      <c r="G87" s="24">
        <f t="shared" si="33"/>
        <v>0</v>
      </c>
      <c r="H87" s="25">
        <f t="shared" si="33"/>
        <v>684</v>
      </c>
      <c r="I87" s="24">
        <f t="shared" si="33"/>
        <v>1011570.943</v>
      </c>
      <c r="J87" s="26">
        <f t="shared" si="33"/>
        <v>5716807.043</v>
      </c>
      <c r="K87" s="26">
        <f t="shared" si="33"/>
        <v>-4705236.101</v>
      </c>
      <c r="L87" s="26">
        <f t="shared" si="33"/>
        <v>1736547.429</v>
      </c>
      <c r="M87" s="26">
        <f t="shared" si="33"/>
        <v>7704123.592</v>
      </c>
      <c r="N87" s="26">
        <f t="shared" si="33"/>
        <v>-5967576.162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1" t="s">
        <v>91</v>
      </c>
      <c r="B88" s="23"/>
      <c r="C88" s="29"/>
      <c r="D88" s="24">
        <f t="shared" ref="D88:N88" si="34">D76+D85+D87</f>
        <v>81848881963</v>
      </c>
      <c r="E88" s="24">
        <f t="shared" si="34"/>
        <v>1305721751</v>
      </c>
      <c r="F88" s="24">
        <f t="shared" si="34"/>
        <v>80543160212</v>
      </c>
      <c r="G88" s="24">
        <f t="shared" si="34"/>
        <v>1210998200</v>
      </c>
      <c r="H88" s="25">
        <f t="shared" si="34"/>
        <v>76758</v>
      </c>
      <c r="I88" s="24">
        <f t="shared" si="34"/>
        <v>669947867.8</v>
      </c>
      <c r="J88" s="26">
        <f t="shared" si="34"/>
        <v>1267913511</v>
      </c>
      <c r="K88" s="26">
        <f t="shared" si="34"/>
        <v>-597965643</v>
      </c>
      <c r="L88" s="26">
        <f t="shared" si="34"/>
        <v>1229595292</v>
      </c>
      <c r="M88" s="26">
        <f t="shared" si="34"/>
        <v>4519871591</v>
      </c>
      <c r="N88" s="26">
        <f t="shared" si="34"/>
        <v>-3290276299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92</v>
      </c>
      <c r="B89" s="2"/>
      <c r="C89" s="30"/>
      <c r="D89" s="6"/>
      <c r="E89" s="6"/>
      <c r="F89" s="6"/>
      <c r="G89" s="6"/>
      <c r="H89" s="5"/>
      <c r="I89" s="6"/>
      <c r="J89" s="4"/>
      <c r="K89" s="4"/>
      <c r="L89" s="4"/>
      <c r="M89" s="4"/>
      <c r="N89" s="4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8" t="s">
        <v>20</v>
      </c>
      <c r="B90" s="2"/>
      <c r="C90" s="30"/>
      <c r="D90" s="6"/>
      <c r="E90" s="6"/>
      <c r="F90" s="6"/>
      <c r="G90" s="6"/>
      <c r="H90" s="5"/>
      <c r="I90" s="6"/>
      <c r="J90" s="4"/>
      <c r="K90" s="4"/>
      <c r="L90" s="4"/>
      <c r="M90" s="4"/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/>
      <c r="B91" s="2">
        <v>61.0</v>
      </c>
      <c r="C91" s="3" t="s">
        <v>93</v>
      </c>
      <c r="D91" s="6">
        <v>5.924495609479E10</v>
      </c>
      <c r="E91" s="6">
        <v>6.368859912E7</v>
      </c>
      <c r="F91" s="6">
        <f t="shared" ref="F91:F93" si="35">D91-E91</f>
        <v>59181267496</v>
      </c>
      <c r="G91" s="6">
        <v>0.0</v>
      </c>
      <c r="H91" s="5">
        <v>32471.0</v>
      </c>
      <c r="I91" s="6">
        <v>3.25918280052E9</v>
      </c>
      <c r="J91" s="4">
        <v>2.43721187394E9</v>
      </c>
      <c r="K91" s="4">
        <f t="shared" ref="K91:K93" si="36">I91-J91</f>
        <v>821970926.6</v>
      </c>
      <c r="L91" s="4">
        <f>I91+Jan!L91</f>
        <v>7181790853</v>
      </c>
      <c r="M91" s="4">
        <f>J91+Jan!M91</f>
        <v>6163441052</v>
      </c>
      <c r="N91" s="4">
        <f t="shared" ref="N91:N93" si="37">L91-M91</f>
        <v>1018349801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94</v>
      </c>
      <c r="D92" s="6">
        <v>3.14848936231E9</v>
      </c>
      <c r="E92" s="6">
        <v>9.326272022E7</v>
      </c>
      <c r="F92" s="6">
        <f t="shared" si="35"/>
        <v>3055226642</v>
      </c>
      <c r="G92" s="6">
        <v>0.0</v>
      </c>
      <c r="H92" s="5">
        <v>525.0</v>
      </c>
      <c r="I92" s="6">
        <v>1.8008735645E8</v>
      </c>
      <c r="J92" s="4">
        <v>1.803524791703E8</v>
      </c>
      <c r="K92" s="4">
        <f t="shared" si="36"/>
        <v>-265122.7203</v>
      </c>
      <c r="L92" s="4">
        <f>I92+Jan!L92</f>
        <v>677169594.9</v>
      </c>
      <c r="M92" s="4">
        <f>J92+Jan!M92</f>
        <v>397368589.6</v>
      </c>
      <c r="N92" s="4">
        <f t="shared" si="37"/>
        <v>279801005.3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/>
      <c r="B93" s="2">
        <v>63.0</v>
      </c>
      <c r="C93" s="3" t="s">
        <v>95</v>
      </c>
      <c r="D93" s="6">
        <v>1.2958133018144E11</v>
      </c>
      <c r="E93" s="6">
        <v>4.14151726473E9</v>
      </c>
      <c r="F93" s="6">
        <f t="shared" si="35"/>
        <v>125439812917</v>
      </c>
      <c r="G93" s="6">
        <v>0.0</v>
      </c>
      <c r="H93" s="5">
        <v>58488.0</v>
      </c>
      <c r="I93" s="6">
        <v>1.36498199449E10</v>
      </c>
      <c r="J93" s="4">
        <v>1.782512412994E10</v>
      </c>
      <c r="K93" s="4">
        <f t="shared" si="36"/>
        <v>-4175304185</v>
      </c>
      <c r="L93" s="4">
        <f>I93+Jan!L93</f>
        <v>31129386949</v>
      </c>
      <c r="M93" s="4">
        <f>J93+Jan!M93</f>
        <v>33106691063</v>
      </c>
      <c r="N93" s="4">
        <f t="shared" si="37"/>
        <v>-1977304115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2" t="s">
        <v>44</v>
      </c>
      <c r="B94" s="2"/>
      <c r="C94" s="3"/>
      <c r="D94" s="24">
        <f t="shared" ref="D94:N94" si="38">SUM(D91:D93)</f>
        <v>191974775639</v>
      </c>
      <c r="E94" s="24">
        <f t="shared" si="38"/>
        <v>4298468584</v>
      </c>
      <c r="F94" s="24">
        <f t="shared" si="38"/>
        <v>187676307054</v>
      </c>
      <c r="G94" s="24">
        <f t="shared" si="38"/>
        <v>0</v>
      </c>
      <c r="H94" s="25">
        <f t="shared" si="38"/>
        <v>91484</v>
      </c>
      <c r="I94" s="24">
        <f t="shared" si="38"/>
        <v>17089090102</v>
      </c>
      <c r="J94" s="24">
        <f t="shared" si="38"/>
        <v>20442688483</v>
      </c>
      <c r="K94" s="24">
        <f t="shared" si="38"/>
        <v>-3353598381</v>
      </c>
      <c r="L94" s="24">
        <f t="shared" si="38"/>
        <v>38988347396</v>
      </c>
      <c r="M94" s="24">
        <f t="shared" si="38"/>
        <v>39667500705</v>
      </c>
      <c r="N94" s="24">
        <f t="shared" si="38"/>
        <v>-679153308.7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45</v>
      </c>
      <c r="B95" s="2"/>
      <c r="C95" s="3"/>
      <c r="D95" s="6"/>
      <c r="E95" s="6"/>
      <c r="F95" s="6"/>
      <c r="G95" s="6"/>
      <c r="H95" s="5"/>
      <c r="I95" s="6"/>
      <c r="J95" s="4"/>
      <c r="K95" s="4"/>
      <c r="L95" s="4"/>
      <c r="M95" s="4"/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64.0</v>
      </c>
      <c r="C96" s="3" t="s">
        <v>96</v>
      </c>
      <c r="D96" s="6">
        <f>51.27*206051018.02</f>
        <v>10564235694</v>
      </c>
      <c r="E96" s="6">
        <f>51.27*4552977.59</f>
        <v>233431161</v>
      </c>
      <c r="F96" s="6">
        <f>D96-E96</f>
        <v>10330804533</v>
      </c>
      <c r="G96" s="6">
        <v>0.0</v>
      </c>
      <c r="H96" s="5">
        <v>2669.0</v>
      </c>
      <c r="I96" s="6">
        <f>51.27*55107428.18</f>
        <v>2825357843</v>
      </c>
      <c r="J96" s="6">
        <f>51.27*35060953.03</f>
        <v>1797575062</v>
      </c>
      <c r="K96" s="4">
        <f>I96-J96</f>
        <v>1027782781</v>
      </c>
      <c r="L96" s="4">
        <f>I96+Jan!L96</f>
        <v>4302541028</v>
      </c>
      <c r="M96" s="4">
        <f>J96+Jan!M96</f>
        <v>3500663447</v>
      </c>
      <c r="N96" s="4">
        <f>L96-M96</f>
        <v>801877580.8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2" t="s">
        <v>88</v>
      </c>
      <c r="B97" s="2"/>
      <c r="C97" s="3"/>
      <c r="D97" s="24">
        <f t="shared" ref="D97:N97" si="39">SUM(D96)</f>
        <v>10564235694</v>
      </c>
      <c r="E97" s="24">
        <f t="shared" si="39"/>
        <v>233431161</v>
      </c>
      <c r="F97" s="24">
        <f t="shared" si="39"/>
        <v>10330804533</v>
      </c>
      <c r="G97" s="24">
        <f t="shared" si="39"/>
        <v>0</v>
      </c>
      <c r="H97" s="25">
        <f t="shared" si="39"/>
        <v>2669</v>
      </c>
      <c r="I97" s="24">
        <f t="shared" si="39"/>
        <v>2825357843</v>
      </c>
      <c r="J97" s="24">
        <f t="shared" si="39"/>
        <v>1797575062</v>
      </c>
      <c r="K97" s="24">
        <f t="shared" si="39"/>
        <v>1027782781</v>
      </c>
      <c r="L97" s="24">
        <f t="shared" si="39"/>
        <v>4302541028</v>
      </c>
      <c r="M97" s="24">
        <f t="shared" si="39"/>
        <v>3500663447</v>
      </c>
      <c r="N97" s="24">
        <f t="shared" si="39"/>
        <v>801877580.8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 t="s">
        <v>97</v>
      </c>
      <c r="B98" s="2"/>
      <c r="C98" s="3"/>
      <c r="D98" s="24">
        <f t="shared" ref="D98:N98" si="40">D94+D97</f>
        <v>202539011332</v>
      </c>
      <c r="E98" s="24">
        <f t="shared" si="40"/>
        <v>4531899745</v>
      </c>
      <c r="F98" s="24">
        <f t="shared" si="40"/>
        <v>198007111587</v>
      </c>
      <c r="G98" s="24">
        <f t="shared" si="40"/>
        <v>0</v>
      </c>
      <c r="H98" s="25">
        <f t="shared" si="40"/>
        <v>94153</v>
      </c>
      <c r="I98" s="24">
        <f t="shared" si="40"/>
        <v>19914447945</v>
      </c>
      <c r="J98" s="24">
        <f t="shared" si="40"/>
        <v>22240263545</v>
      </c>
      <c r="K98" s="24">
        <f t="shared" si="40"/>
        <v>-2325815600</v>
      </c>
      <c r="L98" s="24">
        <f t="shared" si="40"/>
        <v>43290888424</v>
      </c>
      <c r="M98" s="24">
        <f t="shared" si="40"/>
        <v>43168164152</v>
      </c>
      <c r="N98" s="24">
        <f t="shared" si="40"/>
        <v>122724272.1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 t="s">
        <v>98</v>
      </c>
      <c r="B99" s="2"/>
      <c r="C99" s="3"/>
      <c r="D99" s="6"/>
      <c r="E99" s="6"/>
      <c r="F99" s="6"/>
      <c r="G99" s="6"/>
      <c r="H99" s="5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8" t="s">
        <v>99</v>
      </c>
      <c r="B100" s="2"/>
      <c r="C100" s="3"/>
      <c r="D100" s="6"/>
      <c r="E100" s="6"/>
      <c r="F100" s="6"/>
      <c r="G100" s="6"/>
      <c r="H100" s="5"/>
      <c r="I100" s="6"/>
      <c r="J100" s="6"/>
      <c r="K100" s="4"/>
      <c r="L100" s="4"/>
      <c r="M100" s="4"/>
      <c r="N100" s="4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8"/>
      <c r="B101" s="2">
        <v>65.0</v>
      </c>
      <c r="C101" s="3" t="s">
        <v>100</v>
      </c>
      <c r="D101" s="6">
        <v>8.37453571796E9</v>
      </c>
      <c r="E101" s="6">
        <v>2.554010822E7</v>
      </c>
      <c r="F101" s="6">
        <f t="shared" ref="F101:F102" si="41">D101-E101</f>
        <v>8348995610</v>
      </c>
      <c r="G101" s="6">
        <v>0.0</v>
      </c>
      <c r="H101" s="5">
        <v>3189.0</v>
      </c>
      <c r="I101" s="6">
        <v>5.342446142E8</v>
      </c>
      <c r="J101" s="6">
        <v>2.380491112E7</v>
      </c>
      <c r="K101" s="4">
        <f t="shared" ref="K101:K102" si="42">I101-J101</f>
        <v>510439703.1</v>
      </c>
      <c r="L101" s="4">
        <f>I101+Jan!L101</f>
        <v>1344224387</v>
      </c>
      <c r="M101" s="4">
        <f>J101+Jan!M101</f>
        <v>51645466.2</v>
      </c>
      <c r="N101" s="4">
        <f t="shared" ref="N101:N102" si="43">L101-M101</f>
        <v>1292578921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/>
      <c r="B102" s="2">
        <v>66.0</v>
      </c>
      <c r="C102" s="3" t="s">
        <v>101</v>
      </c>
      <c r="D102" s="6">
        <v>3.68695313848E9</v>
      </c>
      <c r="E102" s="6">
        <v>9.67393629E7</v>
      </c>
      <c r="F102" s="6">
        <f t="shared" si="41"/>
        <v>3590213776</v>
      </c>
      <c r="G102" s="6">
        <v>0.0</v>
      </c>
      <c r="H102" s="5">
        <v>4911.0</v>
      </c>
      <c r="I102" s="6">
        <v>3.2329086577E8</v>
      </c>
      <c r="J102" s="6">
        <v>2.3804370446E8</v>
      </c>
      <c r="K102" s="4">
        <f t="shared" si="42"/>
        <v>85247161.31</v>
      </c>
      <c r="L102" s="4">
        <f>I102+Jan!L102</f>
        <v>478632434.7</v>
      </c>
      <c r="M102" s="4">
        <f>J102+Jan!M102</f>
        <v>442837978.7</v>
      </c>
      <c r="N102" s="4">
        <f t="shared" si="43"/>
        <v>35794455.97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22" t="s">
        <v>44</v>
      </c>
      <c r="B103" s="2"/>
      <c r="C103" s="3"/>
      <c r="D103" s="24">
        <f t="shared" ref="D103:N103" si="44">D101+D102</f>
        <v>12061488856</v>
      </c>
      <c r="E103" s="24">
        <f t="shared" si="44"/>
        <v>122279471.1</v>
      </c>
      <c r="F103" s="24">
        <f t="shared" si="44"/>
        <v>11939209385</v>
      </c>
      <c r="G103" s="24">
        <f t="shared" si="44"/>
        <v>0</v>
      </c>
      <c r="H103" s="25">
        <f t="shared" si="44"/>
        <v>8100</v>
      </c>
      <c r="I103" s="24">
        <f t="shared" si="44"/>
        <v>857535480</v>
      </c>
      <c r="J103" s="24">
        <f t="shared" si="44"/>
        <v>261848615.6</v>
      </c>
      <c r="K103" s="24">
        <f t="shared" si="44"/>
        <v>595686864.4</v>
      </c>
      <c r="L103" s="24">
        <f t="shared" si="44"/>
        <v>1822856822</v>
      </c>
      <c r="M103" s="24">
        <f t="shared" si="44"/>
        <v>494483444.9</v>
      </c>
      <c r="N103" s="24">
        <f t="shared" si="44"/>
        <v>1328373377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 t="s">
        <v>102</v>
      </c>
      <c r="B104" s="2"/>
      <c r="C104" s="3"/>
      <c r="D104" s="6"/>
      <c r="E104" s="6"/>
      <c r="F104" s="6"/>
      <c r="G104" s="6"/>
      <c r="H104" s="5"/>
      <c r="I104" s="6"/>
      <c r="J104" s="6"/>
      <c r="K104" s="4"/>
      <c r="L104" s="4"/>
      <c r="M104" s="4"/>
      <c r="N104" s="4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67.0</v>
      </c>
      <c r="C105" s="3" t="s">
        <v>103</v>
      </c>
      <c r="D105" s="6">
        <f>51.27*199681751.74</f>
        <v>10237683412</v>
      </c>
      <c r="E105" s="6">
        <f>51.27*774149.44</f>
        <v>39690641.79</v>
      </c>
      <c r="F105" s="6">
        <f>D105-E105</f>
        <v>10197992770</v>
      </c>
      <c r="G105" s="6">
        <v>0.0</v>
      </c>
      <c r="H105" s="5">
        <v>8321.0</v>
      </c>
      <c r="I105" s="6">
        <f>51.27*5906252.64</f>
        <v>302813572.9</v>
      </c>
      <c r="J105" s="6">
        <f>51.27*1145674.37</f>
        <v>58738724.95</v>
      </c>
      <c r="K105" s="4">
        <f>I105-J105</f>
        <v>244074847.9</v>
      </c>
      <c r="L105" s="4">
        <f>I105+Jan!L105</f>
        <v>497438983.9</v>
      </c>
      <c r="M105" s="4">
        <f>J105+Jan!M105</f>
        <v>185322192.2</v>
      </c>
      <c r="N105" s="4">
        <f>L105-M105</f>
        <v>312116791.7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2" t="s">
        <v>88</v>
      </c>
      <c r="B106" s="23"/>
      <c r="C106" s="1"/>
      <c r="D106" s="24">
        <f t="shared" ref="D106:N106" si="45">SUM(D105)</f>
        <v>10237683412</v>
      </c>
      <c r="E106" s="24">
        <f t="shared" si="45"/>
        <v>39690641.79</v>
      </c>
      <c r="F106" s="24">
        <f t="shared" si="45"/>
        <v>10197992770</v>
      </c>
      <c r="G106" s="24">
        <f t="shared" si="45"/>
        <v>0</v>
      </c>
      <c r="H106" s="25">
        <f t="shared" si="45"/>
        <v>8321</v>
      </c>
      <c r="I106" s="24">
        <f t="shared" si="45"/>
        <v>302813572.9</v>
      </c>
      <c r="J106" s="24">
        <f t="shared" si="45"/>
        <v>58738724.95</v>
      </c>
      <c r="K106" s="24">
        <f t="shared" si="45"/>
        <v>244074847.9</v>
      </c>
      <c r="L106" s="24">
        <f t="shared" si="45"/>
        <v>497438983.9</v>
      </c>
      <c r="M106" s="24">
        <f t="shared" si="45"/>
        <v>185322192.2</v>
      </c>
      <c r="N106" s="24">
        <f t="shared" si="45"/>
        <v>312116791.7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" t="s">
        <v>104</v>
      </c>
      <c r="B107" s="31"/>
      <c r="C107" s="29"/>
      <c r="D107" s="24">
        <f t="shared" ref="D107:F107" si="46">SUM(D103+D106)</f>
        <v>22299172268</v>
      </c>
      <c r="E107" s="24">
        <f t="shared" si="46"/>
        <v>161970112.9</v>
      </c>
      <c r="F107" s="24">
        <f t="shared" si="46"/>
        <v>22137202155</v>
      </c>
      <c r="G107" s="24">
        <f>SUM(G106)</f>
        <v>0</v>
      </c>
      <c r="H107" s="25">
        <f t="shared" ref="H107:N107" si="47">SUM(H103+H106)</f>
        <v>16421</v>
      </c>
      <c r="I107" s="24">
        <f t="shared" si="47"/>
        <v>1160349053</v>
      </c>
      <c r="J107" s="24">
        <f t="shared" si="47"/>
        <v>320587340.5</v>
      </c>
      <c r="K107" s="24">
        <f t="shared" si="47"/>
        <v>839761712.3</v>
      </c>
      <c r="L107" s="24">
        <f t="shared" si="47"/>
        <v>2320295806</v>
      </c>
      <c r="M107" s="24">
        <f t="shared" si="47"/>
        <v>679805637.1</v>
      </c>
      <c r="N107" s="24">
        <f t="shared" si="47"/>
        <v>1640490169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32" t="s">
        <v>105</v>
      </c>
      <c r="B108" s="33"/>
      <c r="C108" s="34"/>
      <c r="D108" s="35">
        <f t="shared" ref="D108:N108" si="48">D38+D62+D88+D98+D107</f>
        <v>459019389137</v>
      </c>
      <c r="E108" s="35">
        <f t="shared" si="48"/>
        <v>7794999168</v>
      </c>
      <c r="F108" s="35">
        <f t="shared" si="48"/>
        <v>451224389968</v>
      </c>
      <c r="G108" s="35">
        <f t="shared" si="48"/>
        <v>132599776381</v>
      </c>
      <c r="H108" s="35">
        <f t="shared" si="48"/>
        <v>785290.55</v>
      </c>
      <c r="I108" s="35">
        <f t="shared" si="48"/>
        <v>23326697732</v>
      </c>
      <c r="J108" s="35">
        <f t="shared" si="48"/>
        <v>25334238166</v>
      </c>
      <c r="K108" s="35">
        <f t="shared" si="48"/>
        <v>-2007540434</v>
      </c>
      <c r="L108" s="35">
        <f t="shared" si="48"/>
        <v>49587533323</v>
      </c>
      <c r="M108" s="35">
        <f t="shared" si="48"/>
        <v>50988585836</v>
      </c>
      <c r="N108" s="35">
        <f t="shared" si="48"/>
        <v>-1401052512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2.0" customHeight="1">
      <c r="A109" s="3"/>
      <c r="B109" s="2"/>
      <c r="C109" s="36"/>
      <c r="D109" s="4"/>
      <c r="E109" s="4"/>
      <c r="F109" s="4"/>
      <c r="G109" s="4"/>
      <c r="H109" s="5"/>
      <c r="I109" s="6"/>
      <c r="J109" s="4"/>
      <c r="K109" s="4"/>
      <c r="L109" s="4"/>
      <c r="M109" s="4"/>
      <c r="N109" s="4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30"/>
      <c r="B110" s="36"/>
      <c r="C110" s="36"/>
      <c r="D110" s="4"/>
      <c r="E110" s="4"/>
      <c r="F110" s="4"/>
      <c r="G110" s="4"/>
      <c r="H110" s="5"/>
      <c r="I110" s="4"/>
      <c r="J110" s="4"/>
      <c r="K110" s="4"/>
      <c r="L110" s="4"/>
      <c r="M110" s="4"/>
      <c r="N110" s="4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6"/>
      <c r="B111" s="36"/>
      <c r="C111" s="36"/>
      <c r="D111" s="4"/>
      <c r="E111" s="4"/>
      <c r="F111" s="4"/>
      <c r="G111" s="4"/>
      <c r="H111" s="5"/>
      <c r="I111" s="6"/>
      <c r="J111" s="4"/>
      <c r="K111" s="4"/>
      <c r="L111" s="4"/>
      <c r="M111" s="4"/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36"/>
      <c r="B112" s="36"/>
      <c r="C112" s="36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6"/>
      <c r="B113" s="36"/>
      <c r="C113" s="36"/>
      <c r="D113" s="4"/>
      <c r="E113" s="4"/>
      <c r="F113" s="4"/>
      <c r="G113" s="4"/>
      <c r="H113" s="5"/>
      <c r="I113" s="6"/>
      <c r="J113" s="4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6"/>
      <c r="B114" s="36"/>
      <c r="C114" s="36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6"/>
      <c r="B115" s="36"/>
      <c r="C115" s="36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6"/>
      <c r="B116" s="36"/>
      <c r="C116" s="36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6"/>
      <c r="B117" s="36"/>
      <c r="C117" s="36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6"/>
      <c r="B118" s="36"/>
      <c r="C118" s="36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6"/>
      <c r="B119" s="36"/>
      <c r="C119" s="36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3734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0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116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5.4255175211E9</v>
      </c>
      <c r="E9" s="6">
        <v>2.868299028E7</v>
      </c>
      <c r="F9" s="6">
        <f t="shared" ref="F9:F27" si="1">D9-E9</f>
        <v>5396834531</v>
      </c>
      <c r="G9" s="6">
        <v>5.102527402E9</v>
      </c>
      <c r="H9" s="5">
        <v>7552.0</v>
      </c>
      <c r="I9" s="6">
        <v>2.045232657E7</v>
      </c>
      <c r="J9" s="4">
        <v>4.619195736E7</v>
      </c>
      <c r="K9" s="4">
        <f t="shared" ref="K9:K27" si="2">I9-J9</f>
        <v>-25739630.79</v>
      </c>
      <c r="L9" s="4">
        <f>I9+Feb!L9</f>
        <v>53631480.52</v>
      </c>
      <c r="M9" s="4">
        <f>J9+Feb!M9</f>
        <v>150226474.3</v>
      </c>
      <c r="N9" s="4">
        <f t="shared" ref="N9:N27" si="3">L9-M9</f>
        <v>-96594993.8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117</v>
      </c>
      <c r="D10" s="6">
        <v>8.3970022394E8</v>
      </c>
      <c r="E10" s="6">
        <v>2668826.9</v>
      </c>
      <c r="F10" s="6">
        <f t="shared" si="1"/>
        <v>837031397</v>
      </c>
      <c r="G10" s="6">
        <v>7.6814083868E8</v>
      </c>
      <c r="H10" s="5">
        <v>4365.0</v>
      </c>
      <c r="I10" s="6">
        <v>2.0098937089999996E7</v>
      </c>
      <c r="J10" s="4">
        <v>1.5697829449999996E7</v>
      </c>
      <c r="K10" s="4">
        <f t="shared" si="2"/>
        <v>4401107.64</v>
      </c>
      <c r="L10" s="4">
        <f>I10+Feb!L10</f>
        <v>145362532.5</v>
      </c>
      <c r="M10" s="4">
        <f>J10+Feb!M10</f>
        <v>73969995.55</v>
      </c>
      <c r="N10" s="4">
        <f t="shared" si="3"/>
        <v>71392536.92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118</v>
      </c>
      <c r="D11" s="6">
        <v>1.18183326514E9</v>
      </c>
      <c r="E11" s="6">
        <v>4636607.96</v>
      </c>
      <c r="F11" s="6">
        <f t="shared" si="1"/>
        <v>1177196657</v>
      </c>
      <c r="G11" s="6">
        <v>1.11739723345E9</v>
      </c>
      <c r="H11" s="5">
        <v>2926.0</v>
      </c>
      <c r="I11" s="6">
        <v>1.343758361E7</v>
      </c>
      <c r="J11" s="4">
        <v>7523678.839999995</v>
      </c>
      <c r="K11" s="4">
        <f t="shared" si="2"/>
        <v>5913904.77</v>
      </c>
      <c r="L11" s="4">
        <f>I11+Feb!L11</f>
        <v>46548608.22</v>
      </c>
      <c r="M11" s="4">
        <f>J11+Feb!M11</f>
        <v>33399078.02</v>
      </c>
      <c r="N11" s="4">
        <f t="shared" si="3"/>
        <v>13149530.2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6">
        <v>3.5764422489E8</v>
      </c>
      <c r="E12" s="6">
        <v>6277681.51</v>
      </c>
      <c r="F12" s="6">
        <f t="shared" si="1"/>
        <v>351366543.4</v>
      </c>
      <c r="G12" s="6">
        <v>1.3690587648E8</v>
      </c>
      <c r="H12" s="5">
        <v>1637.0</v>
      </c>
      <c r="I12" s="6">
        <v>2392431.64</v>
      </c>
      <c r="J12" s="4">
        <v>828815.08</v>
      </c>
      <c r="K12" s="4">
        <f t="shared" si="2"/>
        <v>1563616.56</v>
      </c>
      <c r="L12" s="4">
        <f>I12+Feb!L12</f>
        <v>5066693.82</v>
      </c>
      <c r="M12" s="4">
        <f>J12+Feb!M12</f>
        <v>6287503.34</v>
      </c>
      <c r="N12" s="4">
        <f t="shared" si="3"/>
        <v>-1220809.52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25</v>
      </c>
      <c r="D13" s="6">
        <v>5.4189985097E8</v>
      </c>
      <c r="E13" s="6">
        <v>2088591.73</v>
      </c>
      <c r="F13" s="6">
        <f t="shared" si="1"/>
        <v>539811259.2</v>
      </c>
      <c r="G13" s="6">
        <v>3.2308374159E8</v>
      </c>
      <c r="H13" s="5">
        <v>1516.0</v>
      </c>
      <c r="I13" s="6">
        <v>3394080.82</v>
      </c>
      <c r="J13" s="4">
        <v>1336116.5401</v>
      </c>
      <c r="K13" s="4">
        <f t="shared" si="2"/>
        <v>2057964.28</v>
      </c>
      <c r="L13" s="4">
        <f>I13+Feb!L13</f>
        <v>17965486.72</v>
      </c>
      <c r="M13" s="4">
        <f>J13+Feb!M13</f>
        <v>10094392.42</v>
      </c>
      <c r="N13" s="4">
        <f t="shared" si="3"/>
        <v>7871094.299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6">
        <v>4.52976843395E9</v>
      </c>
      <c r="E14" s="6">
        <v>9.0400916E7</v>
      </c>
      <c r="F14" s="6">
        <f t="shared" si="1"/>
        <v>4439367518</v>
      </c>
      <c r="G14" s="6">
        <v>4.16045001149E9</v>
      </c>
      <c r="H14" s="5">
        <v>16549.0</v>
      </c>
      <c r="I14" s="6">
        <v>1.58997103708E8</v>
      </c>
      <c r="J14" s="4">
        <v>2.69558184642001E7</v>
      </c>
      <c r="K14" s="4">
        <f t="shared" si="2"/>
        <v>132041285.2</v>
      </c>
      <c r="L14" s="4">
        <f>I14+Feb!L14</f>
        <v>243834029.4</v>
      </c>
      <c r="M14" s="4">
        <f>J14+Feb!M14</f>
        <v>248014790.3</v>
      </c>
      <c r="N14" s="4">
        <f t="shared" si="3"/>
        <v>-4180760.935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119</v>
      </c>
      <c r="D15" s="6">
        <v>9.553717125E7</v>
      </c>
      <c r="E15" s="6">
        <v>673071.94</v>
      </c>
      <c r="F15" s="6">
        <f t="shared" si="1"/>
        <v>94864099.31</v>
      </c>
      <c r="G15" s="6">
        <v>9.265806002E7</v>
      </c>
      <c r="H15" s="5">
        <v>528.0</v>
      </c>
      <c r="I15" s="6">
        <v>2452560.75</v>
      </c>
      <c r="J15" s="4">
        <v>1045150.2876</v>
      </c>
      <c r="K15" s="4">
        <f t="shared" si="2"/>
        <v>1407410.462</v>
      </c>
      <c r="L15" s="4">
        <f>I15+Feb!L15</f>
        <v>5892190.166</v>
      </c>
      <c r="M15" s="4">
        <f>J15+Feb!M15</f>
        <v>4137960.371</v>
      </c>
      <c r="N15" s="4">
        <f t="shared" si="3"/>
        <v>1754229.796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6">
        <v>1.4503946232E8</v>
      </c>
      <c r="E16" s="6">
        <v>1321641.76</v>
      </c>
      <c r="F16" s="6">
        <f t="shared" si="1"/>
        <v>143717820.6</v>
      </c>
      <c r="G16" s="6">
        <v>1.3588403075E8</v>
      </c>
      <c r="H16" s="5">
        <v>51.0</v>
      </c>
      <c r="I16" s="6">
        <v>100000.0</v>
      </c>
      <c r="J16" s="4">
        <v>0.0</v>
      </c>
      <c r="K16" s="4">
        <f t="shared" si="2"/>
        <v>100000</v>
      </c>
      <c r="L16" s="4">
        <f>I16+Feb!L16</f>
        <v>1600000</v>
      </c>
      <c r="M16" s="4">
        <f>J16+Feb!M16</f>
        <v>950000</v>
      </c>
      <c r="N16" s="4">
        <f t="shared" si="3"/>
        <v>650000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6">
        <v>1.773457470178E10</v>
      </c>
      <c r="E17" s="6">
        <v>1.1436650626E8</v>
      </c>
      <c r="F17" s="6">
        <f t="shared" si="1"/>
        <v>17620208196</v>
      </c>
      <c r="G17" s="6">
        <v>1.740954199361E10</v>
      </c>
      <c r="H17" s="5">
        <v>12653.0</v>
      </c>
      <c r="I17" s="6">
        <v>2.0349805855E8</v>
      </c>
      <c r="J17" s="4">
        <v>1.9417689E7</v>
      </c>
      <c r="K17" s="4">
        <f t="shared" si="2"/>
        <v>184080369.6</v>
      </c>
      <c r="L17" s="4">
        <f>I17+Feb!L17</f>
        <v>652558938.7</v>
      </c>
      <c r="M17" s="4">
        <f>J17+Feb!M17</f>
        <v>52359317.92</v>
      </c>
      <c r="N17" s="4">
        <f t="shared" si="3"/>
        <v>600199620.8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6">
        <v>3.60728178641E10</v>
      </c>
      <c r="E18" s="6">
        <v>2.396671142E8</v>
      </c>
      <c r="F18" s="6">
        <f t="shared" si="1"/>
        <v>35833150750</v>
      </c>
      <c r="G18" s="6">
        <v>3.38112347272E10</v>
      </c>
      <c r="H18" s="5">
        <v>12509.0</v>
      </c>
      <c r="I18" s="6">
        <v>1.0984326067E8</v>
      </c>
      <c r="J18" s="4">
        <v>4.955141149E7</v>
      </c>
      <c r="K18" s="4">
        <f t="shared" si="2"/>
        <v>60291849.18</v>
      </c>
      <c r="L18" s="4">
        <f>I18+Feb!L18</f>
        <v>320081453.3</v>
      </c>
      <c r="M18" s="4">
        <f>J18+Feb!M18</f>
        <v>374101171.3</v>
      </c>
      <c r="N18" s="4">
        <f t="shared" si="3"/>
        <v>-54019718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6">
        <v>2.43153055679455E9</v>
      </c>
      <c r="E19" s="6">
        <v>8614573.46400002</v>
      </c>
      <c r="F19" s="6">
        <f t="shared" si="1"/>
        <v>2422915983</v>
      </c>
      <c r="G19" s="6">
        <v>2.21540607118196E9</v>
      </c>
      <c r="H19" s="5">
        <v>5440.0</v>
      </c>
      <c r="I19" s="6">
        <v>7939366.03</v>
      </c>
      <c r="J19" s="4">
        <v>1.3200374844E8</v>
      </c>
      <c r="K19" s="4">
        <f t="shared" si="2"/>
        <v>-124064382.4</v>
      </c>
      <c r="L19" s="4">
        <f>I19+Feb!L19</f>
        <v>64921504.42</v>
      </c>
      <c r="M19" s="4">
        <f>J19+Feb!M19</f>
        <v>206373091.8</v>
      </c>
      <c r="N19" s="4">
        <f t="shared" si="3"/>
        <v>-141451587.3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6">
        <v>1.09872513005637E10</v>
      </c>
      <c r="E20" s="6">
        <v>5.52512865994998E7</v>
      </c>
      <c r="F20" s="6">
        <f t="shared" si="1"/>
        <v>10932000014</v>
      </c>
      <c r="G20" s="6">
        <v>1.023485789086E10</v>
      </c>
      <c r="H20" s="5">
        <v>37125.0</v>
      </c>
      <c r="I20" s="6">
        <v>4.325408061E7</v>
      </c>
      <c r="J20" s="4">
        <v>9.78102710000001E7</v>
      </c>
      <c r="K20" s="4">
        <f t="shared" si="2"/>
        <v>-54556190.39</v>
      </c>
      <c r="L20" s="4">
        <f>I20+Feb!L20</f>
        <v>100172938</v>
      </c>
      <c r="M20" s="4">
        <f>J20+Feb!M20</f>
        <v>184975746.5</v>
      </c>
      <c r="N20" s="4">
        <f t="shared" si="3"/>
        <v>-84802808.52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6">
        <v>3.54253988997189E8</v>
      </c>
      <c r="E21" s="6">
        <v>913568.910000101</v>
      </c>
      <c r="F21" s="6">
        <f t="shared" si="1"/>
        <v>353340420.1</v>
      </c>
      <c r="G21" s="6">
        <v>3.4900181992E8</v>
      </c>
      <c r="H21" s="5">
        <v>980.0</v>
      </c>
      <c r="I21" s="6">
        <v>928281.31</v>
      </c>
      <c r="J21" s="4">
        <v>850447.29</v>
      </c>
      <c r="K21" s="4">
        <f t="shared" si="2"/>
        <v>77834.02</v>
      </c>
      <c r="L21" s="4">
        <f>I21+Feb!L21</f>
        <v>3361943.31</v>
      </c>
      <c r="M21" s="4">
        <f>J21+Feb!M21</f>
        <v>1432217.23</v>
      </c>
      <c r="N21" s="4">
        <f t="shared" si="3"/>
        <v>1929726.08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6">
        <v>4.0051836427616E9</v>
      </c>
      <c r="E22" s="6">
        <v>1.27209667567999E7</v>
      </c>
      <c r="F22" s="6">
        <f t="shared" si="1"/>
        <v>3992462676</v>
      </c>
      <c r="G22" s="6">
        <v>3.91553775437869E9</v>
      </c>
      <c r="H22" s="5">
        <v>27584.0</v>
      </c>
      <c r="I22" s="6">
        <v>3.368265235E7</v>
      </c>
      <c r="J22" s="4">
        <v>3.831854972E7</v>
      </c>
      <c r="K22" s="4">
        <f t="shared" si="2"/>
        <v>-4635897.37</v>
      </c>
      <c r="L22" s="4">
        <f>I22+Feb!L22</f>
        <v>100098390.8</v>
      </c>
      <c r="M22" s="4">
        <f>J22+Feb!M22</f>
        <v>111754890.9</v>
      </c>
      <c r="N22" s="4">
        <f t="shared" si="3"/>
        <v>-11656500.15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6">
        <v>1.078650744271E10</v>
      </c>
      <c r="E23" s="6">
        <v>5.571226061E7</v>
      </c>
      <c r="F23" s="6">
        <f t="shared" si="1"/>
        <v>10730795182</v>
      </c>
      <c r="G23" s="6">
        <v>1.066143505962E10</v>
      </c>
      <c r="H23" s="5">
        <v>14862.0</v>
      </c>
      <c r="I23" s="6">
        <v>1748948.11</v>
      </c>
      <c r="J23" s="4">
        <v>2.265961165E8</v>
      </c>
      <c r="K23" s="4">
        <f t="shared" si="2"/>
        <v>-224847168.4</v>
      </c>
      <c r="L23" s="4">
        <f>I23+Feb!L23</f>
        <v>19531059.06</v>
      </c>
      <c r="M23" s="4">
        <f>J23+Feb!M23</f>
        <v>418718141.1</v>
      </c>
      <c r="N23" s="4">
        <f t="shared" si="3"/>
        <v>-399187082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19" t="s">
        <v>36</v>
      </c>
      <c r="D24" s="6">
        <v>2.62673771678E9</v>
      </c>
      <c r="E24" s="6">
        <v>1.359081303E7</v>
      </c>
      <c r="F24" s="6">
        <f t="shared" si="1"/>
        <v>2613146904</v>
      </c>
      <c r="G24" s="6">
        <v>2.48089217779E9</v>
      </c>
      <c r="H24" s="5">
        <v>13021.0</v>
      </c>
      <c r="I24" s="6">
        <v>6.205440282E7</v>
      </c>
      <c r="J24" s="4">
        <v>2039674.2000000004</v>
      </c>
      <c r="K24" s="4">
        <f t="shared" si="2"/>
        <v>60014728.62</v>
      </c>
      <c r="L24" s="4">
        <f>I24+Feb!L24</f>
        <v>130312757.1</v>
      </c>
      <c r="M24" s="4">
        <f>J24+Feb!M24</f>
        <v>7296038.03</v>
      </c>
      <c r="N24" s="4">
        <f t="shared" si="3"/>
        <v>123016719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v>17.0</v>
      </c>
      <c r="C25" s="21" t="s">
        <v>37</v>
      </c>
      <c r="D25" s="6">
        <v>7.98619953831E9</v>
      </c>
      <c r="E25" s="6">
        <v>1.3879938967E8</v>
      </c>
      <c r="F25" s="6">
        <f t="shared" si="1"/>
        <v>7847400149</v>
      </c>
      <c r="G25" s="6">
        <v>7.6144550264E9</v>
      </c>
      <c r="H25" s="5">
        <v>65585.0</v>
      </c>
      <c r="I25" s="6">
        <v>9.535529495E7</v>
      </c>
      <c r="J25" s="4">
        <v>1.3319682238E8</v>
      </c>
      <c r="K25" s="4">
        <f t="shared" si="2"/>
        <v>-37841527.43</v>
      </c>
      <c r="L25" s="4">
        <f>I25+Feb!L25</f>
        <v>237931426.7</v>
      </c>
      <c r="M25" s="4">
        <f>J25+Feb!M25</f>
        <v>321559519.2</v>
      </c>
      <c r="N25" s="4">
        <f t="shared" si="3"/>
        <v>-83628092.44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v>18.0</v>
      </c>
      <c r="C26" s="21" t="s">
        <v>38</v>
      </c>
      <c r="D26" s="6">
        <v>1.215553628787E10</v>
      </c>
      <c r="E26" s="6">
        <v>6.91636703E7</v>
      </c>
      <c r="F26" s="6">
        <f t="shared" si="1"/>
        <v>12086372618</v>
      </c>
      <c r="G26" s="6">
        <v>1.20312175816E10</v>
      </c>
      <c r="H26" s="5">
        <v>55594.0</v>
      </c>
      <c r="I26" s="6">
        <v>2.896055904E8</v>
      </c>
      <c r="J26" s="4">
        <v>1.7405879276E8</v>
      </c>
      <c r="K26" s="4">
        <f t="shared" si="2"/>
        <v>115546797.6</v>
      </c>
      <c r="L26" s="4">
        <f>I26+Feb!L26</f>
        <v>925504946.1</v>
      </c>
      <c r="M26" s="4">
        <f>J26+Feb!M26</f>
        <v>794122859.1</v>
      </c>
      <c r="N26" s="4">
        <f t="shared" si="3"/>
        <v>131382087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6">
        <v>6.556484092080003E8</v>
      </c>
      <c r="E27" s="6">
        <v>2533259.3143777833</v>
      </c>
      <c r="F27" s="6">
        <f t="shared" si="1"/>
        <v>653115149.9</v>
      </c>
      <c r="G27" s="6">
        <v>5.853542549000003E8</v>
      </c>
      <c r="H27" s="5">
        <v>1305.0</v>
      </c>
      <c r="I27" s="6">
        <v>856512.45</v>
      </c>
      <c r="J27" s="4">
        <v>2625309.99</v>
      </c>
      <c r="K27" s="4">
        <f t="shared" si="2"/>
        <v>-1768797.54</v>
      </c>
      <c r="L27" s="4">
        <f>I27+Feb!L27</f>
        <v>9734376.83</v>
      </c>
      <c r="M27" s="4">
        <f>J27+Feb!M27</f>
        <v>3410430.04</v>
      </c>
      <c r="N27" s="4">
        <f t="shared" si="3"/>
        <v>6323946.79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5"/>
      <c r="I28" s="6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3"/>
      <c r="B29" s="2">
        <v>20.0</v>
      </c>
      <c r="C29" s="3" t="s">
        <v>41</v>
      </c>
      <c r="D29" s="6">
        <v>3.84545086304001E8</v>
      </c>
      <c r="E29" s="6">
        <v>1490615.969</v>
      </c>
      <c r="F29" s="6">
        <f t="shared" ref="F29:F30" si="4">D29-E29</f>
        <v>383054470.3</v>
      </c>
      <c r="G29" s="6">
        <v>3.2953919392E8</v>
      </c>
      <c r="H29" s="5">
        <v>1381.0</v>
      </c>
      <c r="I29" s="6">
        <v>2.336179284E7</v>
      </c>
      <c r="J29" s="4">
        <v>1374530.42</v>
      </c>
      <c r="K29" s="4">
        <f t="shared" ref="K29:K30" si="5">I29-J29</f>
        <v>21987262.42</v>
      </c>
      <c r="L29" s="4">
        <f>I29+Feb!L29</f>
        <v>50493779.46</v>
      </c>
      <c r="M29" s="4">
        <f>J29+Feb!M29</f>
        <v>9374771.7</v>
      </c>
      <c r="N29" s="4">
        <f t="shared" ref="N29:N30" si="6">L29-M29</f>
        <v>41119007.76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35</v>
      </c>
      <c r="D30" s="6">
        <v>2.6831136928E8</v>
      </c>
      <c r="E30" s="6">
        <v>8129778.18</v>
      </c>
      <c r="F30" s="6">
        <f t="shared" si="4"/>
        <v>260181591.1</v>
      </c>
      <c r="G30" s="6">
        <v>2.57930952E8</v>
      </c>
      <c r="H30" s="5">
        <v>262090.0</v>
      </c>
      <c r="I30" s="6">
        <v>7.607594189E7</v>
      </c>
      <c r="J30" s="4">
        <v>5716365.54</v>
      </c>
      <c r="K30" s="4">
        <f t="shared" si="5"/>
        <v>70359576.35</v>
      </c>
      <c r="L30" s="4">
        <f>I30+Feb!L30</f>
        <v>291957674.2</v>
      </c>
      <c r="M30" s="4">
        <f>J30+Feb!M30</f>
        <v>27216162.23</v>
      </c>
      <c r="N30" s="4">
        <f t="shared" si="6"/>
        <v>264741511.9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18" t="s">
        <v>42</v>
      </c>
      <c r="B31" s="2"/>
      <c r="C31" s="3"/>
      <c r="D31" s="6"/>
      <c r="E31" s="6"/>
      <c r="F31" s="6"/>
      <c r="G31" s="6"/>
      <c r="H31" s="5"/>
      <c r="I31" s="6"/>
      <c r="J31" s="4"/>
      <c r="K31" s="4"/>
      <c r="L31" s="4"/>
      <c r="M31" s="4"/>
      <c r="N31" s="4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1.25" customHeight="1">
      <c r="A32" s="3"/>
      <c r="B32" s="2">
        <v>22.0</v>
      </c>
      <c r="C32" s="3" t="s">
        <v>43</v>
      </c>
      <c r="D32" s="6">
        <v>2.26677627096E9</v>
      </c>
      <c r="E32" s="6">
        <v>4989457.71</v>
      </c>
      <c r="F32" s="6">
        <f>D32-E32</f>
        <v>2261786813</v>
      </c>
      <c r="G32" s="6">
        <v>2.23966545461E9</v>
      </c>
      <c r="H32" s="5">
        <v>3147.0</v>
      </c>
      <c r="I32" s="6">
        <v>1.2829924E7</v>
      </c>
      <c r="J32" s="4">
        <v>1110966.0</v>
      </c>
      <c r="K32" s="4">
        <f>I32-J32</f>
        <v>11718958</v>
      </c>
      <c r="L32" s="4">
        <f>I32+Feb!L32</f>
        <v>37281386</v>
      </c>
      <c r="M32" s="4">
        <f>J32+Feb!M32</f>
        <v>4442925</v>
      </c>
      <c r="N32" s="4">
        <f>L32-M32</f>
        <v>32838461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22" t="s">
        <v>44</v>
      </c>
      <c r="B33" s="23"/>
      <c r="C33" s="1"/>
      <c r="D33" s="24">
        <f t="shared" ref="D33:N33" si="7">SUM(D9:D32)</f>
        <v>121832814330</v>
      </c>
      <c r="E33" s="24">
        <f t="shared" si="7"/>
        <v>862693589.1</v>
      </c>
      <c r="F33" s="24">
        <f t="shared" si="7"/>
        <v>120970120741</v>
      </c>
      <c r="G33" s="24">
        <f t="shared" si="7"/>
        <v>115973117152</v>
      </c>
      <c r="H33" s="25">
        <f t="shared" si="7"/>
        <v>548400</v>
      </c>
      <c r="I33" s="24">
        <f t="shared" si="7"/>
        <v>1182359131</v>
      </c>
      <c r="J33" s="26">
        <f t="shared" si="7"/>
        <v>984250060.8</v>
      </c>
      <c r="K33" s="26">
        <f t="shared" si="7"/>
        <v>198109070.4</v>
      </c>
      <c r="L33" s="26">
        <f t="shared" si="7"/>
        <v>3463843595</v>
      </c>
      <c r="M33" s="26">
        <f t="shared" si="7"/>
        <v>3044217476</v>
      </c>
      <c r="N33" s="26">
        <f t="shared" si="7"/>
        <v>419626118.9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2.0" customHeight="1">
      <c r="A34" s="18" t="s">
        <v>45</v>
      </c>
      <c r="B34" s="2"/>
      <c r="C34" s="3"/>
      <c r="D34" s="6"/>
      <c r="E34" s="6"/>
      <c r="F34" s="6"/>
      <c r="G34" s="6"/>
      <c r="H34" s="5"/>
      <c r="I34" s="6"/>
      <c r="J34" s="4"/>
      <c r="K34" s="4"/>
      <c r="L34" s="4"/>
      <c r="M34" s="4"/>
      <c r="N34" s="4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2.0" customHeight="1">
      <c r="A35" s="3"/>
      <c r="B35" s="2">
        <v>23.0</v>
      </c>
      <c r="C35" s="3" t="s">
        <v>120</v>
      </c>
      <c r="D35" s="6">
        <v>4.67688223522E7</v>
      </c>
      <c r="E35" s="6">
        <v>6166296.6248</v>
      </c>
      <c r="F35" s="6">
        <f t="shared" ref="F35:F36" si="8">D35-E35</f>
        <v>40602525.73</v>
      </c>
      <c r="G35" s="27">
        <v>0.0</v>
      </c>
      <c r="H35" s="5">
        <v>55.0</v>
      </c>
      <c r="I35" s="6">
        <v>265868.06</v>
      </c>
      <c r="J35" s="4">
        <v>5524304.12</v>
      </c>
      <c r="K35" s="4">
        <f t="shared" ref="K35:K36" si="9">I35-J35</f>
        <v>-5258436.06</v>
      </c>
      <c r="L35" s="4">
        <f>I35+Feb!L35</f>
        <v>332455.28</v>
      </c>
      <c r="M35" s="4">
        <f>J35+Feb!M35</f>
        <v>5528236.92</v>
      </c>
      <c r="N35" s="4">
        <f t="shared" ref="N35:N36" si="10">L35-M35</f>
        <v>-5195781.64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47</v>
      </c>
      <c r="D36" s="6">
        <f>51.74*40944318.38</f>
        <v>2118459033</v>
      </c>
      <c r="E36" s="6">
        <f>51.74*166192.94</f>
        <v>8598822.716</v>
      </c>
      <c r="F36" s="6">
        <f t="shared" si="8"/>
        <v>2109860210</v>
      </c>
      <c r="G36" s="6">
        <v>0.0</v>
      </c>
      <c r="H36" s="5">
        <v>2764.0</v>
      </c>
      <c r="I36" s="6">
        <f>51.74*1960281.65</f>
        <v>101424972.6</v>
      </c>
      <c r="J36" s="6">
        <f>51.74*543941.09</f>
        <v>28143512</v>
      </c>
      <c r="K36" s="4">
        <f t="shared" si="9"/>
        <v>73281460.57</v>
      </c>
      <c r="L36" s="4">
        <f>I36+Feb!L36</f>
        <v>215359907.4</v>
      </c>
      <c r="M36" s="4">
        <f>J36+Feb!M36</f>
        <v>173276784.6</v>
      </c>
      <c r="N36" s="4">
        <f t="shared" si="10"/>
        <v>42083122.81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22" t="s">
        <v>48</v>
      </c>
      <c r="B37" s="23"/>
      <c r="C37" s="1"/>
      <c r="D37" s="24">
        <f t="shared" ref="D37:N37" si="11">SUM(D35:D36)</f>
        <v>2165227855</v>
      </c>
      <c r="E37" s="24">
        <f t="shared" si="11"/>
        <v>14765119.34</v>
      </c>
      <c r="F37" s="24">
        <f t="shared" si="11"/>
        <v>2150462736</v>
      </c>
      <c r="G37" s="24">
        <f t="shared" si="11"/>
        <v>0</v>
      </c>
      <c r="H37" s="25">
        <f t="shared" si="11"/>
        <v>2819</v>
      </c>
      <c r="I37" s="24">
        <f t="shared" si="11"/>
        <v>101690840.6</v>
      </c>
      <c r="J37" s="26">
        <f t="shared" si="11"/>
        <v>33667816.12</v>
      </c>
      <c r="K37" s="26">
        <f t="shared" si="11"/>
        <v>68023024.51</v>
      </c>
      <c r="L37" s="26">
        <f t="shared" si="11"/>
        <v>215692362.7</v>
      </c>
      <c r="M37" s="26">
        <f t="shared" si="11"/>
        <v>178805021.5</v>
      </c>
      <c r="N37" s="26">
        <f t="shared" si="11"/>
        <v>36887341.17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2.0" customHeight="1">
      <c r="A38" s="1" t="s">
        <v>49</v>
      </c>
      <c r="B38" s="23"/>
      <c r="C38" s="1"/>
      <c r="D38" s="24">
        <f t="shared" ref="D38:N38" si="12">D33+D37</f>
        <v>123998042185</v>
      </c>
      <c r="E38" s="24">
        <f t="shared" si="12"/>
        <v>877458708.4</v>
      </c>
      <c r="F38" s="24">
        <f t="shared" si="12"/>
        <v>123120583477</v>
      </c>
      <c r="G38" s="24">
        <f t="shared" si="12"/>
        <v>115973117152</v>
      </c>
      <c r="H38" s="25">
        <f t="shared" si="12"/>
        <v>551219</v>
      </c>
      <c r="I38" s="24">
        <f t="shared" si="12"/>
        <v>1284049972</v>
      </c>
      <c r="J38" s="26">
        <f t="shared" si="12"/>
        <v>1017917877</v>
      </c>
      <c r="K38" s="26">
        <f t="shared" si="12"/>
        <v>266132094.9</v>
      </c>
      <c r="L38" s="26">
        <f t="shared" si="12"/>
        <v>3679535958</v>
      </c>
      <c r="M38" s="26">
        <f t="shared" si="12"/>
        <v>3223022498</v>
      </c>
      <c r="N38" s="26">
        <f t="shared" si="12"/>
        <v>456513460.1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50</v>
      </c>
      <c r="B39" s="2"/>
      <c r="C39" s="3"/>
      <c r="D39" s="6"/>
      <c r="E39" s="6"/>
      <c r="F39" s="6"/>
      <c r="G39" s="6"/>
      <c r="H39" s="5"/>
      <c r="I39" s="6"/>
      <c r="J39" s="4"/>
      <c r="K39" s="4"/>
      <c r="L39" s="4"/>
      <c r="M39" s="4"/>
      <c r="N39" s="4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ht="12.0" customHeight="1">
      <c r="A40" s="18" t="s">
        <v>20</v>
      </c>
      <c r="B40" s="2"/>
      <c r="C40" s="3"/>
      <c r="D40" s="6"/>
      <c r="E40" s="6"/>
      <c r="F40" s="6"/>
      <c r="G40" s="6"/>
      <c r="H40" s="5"/>
      <c r="I40" s="6"/>
      <c r="J40" s="4"/>
      <c r="K40" s="4"/>
      <c r="L40" s="4"/>
      <c r="M40" s="4"/>
      <c r="N40" s="4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/>
      <c r="B41" s="2">
        <v>25.0</v>
      </c>
      <c r="C41" s="3" t="s">
        <v>121</v>
      </c>
      <c r="D41" s="6">
        <v>1.2696264864E8</v>
      </c>
      <c r="E41" s="6">
        <v>1383198.21</v>
      </c>
      <c r="F41" s="6">
        <f t="shared" ref="F41:F50" si="13">D41-E41</f>
        <v>125579450.4</v>
      </c>
      <c r="G41" s="6">
        <v>2.63715096E7</v>
      </c>
      <c r="H41" s="5">
        <v>732.0</v>
      </c>
      <c r="I41" s="6">
        <v>651643.4100000003</v>
      </c>
      <c r="J41" s="4">
        <v>1441232.6700000002</v>
      </c>
      <c r="K41" s="4">
        <f t="shared" ref="K41:K50" si="14">I41-J41</f>
        <v>-789589.26</v>
      </c>
      <c r="L41" s="4">
        <f>I41+Feb!L41</f>
        <v>5572098.24</v>
      </c>
      <c r="M41" s="4">
        <f>J41+Feb!M41</f>
        <v>2501163.6</v>
      </c>
      <c r="N41" s="4">
        <f t="shared" ref="N41:N50" si="15">L41-M41</f>
        <v>3070934.64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3"/>
      <c r="B42" s="2">
        <v>26.0</v>
      </c>
      <c r="C42" s="3" t="s">
        <v>122</v>
      </c>
      <c r="D42" s="6">
        <v>6.7250306254E8</v>
      </c>
      <c r="E42" s="6">
        <v>7174557.74</v>
      </c>
      <c r="F42" s="6">
        <f t="shared" si="13"/>
        <v>665328504.8</v>
      </c>
      <c r="G42" s="6">
        <v>2.8338959005E8</v>
      </c>
      <c r="H42" s="5">
        <v>2495.0</v>
      </c>
      <c r="I42" s="6">
        <v>1747521.8699999999</v>
      </c>
      <c r="J42" s="4">
        <v>1.3626131700000001E7</v>
      </c>
      <c r="K42" s="4">
        <f t="shared" si="14"/>
        <v>-11878609.83</v>
      </c>
      <c r="L42" s="4">
        <f>I42+Feb!L42</f>
        <v>6042769.1</v>
      </c>
      <c r="M42" s="4">
        <f>J42+Feb!M42</f>
        <v>25510352.11</v>
      </c>
      <c r="N42" s="4">
        <f t="shared" si="15"/>
        <v>-19467583.01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53</v>
      </c>
      <c r="D43" s="6">
        <v>1.21829809314E9</v>
      </c>
      <c r="E43" s="6">
        <v>1.953412008E7</v>
      </c>
      <c r="F43" s="6">
        <f t="shared" si="13"/>
        <v>1198763973</v>
      </c>
      <c r="G43" s="6">
        <v>7.6569518128E8</v>
      </c>
      <c r="H43" s="5">
        <v>4893.0</v>
      </c>
      <c r="I43" s="6">
        <v>4957005.861</v>
      </c>
      <c r="J43" s="4">
        <v>7163798.20509999</v>
      </c>
      <c r="K43" s="4">
        <f t="shared" si="14"/>
        <v>-2206792.344</v>
      </c>
      <c r="L43" s="4">
        <f>I43+Feb!L43</f>
        <v>10267115.07</v>
      </c>
      <c r="M43" s="4">
        <f>J43+Feb!M43</f>
        <v>123392105</v>
      </c>
      <c r="N43" s="4">
        <f t="shared" si="15"/>
        <v>-113124989.9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54</v>
      </c>
      <c r="D44" s="6">
        <v>2.5287461139E8</v>
      </c>
      <c r="E44" s="6">
        <v>7299630.08</v>
      </c>
      <c r="F44" s="6">
        <f t="shared" si="13"/>
        <v>245574981.3</v>
      </c>
      <c r="G44" s="6">
        <v>1.8250663992E8</v>
      </c>
      <c r="H44" s="5">
        <v>149.0</v>
      </c>
      <c r="I44" s="6">
        <v>5.903706686E7</v>
      </c>
      <c r="J44" s="4">
        <v>1.13716736425E7</v>
      </c>
      <c r="K44" s="4">
        <f t="shared" si="14"/>
        <v>47665393.22</v>
      </c>
      <c r="L44" s="4">
        <f>I44+Feb!L44</f>
        <v>230104763.1</v>
      </c>
      <c r="M44" s="4">
        <f>J44+Feb!M44</f>
        <v>11381640.52</v>
      </c>
      <c r="N44" s="4">
        <f t="shared" si="15"/>
        <v>218723122.6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55</v>
      </c>
      <c r="D45" s="6">
        <v>3.5850689207E8</v>
      </c>
      <c r="E45" s="6">
        <v>1627177.58</v>
      </c>
      <c r="F45" s="6">
        <f t="shared" si="13"/>
        <v>356879714.5</v>
      </c>
      <c r="G45" s="6">
        <v>1.7236078332E8</v>
      </c>
      <c r="H45" s="5">
        <v>57.0</v>
      </c>
      <c r="I45" s="6">
        <v>0.0</v>
      </c>
      <c r="J45" s="4">
        <v>0.0</v>
      </c>
      <c r="K45" s="4">
        <f t="shared" si="14"/>
        <v>0</v>
      </c>
      <c r="L45" s="4">
        <f>I45+Feb!L45</f>
        <v>0</v>
      </c>
      <c r="M45" s="4">
        <f>J45+Feb!M45</f>
        <v>1017100</v>
      </c>
      <c r="N45" s="4">
        <f t="shared" si="15"/>
        <v>-1017100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56</v>
      </c>
      <c r="D46" s="6">
        <v>6.3515457073E8</v>
      </c>
      <c r="E46" s="6">
        <v>1.182979341E7</v>
      </c>
      <c r="F46" s="6">
        <f t="shared" si="13"/>
        <v>623324777.3</v>
      </c>
      <c r="G46" s="6">
        <v>3.61984395E8</v>
      </c>
      <c r="H46" s="5">
        <v>10165.0</v>
      </c>
      <c r="I46" s="6">
        <v>360586.55</v>
      </c>
      <c r="J46" s="4">
        <v>6995274.64</v>
      </c>
      <c r="K46" s="4">
        <f t="shared" si="14"/>
        <v>-6634688.09</v>
      </c>
      <c r="L46" s="4">
        <f>I46+Feb!L46</f>
        <v>1471333.06</v>
      </c>
      <c r="M46" s="4">
        <f>J46+Feb!M46</f>
        <v>22281227.36</v>
      </c>
      <c r="N46" s="4">
        <f t="shared" si="15"/>
        <v>-20809894.3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57</v>
      </c>
      <c r="D47" s="6">
        <v>1.129568334203E10</v>
      </c>
      <c r="E47" s="6">
        <v>4.013601846E7</v>
      </c>
      <c r="F47" s="6">
        <f t="shared" si="13"/>
        <v>11255547324</v>
      </c>
      <c r="G47" s="6">
        <v>6.444223272E9</v>
      </c>
      <c r="H47" s="5">
        <v>8296.0</v>
      </c>
      <c r="I47" s="6">
        <v>2.716129647E7</v>
      </c>
      <c r="J47" s="4">
        <v>2.037059189E7</v>
      </c>
      <c r="K47" s="4">
        <f t="shared" si="14"/>
        <v>6790704.58</v>
      </c>
      <c r="L47" s="4">
        <f>I47+Feb!L47</f>
        <v>98735442.32</v>
      </c>
      <c r="M47" s="4">
        <f>J47+Feb!M47</f>
        <v>53922592.31</v>
      </c>
      <c r="N47" s="4">
        <f t="shared" si="15"/>
        <v>44812850.01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1.25" customHeight="1">
      <c r="A48" s="18"/>
      <c r="B48" s="2">
        <v>32.0</v>
      </c>
      <c r="C48" s="3" t="s">
        <v>123</v>
      </c>
      <c r="D48" s="6">
        <v>1.4789848227E8</v>
      </c>
      <c r="E48" s="6">
        <v>429328.78</v>
      </c>
      <c r="F48" s="6">
        <f t="shared" si="13"/>
        <v>147469153.5</v>
      </c>
      <c r="G48" s="6">
        <v>9.28655355E7</v>
      </c>
      <c r="H48" s="5">
        <v>197.0</v>
      </c>
      <c r="I48" s="6">
        <v>52990.86</v>
      </c>
      <c r="J48" s="4">
        <v>0.0</v>
      </c>
      <c r="K48" s="4">
        <f t="shared" si="14"/>
        <v>52990.86</v>
      </c>
      <c r="L48" s="4">
        <f>I48+Feb!L48</f>
        <v>309976.43</v>
      </c>
      <c r="M48" s="4">
        <f>J48+Feb!M48</f>
        <v>3215519.97</v>
      </c>
      <c r="N48" s="4">
        <f t="shared" si="15"/>
        <v>-2905543.54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v>33.0</v>
      </c>
      <c r="C49" s="3" t="s">
        <v>59</v>
      </c>
      <c r="D49" s="6">
        <v>8.21733793086E9</v>
      </c>
      <c r="E49" s="6">
        <v>1.1393223782E8</v>
      </c>
      <c r="F49" s="6">
        <f t="shared" si="13"/>
        <v>8103405693</v>
      </c>
      <c r="G49" s="6">
        <v>4.9011811125E9</v>
      </c>
      <c r="H49" s="5">
        <v>53077.0</v>
      </c>
      <c r="I49" s="6">
        <v>2.449096908E7</v>
      </c>
      <c r="J49" s="4">
        <v>6.140648041E7</v>
      </c>
      <c r="K49" s="4">
        <f t="shared" si="14"/>
        <v>-36915511.33</v>
      </c>
      <c r="L49" s="4">
        <f>I49+Feb!L49</f>
        <v>53340562.76</v>
      </c>
      <c r="M49" s="4">
        <f>J49+Feb!M49</f>
        <v>171769300.7</v>
      </c>
      <c r="N49" s="4">
        <f t="shared" si="15"/>
        <v>-118428737.9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60</v>
      </c>
      <c r="D50" s="6">
        <v>1.29966226966E9</v>
      </c>
      <c r="E50" s="6">
        <v>1.534996235E7</v>
      </c>
      <c r="F50" s="6">
        <f t="shared" si="13"/>
        <v>1284312307</v>
      </c>
      <c r="G50" s="6">
        <v>9.115560072E8</v>
      </c>
      <c r="H50" s="5">
        <v>4997.0</v>
      </c>
      <c r="I50" s="6">
        <v>0.0</v>
      </c>
      <c r="J50" s="4">
        <v>5004190.57</v>
      </c>
      <c r="K50" s="4">
        <f t="shared" si="14"/>
        <v>-5004190.57</v>
      </c>
      <c r="L50" s="4">
        <f>I50+Feb!L50</f>
        <v>0</v>
      </c>
      <c r="M50" s="4">
        <f>J50+Feb!M50</f>
        <v>38631328.31</v>
      </c>
      <c r="N50" s="4">
        <f t="shared" si="15"/>
        <v>-38631328.31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18" t="s">
        <v>40</v>
      </c>
      <c r="B51" s="2"/>
      <c r="C51" s="3"/>
      <c r="D51" s="6"/>
      <c r="E51" s="6"/>
      <c r="F51" s="6"/>
      <c r="G51" s="6"/>
      <c r="H51" s="5"/>
      <c r="I51" s="6"/>
      <c r="J51" s="4"/>
      <c r="K51" s="4"/>
      <c r="L51" s="4"/>
      <c r="M51" s="4"/>
      <c r="N51" s="4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v>35.0</v>
      </c>
      <c r="C52" s="3" t="s">
        <v>61</v>
      </c>
      <c r="D52" s="6">
        <v>7.338762538E7</v>
      </c>
      <c r="E52" s="6">
        <v>54004.21</v>
      </c>
      <c r="F52" s="6">
        <f t="shared" ref="F52:F54" si="16">D52-E52</f>
        <v>73333621.17</v>
      </c>
      <c r="G52" s="6">
        <v>2.69761631E7</v>
      </c>
      <c r="H52" s="5">
        <v>914.0</v>
      </c>
      <c r="I52" s="6">
        <v>547642.22</v>
      </c>
      <c r="J52" s="4">
        <v>289756.08</v>
      </c>
      <c r="K52" s="4">
        <f t="shared" ref="K52:K54" si="17">I52-J52</f>
        <v>257886.14</v>
      </c>
      <c r="L52" s="4">
        <f>I52+Feb!L52</f>
        <v>2817367.87</v>
      </c>
      <c r="M52" s="4">
        <f>J52+Feb!M52</f>
        <v>551839.17</v>
      </c>
      <c r="N52" s="4">
        <f t="shared" ref="N52:N54" si="18">L52-M52</f>
        <v>2265528.7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62</v>
      </c>
      <c r="D53" s="6">
        <v>5.875630969E7</v>
      </c>
      <c r="E53" s="6">
        <v>140445.17</v>
      </c>
      <c r="F53" s="6">
        <f t="shared" si="16"/>
        <v>58615864.52</v>
      </c>
      <c r="G53" s="6">
        <v>4.65633132E7</v>
      </c>
      <c r="H53" s="5">
        <v>338.0</v>
      </c>
      <c r="I53" s="6">
        <v>382210.92</v>
      </c>
      <c r="J53" s="4">
        <v>9816.1</v>
      </c>
      <c r="K53" s="4">
        <f t="shared" si="17"/>
        <v>372394.82</v>
      </c>
      <c r="L53" s="4">
        <f>I53+Feb!L53</f>
        <v>3491491.12</v>
      </c>
      <c r="M53" s="4">
        <f>J53+Feb!M53</f>
        <v>214571.93</v>
      </c>
      <c r="N53" s="4">
        <f t="shared" si="18"/>
        <v>3276919.19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63</v>
      </c>
      <c r="D54" s="6">
        <v>5.056840237E7</v>
      </c>
      <c r="E54" s="6">
        <v>124646.21</v>
      </c>
      <c r="F54" s="6">
        <f t="shared" si="16"/>
        <v>50443756.16</v>
      </c>
      <c r="G54" s="6">
        <v>4.30366936E7</v>
      </c>
      <c r="H54" s="5">
        <v>158.0</v>
      </c>
      <c r="I54" s="6">
        <v>164369.06</v>
      </c>
      <c r="J54" s="4">
        <v>14521.26</v>
      </c>
      <c r="K54" s="4">
        <f t="shared" si="17"/>
        <v>149847.8</v>
      </c>
      <c r="L54" s="4">
        <f>I54+Feb!L54</f>
        <v>1251685.37</v>
      </c>
      <c r="M54" s="4">
        <f>J54+Feb!M54</f>
        <v>97041.44</v>
      </c>
      <c r="N54" s="4">
        <f t="shared" si="18"/>
        <v>1154643.93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22" t="s">
        <v>44</v>
      </c>
      <c r="B55" s="22"/>
      <c r="C55" s="1"/>
      <c r="D55" s="24">
        <f t="shared" ref="D55:N55" si="19">SUM(D41:D54)</f>
        <v>24407594241</v>
      </c>
      <c r="E55" s="24">
        <f t="shared" si="19"/>
        <v>219015120.1</v>
      </c>
      <c r="F55" s="24">
        <f t="shared" si="19"/>
        <v>24188579121</v>
      </c>
      <c r="G55" s="24">
        <f t="shared" si="19"/>
        <v>14258710196</v>
      </c>
      <c r="H55" s="25">
        <f t="shared" si="19"/>
        <v>86468</v>
      </c>
      <c r="I55" s="24">
        <f t="shared" si="19"/>
        <v>119553303.2</v>
      </c>
      <c r="J55" s="24">
        <f t="shared" si="19"/>
        <v>127693467.2</v>
      </c>
      <c r="K55" s="24">
        <f t="shared" si="19"/>
        <v>-8140164.007</v>
      </c>
      <c r="L55" s="24">
        <f t="shared" si="19"/>
        <v>413404604.4</v>
      </c>
      <c r="M55" s="24">
        <f t="shared" si="19"/>
        <v>454485782.4</v>
      </c>
      <c r="N55" s="24">
        <f t="shared" si="19"/>
        <v>-41081177.93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2.0" customHeight="1">
      <c r="A56" s="18" t="s">
        <v>45</v>
      </c>
      <c r="B56" s="2"/>
      <c r="C56" s="3"/>
      <c r="D56" s="6"/>
      <c r="E56" s="6"/>
      <c r="F56" s="6"/>
      <c r="G56" s="6"/>
      <c r="H56" s="5"/>
      <c r="I56" s="6"/>
      <c r="J56" s="4"/>
      <c r="K56" s="4"/>
      <c r="L56" s="4"/>
      <c r="M56" s="4"/>
      <c r="N56" s="4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18"/>
      <c r="B57" s="2">
        <v>38.0</v>
      </c>
      <c r="C57" s="3" t="s">
        <v>64</v>
      </c>
      <c r="D57" s="6">
        <f>51.74*1482133.68</f>
        <v>76685596.6</v>
      </c>
      <c r="E57" s="6">
        <f>51.74*8375.65</f>
        <v>433356.131</v>
      </c>
      <c r="F57" s="6">
        <f t="shared" ref="F57:F60" si="20">D57-E57</f>
        <v>76252240.47</v>
      </c>
      <c r="G57" s="6">
        <v>0.0</v>
      </c>
      <c r="H57" s="5">
        <v>58.0</v>
      </c>
      <c r="I57" s="6">
        <f>51.74*5.38</f>
        <v>278.3612</v>
      </c>
      <c r="J57" s="6">
        <v>0.0</v>
      </c>
      <c r="K57" s="4">
        <f t="shared" ref="K57:K60" si="21">I57-J57</f>
        <v>278.3612</v>
      </c>
      <c r="L57" s="4">
        <f>I57+Feb!L57</f>
        <v>5201914.981</v>
      </c>
      <c r="M57" s="4">
        <f>J57+Feb!M57</f>
        <v>533148.937</v>
      </c>
      <c r="N57" s="4">
        <f t="shared" ref="N57:N60" si="22">L57-M57</f>
        <v>4668766.044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65</v>
      </c>
      <c r="D58" s="6">
        <f>51.74*7328674.74</f>
        <v>379185631</v>
      </c>
      <c r="E58" s="6">
        <f>51.74*435712.59</f>
        <v>22543769.41</v>
      </c>
      <c r="F58" s="6">
        <f t="shared" si="20"/>
        <v>356641861.6</v>
      </c>
      <c r="G58" s="6">
        <f>51.74*3666097.71</f>
        <v>189683895.5</v>
      </c>
      <c r="H58" s="5">
        <v>271.0</v>
      </c>
      <c r="I58" s="6">
        <f>51.74*1370.01</f>
        <v>70884.3174</v>
      </c>
      <c r="J58" s="6">
        <f>51.74*57748.43</f>
        <v>2987903.768</v>
      </c>
      <c r="K58" s="4">
        <f t="shared" si="21"/>
        <v>-2917019.451</v>
      </c>
      <c r="L58" s="4">
        <f>I58+Feb!L58</f>
        <v>542556.0126</v>
      </c>
      <c r="M58" s="4">
        <f>J58+Feb!M58</f>
        <v>8003793.139</v>
      </c>
      <c r="N58" s="4">
        <f t="shared" si="22"/>
        <v>-7461237.126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3"/>
      <c r="B59" s="2">
        <v>40.0</v>
      </c>
      <c r="C59" s="3" t="s">
        <v>66</v>
      </c>
      <c r="D59" s="6">
        <f>51.74*34393030.33</f>
        <v>1779495389</v>
      </c>
      <c r="E59" s="6">
        <f>51.74*184357.15</f>
        <v>9538638.941</v>
      </c>
      <c r="F59" s="6">
        <f t="shared" si="20"/>
        <v>1769956750</v>
      </c>
      <c r="G59" s="6">
        <v>0.0</v>
      </c>
      <c r="H59" s="5">
        <v>4109.0</v>
      </c>
      <c r="I59" s="6">
        <f>51.74*46070.94</f>
        <v>2383710.436</v>
      </c>
      <c r="J59" s="6">
        <f>51.74*370916</f>
        <v>19191193.84</v>
      </c>
      <c r="K59" s="4">
        <f t="shared" si="21"/>
        <v>-16807483.4</v>
      </c>
      <c r="L59" s="4">
        <f>I59+Feb!L59</f>
        <v>52907677.98</v>
      </c>
      <c r="M59" s="4">
        <f>J59+Feb!M59</f>
        <v>96762535.7</v>
      </c>
      <c r="N59" s="4">
        <f t="shared" si="22"/>
        <v>-43854857.72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67</v>
      </c>
      <c r="D60" s="6">
        <f>51.74*6655754.49</f>
        <v>344368737.3</v>
      </c>
      <c r="E60" s="6">
        <f>51.74*54366.07</f>
        <v>2812900.462</v>
      </c>
      <c r="F60" s="6">
        <f t="shared" si="20"/>
        <v>341555836.9</v>
      </c>
      <c r="G60" s="6">
        <v>0.0</v>
      </c>
      <c r="H60" s="5">
        <v>701.0</v>
      </c>
      <c r="I60" s="6">
        <f>51.74*10923.68</f>
        <v>565191.2032</v>
      </c>
      <c r="J60" s="6">
        <f>51.74*54340.04</f>
        <v>2811553.67</v>
      </c>
      <c r="K60" s="4">
        <f t="shared" si="21"/>
        <v>-2246362.466</v>
      </c>
      <c r="L60" s="4">
        <f>I60+Feb!L60</f>
        <v>1784429.051</v>
      </c>
      <c r="M60" s="4">
        <f>J60+Feb!M60</f>
        <v>8538692.805</v>
      </c>
      <c r="N60" s="4">
        <f t="shared" si="22"/>
        <v>-6754263.754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22" t="s">
        <v>48</v>
      </c>
      <c r="B61" s="23"/>
      <c r="C61" s="1"/>
      <c r="D61" s="24">
        <f t="shared" ref="D61:N61" si="23">SUM(D57:D60)</f>
        <v>2579735354</v>
      </c>
      <c r="E61" s="24">
        <f t="shared" si="23"/>
        <v>35328664.94</v>
      </c>
      <c r="F61" s="24">
        <f t="shared" si="23"/>
        <v>2544406689</v>
      </c>
      <c r="G61" s="24">
        <f t="shared" si="23"/>
        <v>189683895.5</v>
      </c>
      <c r="H61" s="25">
        <f t="shared" si="23"/>
        <v>5139</v>
      </c>
      <c r="I61" s="24">
        <f t="shared" si="23"/>
        <v>3020064.317</v>
      </c>
      <c r="J61" s="26">
        <f t="shared" si="23"/>
        <v>24990651.28</v>
      </c>
      <c r="K61" s="26">
        <f t="shared" si="23"/>
        <v>-21970586.96</v>
      </c>
      <c r="L61" s="26">
        <f t="shared" si="23"/>
        <v>60436578.02</v>
      </c>
      <c r="M61" s="26">
        <f t="shared" si="23"/>
        <v>113838170.6</v>
      </c>
      <c r="N61" s="26">
        <f t="shared" si="23"/>
        <v>-53401592.56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2.0" customHeight="1">
      <c r="A62" s="1" t="s">
        <v>68</v>
      </c>
      <c r="B62" s="23"/>
      <c r="C62" s="1"/>
      <c r="D62" s="24">
        <f t="shared" ref="D62:N62" si="24">D55+D61</f>
        <v>26987329595</v>
      </c>
      <c r="E62" s="24">
        <f t="shared" si="24"/>
        <v>254343785</v>
      </c>
      <c r="F62" s="24">
        <f t="shared" si="24"/>
        <v>26732985810</v>
      </c>
      <c r="G62" s="24">
        <f t="shared" si="24"/>
        <v>14448394092</v>
      </c>
      <c r="H62" s="25">
        <f t="shared" si="24"/>
        <v>91607</v>
      </c>
      <c r="I62" s="24">
        <f t="shared" si="24"/>
        <v>122573367.5</v>
      </c>
      <c r="J62" s="26">
        <f t="shared" si="24"/>
        <v>152684118.4</v>
      </c>
      <c r="K62" s="26">
        <f t="shared" si="24"/>
        <v>-30110750.97</v>
      </c>
      <c r="L62" s="26">
        <f t="shared" si="24"/>
        <v>473841182.5</v>
      </c>
      <c r="M62" s="26">
        <f t="shared" si="24"/>
        <v>568323953</v>
      </c>
      <c r="N62" s="26">
        <f t="shared" si="24"/>
        <v>-94482770.49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69</v>
      </c>
      <c r="B63" s="2"/>
      <c r="C63" s="3"/>
      <c r="D63" s="6"/>
      <c r="E63" s="6"/>
      <c r="F63" s="6"/>
      <c r="G63" s="6"/>
      <c r="H63" s="5"/>
      <c r="I63" s="6"/>
      <c r="J63" s="4"/>
      <c r="K63" s="4"/>
      <c r="L63" s="4"/>
      <c r="M63" s="4"/>
      <c r="N63" s="4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ht="12.0" customHeight="1">
      <c r="A64" s="18" t="s">
        <v>20</v>
      </c>
      <c r="B64" s="2"/>
      <c r="C64" s="3"/>
      <c r="D64" s="6"/>
      <c r="E64" s="6"/>
      <c r="F64" s="6"/>
      <c r="G64" s="6"/>
      <c r="H64" s="5"/>
      <c r="I64" s="6"/>
      <c r="J64" s="4"/>
      <c r="K64" s="4"/>
      <c r="L64" s="4"/>
      <c r="M64" s="4"/>
      <c r="N64" s="4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3"/>
      <c r="B65" s="2">
        <v>42.0</v>
      </c>
      <c r="C65" s="3" t="s">
        <v>70</v>
      </c>
      <c r="D65" s="6">
        <v>4.318581886803E10</v>
      </c>
      <c r="E65" s="6">
        <v>2.3997052979E8</v>
      </c>
      <c r="F65" s="6">
        <f t="shared" ref="F65:F75" si="25">D65-E65</f>
        <v>42945848338</v>
      </c>
      <c r="G65" s="6">
        <v>1.2207208E9</v>
      </c>
      <c r="H65" s="5">
        <v>26461.0</v>
      </c>
      <c r="I65" s="6">
        <v>3.8574398965E8</v>
      </c>
      <c r="J65" s="4">
        <v>6.3527424459E8</v>
      </c>
      <c r="K65" s="4">
        <f t="shared" ref="K65:K75" si="26">I65-J65</f>
        <v>-249530254.9</v>
      </c>
      <c r="L65" s="4">
        <f>I65+Feb!L65</f>
        <v>902376876</v>
      </c>
      <c r="M65" s="4">
        <f>J65+Feb!M65</f>
        <v>1995878119</v>
      </c>
      <c r="N65" s="4">
        <f t="shared" ref="N65:N75" si="27">L65-M65</f>
        <v>-1093501243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124</v>
      </c>
      <c r="D66" s="6">
        <v>3.0911155349E8</v>
      </c>
      <c r="E66" s="6">
        <v>8015049.22</v>
      </c>
      <c r="F66" s="6">
        <f t="shared" si="25"/>
        <v>301096504.3</v>
      </c>
      <c r="G66" s="6">
        <v>0.0</v>
      </c>
      <c r="H66" s="5">
        <v>1056.0</v>
      </c>
      <c r="I66" s="6">
        <v>8118886.49</v>
      </c>
      <c r="J66" s="4">
        <v>6613203.259999999</v>
      </c>
      <c r="K66" s="4">
        <f t="shared" si="26"/>
        <v>1505683.23</v>
      </c>
      <c r="L66" s="4">
        <f>I66+Feb!L66</f>
        <v>16396945.8</v>
      </c>
      <c r="M66" s="4">
        <f>J66+Feb!M66</f>
        <v>8485551.53</v>
      </c>
      <c r="N66" s="4">
        <f t="shared" si="27"/>
        <v>7911394.27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72</v>
      </c>
      <c r="D67" s="6">
        <v>1.3223269999900002E9</v>
      </c>
      <c r="E67" s="6">
        <v>2.038116289E7</v>
      </c>
      <c r="F67" s="6">
        <f t="shared" si="25"/>
        <v>1301945837</v>
      </c>
      <c r="G67" s="6">
        <v>0.0</v>
      </c>
      <c r="H67" s="5">
        <v>2074.0</v>
      </c>
      <c r="I67" s="6">
        <v>3729750.660000004</v>
      </c>
      <c r="J67" s="4">
        <v>2.908046189E7</v>
      </c>
      <c r="K67" s="4">
        <f t="shared" si="26"/>
        <v>-25350711.23</v>
      </c>
      <c r="L67" s="4">
        <f>I67+Feb!L67</f>
        <v>118576871.3</v>
      </c>
      <c r="M67" s="4">
        <f>J67+Feb!M67</f>
        <v>40703225.47</v>
      </c>
      <c r="N67" s="4">
        <f t="shared" si="27"/>
        <v>77873645.85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1"/>
      <c r="B68" s="2">
        <v>45.0</v>
      </c>
      <c r="C68" s="3" t="s">
        <v>73</v>
      </c>
      <c r="D68" s="6">
        <v>2.0105610876E8</v>
      </c>
      <c r="E68" s="6">
        <v>304222.97</v>
      </c>
      <c r="F68" s="6">
        <f t="shared" si="25"/>
        <v>200751885.8</v>
      </c>
      <c r="G68" s="6">
        <v>5175000.0</v>
      </c>
      <c r="H68" s="5">
        <v>136.0</v>
      </c>
      <c r="I68" s="6">
        <v>342474.52</v>
      </c>
      <c r="J68" s="4">
        <v>1037414.34</v>
      </c>
      <c r="K68" s="4">
        <f t="shared" si="26"/>
        <v>-694939.82</v>
      </c>
      <c r="L68" s="4">
        <f>I68+Feb!L68</f>
        <v>1424444.06</v>
      </c>
      <c r="M68" s="4">
        <f>J68+Feb!M68</f>
        <v>1118217.03</v>
      </c>
      <c r="N68" s="4">
        <f t="shared" si="27"/>
        <v>306227.03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v>46.0</v>
      </c>
      <c r="C69" s="3" t="s">
        <v>74</v>
      </c>
      <c r="D69" s="6">
        <v>1.49375903702E9</v>
      </c>
      <c r="E69" s="6">
        <v>9831051.69</v>
      </c>
      <c r="F69" s="6">
        <f t="shared" si="25"/>
        <v>1483927985</v>
      </c>
      <c r="G69" s="6">
        <v>0.0</v>
      </c>
      <c r="H69" s="5">
        <v>1902.0</v>
      </c>
      <c r="I69" s="6">
        <v>1.129347672E7</v>
      </c>
      <c r="J69" s="4">
        <v>5938161.2692</v>
      </c>
      <c r="K69" s="4">
        <f t="shared" si="26"/>
        <v>5355315.451</v>
      </c>
      <c r="L69" s="4">
        <f>I69+Feb!L69</f>
        <v>19307744.72</v>
      </c>
      <c r="M69" s="4">
        <f>J69+Feb!M69</f>
        <v>59237453.67</v>
      </c>
      <c r="N69" s="4">
        <f t="shared" si="27"/>
        <v>-39929708.95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75</v>
      </c>
      <c r="D70" s="6">
        <v>9.7601636735E8</v>
      </c>
      <c r="E70" s="6">
        <v>3.765120609E7</v>
      </c>
      <c r="F70" s="6">
        <f t="shared" si="25"/>
        <v>938365161.3</v>
      </c>
      <c r="G70" s="6">
        <v>0.0</v>
      </c>
      <c r="H70" s="5">
        <v>533.0</v>
      </c>
      <c r="I70" s="6">
        <v>913844.69</v>
      </c>
      <c r="J70" s="4">
        <v>1.75030278E7</v>
      </c>
      <c r="K70" s="4">
        <f t="shared" si="26"/>
        <v>-16589183.11</v>
      </c>
      <c r="L70" s="4">
        <f>I70+Feb!L70</f>
        <v>6992581.91</v>
      </c>
      <c r="M70" s="4">
        <f>J70+Feb!M70</f>
        <v>56746351.9</v>
      </c>
      <c r="N70" s="4">
        <f t="shared" si="27"/>
        <v>-49753769.99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76</v>
      </c>
      <c r="D71" s="6">
        <v>6.56181466311E9</v>
      </c>
      <c r="E71" s="6">
        <v>2.018369879E7</v>
      </c>
      <c r="F71" s="6">
        <f t="shared" si="25"/>
        <v>6541630964</v>
      </c>
      <c r="G71" s="6">
        <v>0.0</v>
      </c>
      <c r="H71" s="5">
        <v>5124.0</v>
      </c>
      <c r="I71" s="6">
        <v>5.458846751E7</v>
      </c>
      <c r="J71" s="4">
        <v>1.3136344875E8</v>
      </c>
      <c r="K71" s="4">
        <f t="shared" si="26"/>
        <v>-76774981.24</v>
      </c>
      <c r="L71" s="4">
        <f>I71+Feb!L71</f>
        <v>117673463.6</v>
      </c>
      <c r="M71" s="4">
        <f>J71+Feb!M71</f>
        <v>204955932.1</v>
      </c>
      <c r="N71" s="4">
        <f t="shared" si="27"/>
        <v>-87282468.53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77</v>
      </c>
      <c r="D72" s="6">
        <v>3.17190014328344E8</v>
      </c>
      <c r="E72" s="6">
        <v>985201.626300002</v>
      </c>
      <c r="F72" s="6">
        <f t="shared" si="25"/>
        <v>316204812.7</v>
      </c>
      <c r="G72" s="6">
        <v>1.73523E7</v>
      </c>
      <c r="H72" s="5">
        <v>4180.0</v>
      </c>
      <c r="I72" s="6">
        <v>2868471.14</v>
      </c>
      <c r="J72" s="4">
        <v>1246491.6</v>
      </c>
      <c r="K72" s="4">
        <f t="shared" si="26"/>
        <v>1621979.54</v>
      </c>
      <c r="L72" s="4">
        <f>I72+Feb!L72</f>
        <v>14934373.53</v>
      </c>
      <c r="M72" s="4">
        <f>J72+Feb!M72</f>
        <v>7932704.24</v>
      </c>
      <c r="N72" s="4">
        <f t="shared" si="27"/>
        <v>7001669.29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78</v>
      </c>
      <c r="D73" s="6">
        <v>9.1980502885E8</v>
      </c>
      <c r="E73" s="28">
        <v>1.216593603E7</v>
      </c>
      <c r="F73" s="6">
        <f t="shared" si="25"/>
        <v>907639092.8</v>
      </c>
      <c r="G73" s="6">
        <v>0.0</v>
      </c>
      <c r="H73" s="5">
        <v>852.0</v>
      </c>
      <c r="I73" s="6">
        <v>3158489.5999999996</v>
      </c>
      <c r="J73" s="4">
        <v>347108.39</v>
      </c>
      <c r="K73" s="4">
        <f t="shared" si="26"/>
        <v>2811381.21</v>
      </c>
      <c r="L73" s="4">
        <f>I73+Feb!L73</f>
        <v>6825314.17</v>
      </c>
      <c r="M73" s="4">
        <f>J73+Feb!M73</f>
        <v>1947674.22</v>
      </c>
      <c r="N73" s="4">
        <f t="shared" si="27"/>
        <v>4877639.95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79</v>
      </c>
      <c r="D74" s="6">
        <v>4.60552086652E9</v>
      </c>
      <c r="E74" s="6">
        <v>1.041458442E7</v>
      </c>
      <c r="F74" s="6">
        <f t="shared" si="25"/>
        <v>4595106282</v>
      </c>
      <c r="G74" s="6">
        <v>0.0</v>
      </c>
      <c r="H74" s="5">
        <v>16025.0</v>
      </c>
      <c r="I74" s="6">
        <v>4.83893403600001E7</v>
      </c>
      <c r="J74" s="4">
        <v>9.17898400799998E7</v>
      </c>
      <c r="K74" s="4">
        <f t="shared" si="26"/>
        <v>-43400499.72</v>
      </c>
      <c r="L74" s="4">
        <f>I74+Feb!L74</f>
        <v>131798865.5</v>
      </c>
      <c r="M74" s="4">
        <f>J74+Feb!M74</f>
        <v>191485221.1</v>
      </c>
      <c r="N74" s="4">
        <f t="shared" si="27"/>
        <v>-59686355.59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80</v>
      </c>
      <c r="D75" s="6">
        <v>1.5512183471E8</v>
      </c>
      <c r="E75" s="6">
        <v>540211.13</v>
      </c>
      <c r="F75" s="6">
        <f t="shared" si="25"/>
        <v>154581623.6</v>
      </c>
      <c r="G75" s="6">
        <v>0.0</v>
      </c>
      <c r="H75" s="5">
        <v>2543.0</v>
      </c>
      <c r="I75" s="6">
        <v>1625156.52</v>
      </c>
      <c r="J75" s="4">
        <v>5257075.69</v>
      </c>
      <c r="K75" s="4">
        <f t="shared" si="26"/>
        <v>-3631919.17</v>
      </c>
      <c r="L75" s="4">
        <f>I75+Feb!L75</f>
        <v>3075127.15</v>
      </c>
      <c r="M75" s="4">
        <f>J75+Feb!M75</f>
        <v>8893579.85</v>
      </c>
      <c r="N75" s="4">
        <f t="shared" si="27"/>
        <v>-5818452.7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22" t="s">
        <v>44</v>
      </c>
      <c r="B76" s="1"/>
      <c r="C76" s="1"/>
      <c r="D76" s="24">
        <f t="shared" ref="D76:N76" si="28">SUM(D65:D75)</f>
        <v>60047541342</v>
      </c>
      <c r="E76" s="24">
        <f t="shared" si="28"/>
        <v>360442854.6</v>
      </c>
      <c r="F76" s="24">
        <f t="shared" si="28"/>
        <v>59687098488</v>
      </c>
      <c r="G76" s="24">
        <f t="shared" si="28"/>
        <v>1243248100</v>
      </c>
      <c r="H76" s="25">
        <f t="shared" si="28"/>
        <v>60886</v>
      </c>
      <c r="I76" s="24">
        <f t="shared" si="28"/>
        <v>520772347.9</v>
      </c>
      <c r="J76" s="24">
        <f t="shared" si="28"/>
        <v>925450477.7</v>
      </c>
      <c r="K76" s="24">
        <f t="shared" si="28"/>
        <v>-404678129.8</v>
      </c>
      <c r="L76" s="24">
        <f t="shared" si="28"/>
        <v>1339382608</v>
      </c>
      <c r="M76" s="24">
        <f t="shared" si="28"/>
        <v>2577384030</v>
      </c>
      <c r="N76" s="24">
        <f t="shared" si="28"/>
        <v>-1238001422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18" t="s">
        <v>45</v>
      </c>
      <c r="B77" s="2"/>
      <c r="C77" s="3"/>
      <c r="D77" s="6"/>
      <c r="E77" s="6"/>
      <c r="F77" s="6"/>
      <c r="G77" s="6"/>
      <c r="H77" s="5"/>
      <c r="I77" s="6"/>
      <c r="J77" s="4"/>
      <c r="K77" s="4"/>
      <c r="L77" s="4"/>
      <c r="M77" s="4"/>
      <c r="N77" s="4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3"/>
      <c r="B78" s="2">
        <v>53.0</v>
      </c>
      <c r="C78" s="3" t="s">
        <v>81</v>
      </c>
      <c r="D78" s="6">
        <f>51.74*284086480.64</f>
        <v>14698634508</v>
      </c>
      <c r="E78" s="6">
        <f>51.74*1229342.79</f>
        <v>63606195.95</v>
      </c>
      <c r="F78" s="6">
        <f t="shared" ref="F78:F84" si="29">D78-E78</f>
        <v>14635028312</v>
      </c>
      <c r="G78" s="6">
        <v>0.0</v>
      </c>
      <c r="H78" s="5">
        <v>9820.0</v>
      </c>
      <c r="I78" s="6">
        <f>51.74*2123970.23</f>
        <v>109894219.7</v>
      </c>
      <c r="J78" s="4">
        <f>51.74*9888564.97</f>
        <v>511634351.5</v>
      </c>
      <c r="K78" s="4">
        <f t="shared" ref="K78:K84" si="30">I78-J78</f>
        <v>-401740131.8</v>
      </c>
      <c r="L78" s="4">
        <f>I78+Feb!L78</f>
        <v>350836198.1</v>
      </c>
      <c r="M78" s="4">
        <f>J78+Feb!M78</f>
        <v>3339674638</v>
      </c>
      <c r="N78" s="4">
        <f t="shared" ref="N78:N84" si="31">L78-M78</f>
        <v>-2988838440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125</v>
      </c>
      <c r="D79" s="6">
        <v>6.223540839828E8</v>
      </c>
      <c r="E79" s="6">
        <v>1.0481103219600001E7</v>
      </c>
      <c r="F79" s="6">
        <f t="shared" si="29"/>
        <v>611872980.8</v>
      </c>
      <c r="G79" s="6">
        <v>0.0</v>
      </c>
      <c r="H79" s="5">
        <v>202.0</v>
      </c>
      <c r="I79" s="6">
        <v>3015058.99</v>
      </c>
      <c r="J79" s="4">
        <v>1.478406508E8</v>
      </c>
      <c r="K79" s="4">
        <f t="shared" si="30"/>
        <v>-144825591.8</v>
      </c>
      <c r="L79" s="4">
        <f>I79+Feb!L79</f>
        <v>9084095.94</v>
      </c>
      <c r="M79" s="4">
        <f>J79+Feb!M79</f>
        <v>158346938.5</v>
      </c>
      <c r="N79" s="4">
        <f t="shared" si="31"/>
        <v>-149262842.6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83</v>
      </c>
      <c r="D80" s="6">
        <v>7.229522073748E8</v>
      </c>
      <c r="E80" s="6">
        <v>3084677.7468000003</v>
      </c>
      <c r="F80" s="6">
        <f t="shared" si="29"/>
        <v>719867529.6</v>
      </c>
      <c r="G80" s="6">
        <v>0.0</v>
      </c>
      <c r="H80" s="5">
        <v>157.0</v>
      </c>
      <c r="I80" s="6">
        <v>261784.46612903217</v>
      </c>
      <c r="J80" s="4">
        <v>0.0</v>
      </c>
      <c r="K80" s="4">
        <f t="shared" si="30"/>
        <v>261784.4661</v>
      </c>
      <c r="L80" s="4">
        <f>I80+Feb!L80</f>
        <v>1051829.088</v>
      </c>
      <c r="M80" s="4">
        <f>J80+Feb!M80</f>
        <v>5566443.63</v>
      </c>
      <c r="N80" s="4">
        <f t="shared" si="31"/>
        <v>-4514614.542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1.25" customHeight="1">
      <c r="A81" s="18"/>
      <c r="B81" s="2">
        <v>56.0</v>
      </c>
      <c r="C81" s="3" t="s">
        <v>84</v>
      </c>
      <c r="D81" s="6">
        <f>51.74*1244354.91</f>
        <v>64382923.04</v>
      </c>
      <c r="E81" s="6">
        <f>51.74*232880.6</f>
        <v>12049242.24</v>
      </c>
      <c r="F81" s="6">
        <f t="shared" si="29"/>
        <v>52333680.8</v>
      </c>
      <c r="G81" s="6">
        <v>0.0</v>
      </c>
      <c r="H81" s="5">
        <v>27.0</v>
      </c>
      <c r="I81" s="6">
        <v>0.0</v>
      </c>
      <c r="J81" s="6">
        <v>0.0</v>
      </c>
      <c r="K81" s="4">
        <f t="shared" si="30"/>
        <v>0</v>
      </c>
      <c r="L81" s="4">
        <f>I81+Feb!L81</f>
        <v>0</v>
      </c>
      <c r="M81" s="4">
        <f>J81+Feb!M81</f>
        <v>361268.4153</v>
      </c>
      <c r="N81" s="4">
        <f t="shared" si="31"/>
        <v>-361268.4153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v>57.0</v>
      </c>
      <c r="C82" s="3" t="s">
        <v>85</v>
      </c>
      <c r="D82" s="6">
        <f>51.74*43632359.07</f>
        <v>2257538258</v>
      </c>
      <c r="E82" s="6">
        <f>51.74*-245161.62</f>
        <v>-12684662.22</v>
      </c>
      <c r="F82" s="6">
        <f t="shared" si="29"/>
        <v>2270222921</v>
      </c>
      <c r="G82" s="6">
        <v>0.0</v>
      </c>
      <c r="H82" s="5">
        <v>2031.0</v>
      </c>
      <c r="I82" s="6">
        <f>51.74*2106979.35</f>
        <v>109015111.6</v>
      </c>
      <c r="J82" s="6">
        <f>51.74*337930.1</f>
        <v>17484503.37</v>
      </c>
      <c r="K82" s="4">
        <f t="shared" si="30"/>
        <v>91530608.2</v>
      </c>
      <c r="L82" s="4">
        <f>I82+Feb!L82</f>
        <v>267933718.1</v>
      </c>
      <c r="M82" s="4">
        <f>J82+Feb!M82</f>
        <v>25462111.06</v>
      </c>
      <c r="N82" s="4">
        <f t="shared" si="31"/>
        <v>242471607.1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86</v>
      </c>
      <c r="D83" s="6">
        <v>2.23971229833E8</v>
      </c>
      <c r="E83" s="6">
        <v>1036531.7378000001</v>
      </c>
      <c r="F83" s="6">
        <f t="shared" si="29"/>
        <v>222934698.1</v>
      </c>
      <c r="G83" s="6">
        <v>0.0</v>
      </c>
      <c r="H83" s="5">
        <v>129.0</v>
      </c>
      <c r="I83" s="6">
        <v>25870.0</v>
      </c>
      <c r="J83" s="4">
        <v>107827.71220000001</v>
      </c>
      <c r="K83" s="4">
        <f t="shared" si="30"/>
        <v>-81957.7122</v>
      </c>
      <c r="L83" s="4">
        <f>I83+Feb!L83</f>
        <v>1019395</v>
      </c>
      <c r="M83" s="4">
        <f>J83+Feb!M83</f>
        <v>1567930.904</v>
      </c>
      <c r="N83" s="4">
        <f t="shared" si="31"/>
        <v>-548535.9037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87</v>
      </c>
      <c r="D84" s="6">
        <f>51.74*9579571.56</f>
        <v>495647032.5</v>
      </c>
      <c r="E84" s="6">
        <f>51.74*74783.55</f>
        <v>3869300.877</v>
      </c>
      <c r="F84" s="6">
        <f t="shared" si="29"/>
        <v>491777731.6</v>
      </c>
      <c r="G84" s="6">
        <v>0.0</v>
      </c>
      <c r="H84" s="5">
        <v>2514.0</v>
      </c>
      <c r="I84" s="6">
        <f>51.74*329741.23</f>
        <v>17060811.24</v>
      </c>
      <c r="J84" s="4">
        <f>51.74*489565.96</f>
        <v>25330142.77</v>
      </c>
      <c r="K84" s="4">
        <f t="shared" si="30"/>
        <v>-8269331.53</v>
      </c>
      <c r="L84" s="4">
        <f>I84+Feb!L84</f>
        <v>18596104.51</v>
      </c>
      <c r="M84" s="4">
        <f>J84+Feb!M84</f>
        <v>31652060.13</v>
      </c>
      <c r="N84" s="4">
        <f t="shared" si="31"/>
        <v>-13055955.62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22" t="s">
        <v>88</v>
      </c>
      <c r="B85" s="23"/>
      <c r="C85" s="29"/>
      <c r="D85" s="24">
        <f t="shared" ref="D85:N85" si="32">SUM(D78:D84)</f>
        <v>19085480243</v>
      </c>
      <c r="E85" s="24">
        <f t="shared" si="32"/>
        <v>81442389.56</v>
      </c>
      <c r="F85" s="24">
        <f t="shared" si="32"/>
        <v>19004037854</v>
      </c>
      <c r="G85" s="24">
        <f t="shared" si="32"/>
        <v>0</v>
      </c>
      <c r="H85" s="25">
        <f t="shared" si="32"/>
        <v>14880</v>
      </c>
      <c r="I85" s="24">
        <f t="shared" si="32"/>
        <v>239272856</v>
      </c>
      <c r="J85" s="26">
        <f t="shared" si="32"/>
        <v>702397476.2</v>
      </c>
      <c r="K85" s="26">
        <f t="shared" si="32"/>
        <v>-463124620.2</v>
      </c>
      <c r="L85" s="26">
        <f t="shared" si="32"/>
        <v>648521340.8</v>
      </c>
      <c r="M85" s="26">
        <f t="shared" si="32"/>
        <v>3562631391</v>
      </c>
      <c r="N85" s="26">
        <f t="shared" si="32"/>
        <v>-2914110050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v>60.0</v>
      </c>
      <c r="C86" s="3" t="s">
        <v>89</v>
      </c>
      <c r="D86" s="6">
        <f>57.576272*16633892.01</f>
        <v>957717490.8</v>
      </c>
      <c r="E86" s="6">
        <f>57.576272*64344.29</f>
        <v>3704704.343</v>
      </c>
      <c r="F86" s="6">
        <f>D86-E86</f>
        <v>954012786.4</v>
      </c>
      <c r="G86" s="6">
        <v>0.0</v>
      </c>
      <c r="H86" s="5">
        <v>678.0</v>
      </c>
      <c r="I86" s="6">
        <f>57.576272*60252.43</f>
        <v>3469110.298</v>
      </c>
      <c r="J86" s="4">
        <f>57.576272*245682.77</f>
        <v>14145497.99</v>
      </c>
      <c r="K86" s="4">
        <f>I86-J86</f>
        <v>-10676387.69</v>
      </c>
      <c r="L86" s="4">
        <f>I86+Feb!L86</f>
        <v>5205657.728</v>
      </c>
      <c r="M86" s="4">
        <f>J86+Feb!M86</f>
        <v>21849621.58</v>
      </c>
      <c r="N86" s="4">
        <f>L86-M86</f>
        <v>-16643963.86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22" t="s">
        <v>90</v>
      </c>
      <c r="B87" s="29"/>
      <c r="C87" s="1"/>
      <c r="D87" s="24">
        <f t="shared" ref="D87:N87" si="33">SUM(D86)</f>
        <v>957717490.8</v>
      </c>
      <c r="E87" s="24">
        <f t="shared" si="33"/>
        <v>3704704.343</v>
      </c>
      <c r="F87" s="24">
        <f t="shared" si="33"/>
        <v>954012786.4</v>
      </c>
      <c r="G87" s="24">
        <f t="shared" si="33"/>
        <v>0</v>
      </c>
      <c r="H87" s="25">
        <f t="shared" si="33"/>
        <v>678</v>
      </c>
      <c r="I87" s="24">
        <f t="shared" si="33"/>
        <v>3469110.298</v>
      </c>
      <c r="J87" s="26">
        <f t="shared" si="33"/>
        <v>14145497.99</v>
      </c>
      <c r="K87" s="26">
        <f t="shared" si="33"/>
        <v>-10676387.69</v>
      </c>
      <c r="L87" s="26">
        <f t="shared" si="33"/>
        <v>5205657.728</v>
      </c>
      <c r="M87" s="26">
        <f t="shared" si="33"/>
        <v>21849621.58</v>
      </c>
      <c r="N87" s="26">
        <f t="shared" si="33"/>
        <v>-16643963.86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1" t="s">
        <v>91</v>
      </c>
      <c r="B88" s="23"/>
      <c r="C88" s="29"/>
      <c r="D88" s="24">
        <f t="shared" ref="D88:N88" si="34">D76+D85+D87</f>
        <v>80090739076</v>
      </c>
      <c r="E88" s="24">
        <f t="shared" si="34"/>
        <v>445589948.5</v>
      </c>
      <c r="F88" s="24">
        <f t="shared" si="34"/>
        <v>79645149128</v>
      </c>
      <c r="G88" s="24">
        <f t="shared" si="34"/>
        <v>1243248100</v>
      </c>
      <c r="H88" s="25">
        <f t="shared" si="34"/>
        <v>76444</v>
      </c>
      <c r="I88" s="24">
        <f t="shared" si="34"/>
        <v>763514314.1</v>
      </c>
      <c r="J88" s="26">
        <f t="shared" si="34"/>
        <v>1641993452</v>
      </c>
      <c r="K88" s="26">
        <f t="shared" si="34"/>
        <v>-878479137.7</v>
      </c>
      <c r="L88" s="26">
        <f t="shared" si="34"/>
        <v>1993109606</v>
      </c>
      <c r="M88" s="26">
        <f t="shared" si="34"/>
        <v>6161865043</v>
      </c>
      <c r="N88" s="26">
        <f t="shared" si="34"/>
        <v>-4168755436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92</v>
      </c>
      <c r="B89" s="2"/>
      <c r="C89" s="30"/>
      <c r="D89" s="6"/>
      <c r="E89" s="6"/>
      <c r="F89" s="6"/>
      <c r="G89" s="6"/>
      <c r="H89" s="5"/>
      <c r="I89" s="6"/>
      <c r="J89" s="4"/>
      <c r="K89" s="4"/>
      <c r="L89" s="4"/>
      <c r="M89" s="4"/>
      <c r="N89" s="4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8" t="s">
        <v>20</v>
      </c>
      <c r="B90" s="2"/>
      <c r="C90" s="30"/>
      <c r="D90" s="6"/>
      <c r="E90" s="6"/>
      <c r="F90" s="6"/>
      <c r="G90" s="6"/>
      <c r="H90" s="5"/>
      <c r="I90" s="6"/>
      <c r="J90" s="4"/>
      <c r="K90" s="4"/>
      <c r="L90" s="4"/>
      <c r="M90" s="4"/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/>
      <c r="B91" s="2">
        <v>61.0</v>
      </c>
      <c r="C91" s="3" t="s">
        <v>93</v>
      </c>
      <c r="D91" s="6">
        <v>6.015157686034E10</v>
      </c>
      <c r="E91" s="6">
        <v>4.4272094576E8</v>
      </c>
      <c r="F91" s="6">
        <f t="shared" ref="F91:F93" si="35">D91-E91</f>
        <v>59708855915</v>
      </c>
      <c r="G91" s="6">
        <v>0.0</v>
      </c>
      <c r="H91" s="5">
        <v>32751.0</v>
      </c>
      <c r="I91" s="6">
        <v>3.45662401589E9</v>
      </c>
      <c r="J91" s="4">
        <v>2.97182904477E9</v>
      </c>
      <c r="K91" s="4">
        <f t="shared" ref="K91:K93" si="36">I91-J91</f>
        <v>484794971.1</v>
      </c>
      <c r="L91" s="4">
        <f>I91+Feb!L91</f>
        <v>10638414869</v>
      </c>
      <c r="M91" s="4">
        <f>J91+Feb!M91</f>
        <v>9135270097</v>
      </c>
      <c r="N91" s="4">
        <f t="shared" ref="N91:N93" si="37">L91-M91</f>
        <v>1503144772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94</v>
      </c>
      <c r="D92" s="6">
        <v>3.08244287395E9</v>
      </c>
      <c r="E92" s="6">
        <v>4901694.29</v>
      </c>
      <c r="F92" s="6">
        <f t="shared" si="35"/>
        <v>3077541180</v>
      </c>
      <c r="G92" s="6">
        <v>0.0</v>
      </c>
      <c r="H92" s="5">
        <v>549.0</v>
      </c>
      <c r="I92" s="6">
        <v>1.6857855057E8</v>
      </c>
      <c r="J92" s="4">
        <v>1.490198616034E8</v>
      </c>
      <c r="K92" s="4">
        <f t="shared" si="36"/>
        <v>19558688.97</v>
      </c>
      <c r="L92" s="4">
        <f>I92+Feb!L92</f>
        <v>845748145.4</v>
      </c>
      <c r="M92" s="4">
        <f>J92+Feb!M92</f>
        <v>546388451.2</v>
      </c>
      <c r="N92" s="4">
        <f t="shared" si="37"/>
        <v>299359694.2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/>
      <c r="B93" s="2">
        <v>63.0</v>
      </c>
      <c r="C93" s="3" t="s">
        <v>95</v>
      </c>
      <c r="D93" s="6">
        <v>1.2695162977033E11</v>
      </c>
      <c r="E93" s="6">
        <v>8.2707408546E8</v>
      </c>
      <c r="F93" s="6">
        <f t="shared" si="35"/>
        <v>126124555685</v>
      </c>
      <c r="G93" s="6">
        <v>0.0</v>
      </c>
      <c r="H93" s="5">
        <v>59133.0</v>
      </c>
      <c r="I93" s="6">
        <v>1.994150908394E10</v>
      </c>
      <c r="J93" s="4">
        <v>1.941407851852E10</v>
      </c>
      <c r="K93" s="4">
        <f t="shared" si="36"/>
        <v>527430565.4</v>
      </c>
      <c r="L93" s="4">
        <f>I93+Feb!L93</f>
        <v>51070896033</v>
      </c>
      <c r="M93" s="4">
        <f>J93+Feb!M93</f>
        <v>52520769582</v>
      </c>
      <c r="N93" s="4">
        <f t="shared" si="37"/>
        <v>-1449873549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2" t="s">
        <v>44</v>
      </c>
      <c r="B94" s="2"/>
      <c r="C94" s="3"/>
      <c r="D94" s="24">
        <f t="shared" ref="D94:N94" si="38">SUM(D91:D93)</f>
        <v>190185649505</v>
      </c>
      <c r="E94" s="24">
        <f t="shared" si="38"/>
        <v>1274696726</v>
      </c>
      <c r="F94" s="24">
        <f t="shared" si="38"/>
        <v>188910952779</v>
      </c>
      <c r="G94" s="24">
        <f t="shared" si="38"/>
        <v>0</v>
      </c>
      <c r="H94" s="25">
        <f t="shared" si="38"/>
        <v>92433</v>
      </c>
      <c r="I94" s="24">
        <f t="shared" si="38"/>
        <v>23566711650</v>
      </c>
      <c r="J94" s="24">
        <f t="shared" si="38"/>
        <v>22534927425</v>
      </c>
      <c r="K94" s="24">
        <f t="shared" si="38"/>
        <v>1031784226</v>
      </c>
      <c r="L94" s="24">
        <f t="shared" si="38"/>
        <v>62555059047</v>
      </c>
      <c r="M94" s="24">
        <f t="shared" si="38"/>
        <v>62202428130</v>
      </c>
      <c r="N94" s="24">
        <f t="shared" si="38"/>
        <v>352630916.8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45</v>
      </c>
      <c r="B95" s="2"/>
      <c r="C95" s="3"/>
      <c r="D95" s="6"/>
      <c r="E95" s="6"/>
      <c r="F95" s="6"/>
      <c r="G95" s="6"/>
      <c r="H95" s="5"/>
      <c r="I95" s="6"/>
      <c r="J95" s="4"/>
      <c r="K95" s="4"/>
      <c r="L95" s="4"/>
      <c r="M95" s="4"/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64.0</v>
      </c>
      <c r="C96" s="3" t="s">
        <v>96</v>
      </c>
      <c r="D96" s="6">
        <f>51.74*211324281.4</f>
        <v>10933918320</v>
      </c>
      <c r="E96" s="6">
        <f>51.74*1147767.22</f>
        <v>59385475.96</v>
      </c>
      <c r="F96" s="6">
        <f>D96-E96</f>
        <v>10874532844</v>
      </c>
      <c r="G96" s="6">
        <v>0.0</v>
      </c>
      <c r="H96" s="5">
        <v>2778.0</v>
      </c>
      <c r="I96" s="6">
        <f>51.74*55718684.9</f>
        <v>2882884757</v>
      </c>
      <c r="J96" s="6">
        <f>51.74*47126601.06</f>
        <v>2438330339</v>
      </c>
      <c r="K96" s="4">
        <f>I96-J96</f>
        <v>444554417.9</v>
      </c>
      <c r="L96" s="4">
        <f>I96+Feb!L96</f>
        <v>7185425785</v>
      </c>
      <c r="M96" s="4">
        <f>J96+Feb!M96</f>
        <v>5938993786</v>
      </c>
      <c r="N96" s="4">
        <f>L96-M96</f>
        <v>1246431999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2" t="s">
        <v>88</v>
      </c>
      <c r="B97" s="2"/>
      <c r="C97" s="3"/>
      <c r="D97" s="24">
        <f t="shared" ref="D97:N97" si="39">SUM(D96)</f>
        <v>10933918320</v>
      </c>
      <c r="E97" s="24">
        <f t="shared" si="39"/>
        <v>59385475.96</v>
      </c>
      <c r="F97" s="24">
        <f t="shared" si="39"/>
        <v>10874532844</v>
      </c>
      <c r="G97" s="24">
        <f t="shared" si="39"/>
        <v>0</v>
      </c>
      <c r="H97" s="25">
        <f t="shared" si="39"/>
        <v>2778</v>
      </c>
      <c r="I97" s="24">
        <f t="shared" si="39"/>
        <v>2882884757</v>
      </c>
      <c r="J97" s="24">
        <f t="shared" si="39"/>
        <v>2438330339</v>
      </c>
      <c r="K97" s="24">
        <f t="shared" si="39"/>
        <v>444554417.9</v>
      </c>
      <c r="L97" s="24">
        <f t="shared" si="39"/>
        <v>7185425785</v>
      </c>
      <c r="M97" s="24">
        <f t="shared" si="39"/>
        <v>5938993786</v>
      </c>
      <c r="N97" s="24">
        <f t="shared" si="39"/>
        <v>1246431999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 t="s">
        <v>97</v>
      </c>
      <c r="B98" s="2"/>
      <c r="C98" s="3"/>
      <c r="D98" s="24">
        <f t="shared" ref="D98:N98" si="40">D94+D97</f>
        <v>201119567824</v>
      </c>
      <c r="E98" s="24">
        <f t="shared" si="40"/>
        <v>1334082201</v>
      </c>
      <c r="F98" s="24">
        <f t="shared" si="40"/>
        <v>199785485623</v>
      </c>
      <c r="G98" s="24">
        <f t="shared" si="40"/>
        <v>0</v>
      </c>
      <c r="H98" s="25">
        <f t="shared" si="40"/>
        <v>95211</v>
      </c>
      <c r="I98" s="24">
        <f t="shared" si="40"/>
        <v>26449596407</v>
      </c>
      <c r="J98" s="24">
        <f t="shared" si="40"/>
        <v>24973257764</v>
      </c>
      <c r="K98" s="24">
        <f t="shared" si="40"/>
        <v>1476338643</v>
      </c>
      <c r="L98" s="24">
        <f t="shared" si="40"/>
        <v>69740484832</v>
      </c>
      <c r="M98" s="24">
        <f t="shared" si="40"/>
        <v>68141421916</v>
      </c>
      <c r="N98" s="24">
        <f t="shared" si="40"/>
        <v>1599062916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 t="s">
        <v>98</v>
      </c>
      <c r="B99" s="2"/>
      <c r="C99" s="3"/>
      <c r="D99" s="6"/>
      <c r="E99" s="6"/>
      <c r="F99" s="6"/>
      <c r="G99" s="6"/>
      <c r="H99" s="5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8" t="s">
        <v>99</v>
      </c>
      <c r="B100" s="2"/>
      <c r="C100" s="3"/>
      <c r="D100" s="6"/>
      <c r="E100" s="6"/>
      <c r="F100" s="6"/>
      <c r="G100" s="6"/>
      <c r="H100" s="5"/>
      <c r="I100" s="6"/>
      <c r="J100" s="6"/>
      <c r="K100" s="4"/>
      <c r="L100" s="4"/>
      <c r="M100" s="4"/>
      <c r="N100" s="4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8"/>
      <c r="B101" s="2">
        <v>65.0</v>
      </c>
      <c r="C101" s="3" t="s">
        <v>100</v>
      </c>
      <c r="D101" s="6">
        <v>8.85462348943E9</v>
      </c>
      <c r="E101" s="6">
        <v>1.554726436E7</v>
      </c>
      <c r="F101" s="6">
        <f t="shared" ref="F101:F102" si="41">D101-E101</f>
        <v>8839076225</v>
      </c>
      <c r="G101" s="6">
        <v>0.0</v>
      </c>
      <c r="H101" s="5">
        <v>3425.0</v>
      </c>
      <c r="I101" s="6">
        <v>4.5872862056E8</v>
      </c>
      <c r="J101" s="6">
        <v>5.784221162E7</v>
      </c>
      <c r="K101" s="4">
        <f t="shared" ref="K101:K102" si="42">I101-J101</f>
        <v>400886408.9</v>
      </c>
      <c r="L101" s="4">
        <f>I101+Feb!L101</f>
        <v>1802953008</v>
      </c>
      <c r="M101" s="4">
        <f>J101+Feb!M101</f>
        <v>109487677.8</v>
      </c>
      <c r="N101" s="4">
        <f t="shared" ref="N101:N102" si="43">L101-M101</f>
        <v>1693465330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/>
      <c r="B102" s="2">
        <v>66.0</v>
      </c>
      <c r="C102" s="3" t="s">
        <v>101</v>
      </c>
      <c r="D102" s="6">
        <v>3.79635002875E9</v>
      </c>
      <c r="E102" s="6">
        <v>3.951651494E7</v>
      </c>
      <c r="F102" s="6">
        <f t="shared" si="41"/>
        <v>3756833514</v>
      </c>
      <c r="G102" s="6">
        <v>0.0</v>
      </c>
      <c r="H102" s="5">
        <v>5073.0</v>
      </c>
      <c r="I102" s="6">
        <v>1.8670816098E8</v>
      </c>
      <c r="J102" s="6">
        <v>1.8278552263E8</v>
      </c>
      <c r="K102" s="4">
        <f t="shared" si="42"/>
        <v>3922638.35</v>
      </c>
      <c r="L102" s="4">
        <f>I102+Feb!L102</f>
        <v>665340595.6</v>
      </c>
      <c r="M102" s="4">
        <f>J102+Feb!M102</f>
        <v>625623501.3</v>
      </c>
      <c r="N102" s="4">
        <f t="shared" si="43"/>
        <v>39717094.32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22" t="s">
        <v>44</v>
      </c>
      <c r="B103" s="2"/>
      <c r="C103" s="3"/>
      <c r="D103" s="24">
        <f t="shared" ref="D103:N103" si="44">D101+D102</f>
        <v>12650973518</v>
      </c>
      <c r="E103" s="24">
        <f t="shared" si="44"/>
        <v>55063779.3</v>
      </c>
      <c r="F103" s="24">
        <f t="shared" si="44"/>
        <v>12595909739</v>
      </c>
      <c r="G103" s="24">
        <f t="shared" si="44"/>
        <v>0</v>
      </c>
      <c r="H103" s="25">
        <f t="shared" si="44"/>
        <v>8498</v>
      </c>
      <c r="I103" s="24">
        <f t="shared" si="44"/>
        <v>645436781.5</v>
      </c>
      <c r="J103" s="24">
        <f t="shared" si="44"/>
        <v>240627734.3</v>
      </c>
      <c r="K103" s="24">
        <f t="shared" si="44"/>
        <v>404809047.3</v>
      </c>
      <c r="L103" s="24">
        <f t="shared" si="44"/>
        <v>2468293603</v>
      </c>
      <c r="M103" s="24">
        <f t="shared" si="44"/>
        <v>735111179.1</v>
      </c>
      <c r="N103" s="24">
        <f t="shared" si="44"/>
        <v>1733182424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 t="s">
        <v>102</v>
      </c>
      <c r="B104" s="2"/>
      <c r="C104" s="3"/>
      <c r="D104" s="6"/>
      <c r="E104" s="6"/>
      <c r="F104" s="6"/>
      <c r="G104" s="6"/>
      <c r="H104" s="5"/>
      <c r="I104" s="6"/>
      <c r="J104" s="6"/>
      <c r="K104" s="4"/>
      <c r="L104" s="4"/>
      <c r="M104" s="4"/>
      <c r="N104" s="4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67.0</v>
      </c>
      <c r="C105" s="3" t="s">
        <v>103</v>
      </c>
      <c r="D105" s="6">
        <f>51.74*200211733.86</f>
        <v>10358955110</v>
      </c>
      <c r="E105" s="6">
        <f>51.74*393795.07</f>
        <v>20374956.92</v>
      </c>
      <c r="F105" s="6">
        <f>D105-E105</f>
        <v>10338580153</v>
      </c>
      <c r="G105" s="6">
        <v>0.0</v>
      </c>
      <c r="H105" s="5">
        <v>8384.0</v>
      </c>
      <c r="I105" s="6">
        <f>51.74*3415504.01</f>
        <v>176718177.5</v>
      </c>
      <c r="J105" s="6">
        <f>51.74*2905876.82</f>
        <v>150350066.7</v>
      </c>
      <c r="K105" s="4">
        <f>I105-J105</f>
        <v>26368110.81</v>
      </c>
      <c r="L105" s="4">
        <f>I105+Feb!L105</f>
        <v>674157161.4</v>
      </c>
      <c r="M105" s="4">
        <f>J105+Feb!M105</f>
        <v>335672258.9</v>
      </c>
      <c r="N105" s="4">
        <f>L105-M105</f>
        <v>338484902.5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2" t="s">
        <v>88</v>
      </c>
      <c r="B106" s="23"/>
      <c r="C106" s="1"/>
      <c r="D106" s="24">
        <f t="shared" ref="D106:N106" si="45">SUM(D105)</f>
        <v>10358955110</v>
      </c>
      <c r="E106" s="24">
        <f t="shared" si="45"/>
        <v>20374956.92</v>
      </c>
      <c r="F106" s="24">
        <f t="shared" si="45"/>
        <v>10338580153</v>
      </c>
      <c r="G106" s="24">
        <f t="shared" si="45"/>
        <v>0</v>
      </c>
      <c r="H106" s="25">
        <f t="shared" si="45"/>
        <v>8384</v>
      </c>
      <c r="I106" s="24">
        <f t="shared" si="45"/>
        <v>176718177.5</v>
      </c>
      <c r="J106" s="24">
        <f t="shared" si="45"/>
        <v>150350066.7</v>
      </c>
      <c r="K106" s="24">
        <f t="shared" si="45"/>
        <v>26368110.81</v>
      </c>
      <c r="L106" s="24">
        <f t="shared" si="45"/>
        <v>674157161.4</v>
      </c>
      <c r="M106" s="24">
        <f t="shared" si="45"/>
        <v>335672258.9</v>
      </c>
      <c r="N106" s="24">
        <f t="shared" si="45"/>
        <v>338484902.5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" t="s">
        <v>104</v>
      </c>
      <c r="B107" s="31"/>
      <c r="C107" s="29"/>
      <c r="D107" s="24">
        <f t="shared" ref="D107:F107" si="46">SUM(D103+D106)</f>
        <v>23009928628</v>
      </c>
      <c r="E107" s="24">
        <f t="shared" si="46"/>
        <v>75438736.22</v>
      </c>
      <c r="F107" s="24">
        <f t="shared" si="46"/>
        <v>22934489892</v>
      </c>
      <c r="G107" s="24">
        <f>SUM(G106)</f>
        <v>0</v>
      </c>
      <c r="H107" s="25">
        <f t="shared" ref="H107:N107" si="47">SUM(H103+H106)</f>
        <v>16882</v>
      </c>
      <c r="I107" s="24">
        <f t="shared" si="47"/>
        <v>822154959</v>
      </c>
      <c r="J107" s="24">
        <f t="shared" si="47"/>
        <v>390977800.9</v>
      </c>
      <c r="K107" s="24">
        <f t="shared" si="47"/>
        <v>431177158.1</v>
      </c>
      <c r="L107" s="24">
        <f t="shared" si="47"/>
        <v>3142450765</v>
      </c>
      <c r="M107" s="24">
        <f t="shared" si="47"/>
        <v>1070783438</v>
      </c>
      <c r="N107" s="24">
        <f t="shared" si="47"/>
        <v>2071667327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32" t="s">
        <v>105</v>
      </c>
      <c r="B108" s="33"/>
      <c r="C108" s="34"/>
      <c r="D108" s="35">
        <f t="shared" ref="D108:N108" si="48">D38+D62+D88+D98+D107</f>
        <v>455205607309</v>
      </c>
      <c r="E108" s="35">
        <f t="shared" si="48"/>
        <v>2986913380</v>
      </c>
      <c r="F108" s="35">
        <f t="shared" si="48"/>
        <v>452218693929</v>
      </c>
      <c r="G108" s="35">
        <f t="shared" si="48"/>
        <v>131664759344</v>
      </c>
      <c r="H108" s="35">
        <f t="shared" si="48"/>
        <v>831363</v>
      </c>
      <c r="I108" s="35">
        <f t="shared" si="48"/>
        <v>29441889020</v>
      </c>
      <c r="J108" s="35">
        <f t="shared" si="48"/>
        <v>28176831012</v>
      </c>
      <c r="K108" s="35">
        <f t="shared" si="48"/>
        <v>1265058008</v>
      </c>
      <c r="L108" s="35">
        <f t="shared" si="48"/>
        <v>79029422343</v>
      </c>
      <c r="M108" s="35">
        <f t="shared" si="48"/>
        <v>79165416847</v>
      </c>
      <c r="N108" s="35">
        <f t="shared" si="48"/>
        <v>-135994504.5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2.0" customHeight="1">
      <c r="A109" s="3"/>
      <c r="B109" s="2"/>
      <c r="C109" s="36"/>
      <c r="D109" s="4"/>
      <c r="E109" s="4"/>
      <c r="F109" s="4"/>
      <c r="G109" s="4"/>
      <c r="H109" s="5"/>
      <c r="I109" s="6"/>
      <c r="J109" s="4"/>
      <c r="K109" s="4"/>
      <c r="L109" s="4"/>
      <c r="M109" s="4"/>
      <c r="N109" s="4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30"/>
      <c r="B110" s="36"/>
      <c r="C110" s="36"/>
      <c r="D110" s="4"/>
      <c r="E110" s="4"/>
      <c r="F110" s="4"/>
      <c r="G110" s="4"/>
      <c r="H110" s="5"/>
      <c r="I110" s="4"/>
      <c r="J110" s="4"/>
      <c r="K110" s="4"/>
      <c r="L110" s="4"/>
      <c r="M110" s="4"/>
      <c r="N110" s="4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6"/>
      <c r="B111" s="36"/>
      <c r="C111" s="36"/>
      <c r="D111" s="4"/>
      <c r="E111" s="4"/>
      <c r="F111" s="4"/>
      <c r="G111" s="4"/>
      <c r="H111" s="5"/>
      <c r="I111" s="6"/>
      <c r="J111" s="4"/>
      <c r="K111" s="4"/>
      <c r="L111" s="4"/>
      <c r="M111" s="4"/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36"/>
      <c r="B112" s="36"/>
      <c r="C112" s="36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6"/>
      <c r="B113" s="36"/>
      <c r="C113" s="36"/>
      <c r="D113" s="4"/>
      <c r="E113" s="4"/>
      <c r="F113" s="4"/>
      <c r="G113" s="4"/>
      <c r="H113" s="5"/>
      <c r="I113" s="6"/>
      <c r="J113" s="4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6"/>
      <c r="B114" s="36"/>
      <c r="C114" s="36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6"/>
      <c r="B115" s="36"/>
      <c r="C115" s="36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6"/>
      <c r="B116" s="36"/>
      <c r="C116" s="36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6"/>
      <c r="B117" s="36"/>
      <c r="C117" s="36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6"/>
      <c r="B118" s="36"/>
      <c r="C118" s="36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6"/>
      <c r="B119" s="36"/>
      <c r="C119" s="36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5.75"/>
    <col customWidth="1" min="5" max="5" width="14.5"/>
    <col customWidth="1" min="6" max="6" width="16.88"/>
    <col customWidth="1" min="7" max="7" width="17.13"/>
    <col customWidth="1" min="8" max="8" width="16.75"/>
    <col customWidth="1" min="9" max="9" width="19.25"/>
    <col customWidth="1" min="10" max="27" width="9.13"/>
  </cols>
  <sheetData>
    <row r="1" ht="12.0" customHeight="1">
      <c r="A1" s="1" t="s">
        <v>0</v>
      </c>
      <c r="B1" s="2"/>
      <c r="C1" s="3"/>
      <c r="D1" s="37"/>
      <c r="E1" s="38"/>
      <c r="F1" s="37"/>
      <c r="G1" s="39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0" customHeight="1">
      <c r="A2" s="1" t="s">
        <v>1</v>
      </c>
      <c r="B2" s="2"/>
      <c r="C2" s="3"/>
      <c r="D2" s="37"/>
      <c r="E2" s="38"/>
      <c r="F2" s="40"/>
      <c r="G2" s="4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0" customHeight="1">
      <c r="A3" s="1" t="s">
        <v>126</v>
      </c>
      <c r="B3" s="2"/>
      <c r="C3" s="1"/>
      <c r="D3" s="42"/>
      <c r="E3" s="43"/>
      <c r="F3" s="44"/>
      <c r="G3" s="3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0" customHeight="1">
      <c r="A4" s="1" t="s">
        <v>3</v>
      </c>
      <c r="B4" s="2"/>
      <c r="C4" s="1"/>
      <c r="D4" s="42"/>
      <c r="E4" s="43"/>
      <c r="F4" s="44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0" customHeight="1">
      <c r="A5" s="1"/>
      <c r="B5" s="2"/>
      <c r="C5" s="3"/>
      <c r="D5" s="37"/>
      <c r="E5" s="4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0" customHeight="1">
      <c r="A6" s="45" t="s">
        <v>6</v>
      </c>
      <c r="B6" s="46"/>
      <c r="C6" s="47" t="s">
        <v>7</v>
      </c>
      <c r="D6" s="48" t="s">
        <v>10</v>
      </c>
      <c r="E6" s="48" t="s">
        <v>16</v>
      </c>
      <c r="F6" s="48" t="s">
        <v>17</v>
      </c>
      <c r="G6" s="49" t="s">
        <v>15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0" customHeight="1">
      <c r="A9" s="18"/>
      <c r="B9" s="2">
        <v>1.0</v>
      </c>
      <c r="C9" s="3" t="s">
        <v>21</v>
      </c>
      <c r="D9" s="6">
        <f>Mar!F9</f>
        <v>5396834531</v>
      </c>
      <c r="E9" s="4">
        <f>Jan!I9+Feb!I9+Mar!I9</f>
        <v>53631480.52</v>
      </c>
      <c r="F9" s="4">
        <f>Jan!J9+Feb!J9+Mar!J9</f>
        <v>150226474.3</v>
      </c>
      <c r="G9" s="4">
        <f t="shared" ref="G9:G27" si="1">E9-F9</f>
        <v>-96594993.8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0" customHeight="1">
      <c r="A10" s="18"/>
      <c r="B10" s="2">
        <v>2.0</v>
      </c>
      <c r="C10" s="3" t="s">
        <v>127</v>
      </c>
      <c r="D10" s="6">
        <f>Mar!F10</f>
        <v>837031397</v>
      </c>
      <c r="E10" s="4">
        <f>Jan!I10+Feb!I10+Mar!I10</f>
        <v>145362532.5</v>
      </c>
      <c r="F10" s="4">
        <f>Jan!J10+Feb!J10+Mar!J10</f>
        <v>73969995.55</v>
      </c>
      <c r="G10" s="4">
        <f t="shared" si="1"/>
        <v>71392536.92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0" customHeight="1">
      <c r="A11" s="18"/>
      <c r="B11" s="2">
        <v>3.0</v>
      </c>
      <c r="C11" s="3" t="s">
        <v>128</v>
      </c>
      <c r="D11" s="6">
        <f>Mar!F11</f>
        <v>1177196657</v>
      </c>
      <c r="E11" s="4">
        <f>Jan!I11+Feb!I11+Mar!I11</f>
        <v>46548608.22</v>
      </c>
      <c r="F11" s="4">
        <f>Jan!J11+Feb!J11+Mar!J11</f>
        <v>33399078.02</v>
      </c>
      <c r="G11" s="4">
        <f t="shared" si="1"/>
        <v>13149530.2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0" customHeight="1">
      <c r="A12" s="18"/>
      <c r="B12" s="2">
        <v>4.0</v>
      </c>
      <c r="C12" s="3" t="s">
        <v>24</v>
      </c>
      <c r="D12" s="6">
        <f>Mar!F12</f>
        <v>351366543.4</v>
      </c>
      <c r="E12" s="4">
        <f>Jan!I12+Feb!I12+Mar!I12</f>
        <v>5066693.82</v>
      </c>
      <c r="F12" s="4">
        <f>Jan!J12+Feb!J12+Mar!J12</f>
        <v>6287503.34</v>
      </c>
      <c r="G12" s="4">
        <f t="shared" si="1"/>
        <v>-1220809.52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18"/>
      <c r="B13" s="2">
        <v>5.0</v>
      </c>
      <c r="C13" s="3" t="s">
        <v>25</v>
      </c>
      <c r="D13" s="6">
        <f>Mar!F13</f>
        <v>539811259.2</v>
      </c>
      <c r="E13" s="4">
        <f>Jan!I13+Feb!I13+Mar!I13</f>
        <v>17965486.72</v>
      </c>
      <c r="F13" s="4">
        <f>Jan!J13+Feb!J13+Mar!J13</f>
        <v>10094392.42</v>
      </c>
      <c r="G13" s="4">
        <f t="shared" si="1"/>
        <v>7871094.299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3"/>
      <c r="B14" s="2">
        <v>6.0</v>
      </c>
      <c r="C14" s="3" t="s">
        <v>26</v>
      </c>
      <c r="D14" s="6">
        <f>Mar!F14</f>
        <v>4439367518</v>
      </c>
      <c r="E14" s="4">
        <f>Jan!I14+Feb!I14+Mar!I14</f>
        <v>243834029.4</v>
      </c>
      <c r="F14" s="4">
        <f>Jan!J14+Feb!J14+Mar!J14</f>
        <v>248014790.3</v>
      </c>
      <c r="G14" s="4">
        <f t="shared" si="1"/>
        <v>-4180760.935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3"/>
      <c r="B15" s="2">
        <v>7.0</v>
      </c>
      <c r="C15" s="3" t="s">
        <v>129</v>
      </c>
      <c r="D15" s="6">
        <f>Mar!F15</f>
        <v>94864099.31</v>
      </c>
      <c r="E15" s="4">
        <f>Jan!I15+Feb!I15+Mar!I15</f>
        <v>5892190.166</v>
      </c>
      <c r="F15" s="4">
        <f>Jan!J15+Feb!J15+Mar!J15</f>
        <v>4137960.371</v>
      </c>
      <c r="G15" s="4">
        <f t="shared" si="1"/>
        <v>1754229.796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3"/>
      <c r="B16" s="2">
        <v>8.0</v>
      </c>
      <c r="C16" s="3" t="s">
        <v>28</v>
      </c>
      <c r="D16" s="6">
        <f>Mar!F16</f>
        <v>143717820.6</v>
      </c>
      <c r="E16" s="4">
        <f>Jan!I16+Feb!I16+Mar!I16</f>
        <v>1600000</v>
      </c>
      <c r="F16" s="4">
        <f>Jan!J16+Feb!J16+Mar!J16</f>
        <v>950000</v>
      </c>
      <c r="G16" s="4">
        <f t="shared" si="1"/>
        <v>650000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3"/>
      <c r="B17" s="2">
        <v>9.0</v>
      </c>
      <c r="C17" s="3" t="s">
        <v>29</v>
      </c>
      <c r="D17" s="6">
        <f>Mar!F17</f>
        <v>17620208196</v>
      </c>
      <c r="E17" s="4">
        <f>Jan!I17+Feb!I17+Mar!I17</f>
        <v>652558938.7</v>
      </c>
      <c r="F17" s="4">
        <f>Jan!J17+Feb!J17+Mar!J17</f>
        <v>52359317.92</v>
      </c>
      <c r="G17" s="4">
        <f t="shared" si="1"/>
        <v>600199620.8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2">
        <v>10.0</v>
      </c>
      <c r="C18" s="3" t="s">
        <v>30</v>
      </c>
      <c r="D18" s="6">
        <f>Mar!F18</f>
        <v>35833150750</v>
      </c>
      <c r="E18" s="4">
        <f>Jan!I18+Feb!I18+Mar!I18</f>
        <v>320081453.3</v>
      </c>
      <c r="F18" s="4">
        <f>Jan!J18+Feb!J18+Mar!J18</f>
        <v>374101171.3</v>
      </c>
      <c r="G18" s="4">
        <f t="shared" si="1"/>
        <v>-54019718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3"/>
      <c r="B19" s="2">
        <v>11.0</v>
      </c>
      <c r="C19" s="3" t="s">
        <v>31</v>
      </c>
      <c r="D19" s="6">
        <f>Mar!F19</f>
        <v>2422915983</v>
      </c>
      <c r="E19" s="4">
        <f>Jan!I19+Feb!I19+Mar!I19</f>
        <v>64921504.42</v>
      </c>
      <c r="F19" s="4">
        <f>Jan!J19+Feb!J19+Mar!J19</f>
        <v>206373091.8</v>
      </c>
      <c r="G19" s="4">
        <f t="shared" si="1"/>
        <v>-141451587.3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2">
        <v>12.0</v>
      </c>
      <c r="C20" s="3" t="s">
        <v>32</v>
      </c>
      <c r="D20" s="6">
        <f>Mar!F20</f>
        <v>10932000014</v>
      </c>
      <c r="E20" s="4">
        <f>Jan!I20+Feb!I20+Mar!I20</f>
        <v>100172938</v>
      </c>
      <c r="F20" s="4">
        <f>Jan!J20+Feb!J20+Mar!J20</f>
        <v>184975746.5</v>
      </c>
      <c r="G20" s="4">
        <f t="shared" si="1"/>
        <v>-84802808.52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2">
        <v>13.0</v>
      </c>
      <c r="C21" s="3" t="s">
        <v>33</v>
      </c>
      <c r="D21" s="6">
        <f>Mar!F21</f>
        <v>353340420.1</v>
      </c>
      <c r="E21" s="4">
        <f>Jan!I21+Feb!I21+Mar!I21</f>
        <v>3361943.31</v>
      </c>
      <c r="F21" s="4">
        <f>Jan!J21+Feb!J21+Mar!J21</f>
        <v>1432217.23</v>
      </c>
      <c r="G21" s="4">
        <f t="shared" si="1"/>
        <v>1929726.08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1"/>
      <c r="B22" s="2">
        <v>14.0</v>
      </c>
      <c r="C22" s="3" t="s">
        <v>34</v>
      </c>
      <c r="D22" s="6">
        <f>Mar!F22</f>
        <v>3992462676</v>
      </c>
      <c r="E22" s="4">
        <f>Jan!I22+Feb!I22+Mar!I22</f>
        <v>100098390.8</v>
      </c>
      <c r="F22" s="4">
        <f>Jan!J22+Feb!J22+Mar!J22</f>
        <v>111754890.9</v>
      </c>
      <c r="G22" s="4">
        <f t="shared" si="1"/>
        <v>-11656500.15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2">
        <v>15.0</v>
      </c>
      <c r="C23" s="3" t="s">
        <v>35</v>
      </c>
      <c r="D23" s="6">
        <f>Mar!F23</f>
        <v>10730795182</v>
      </c>
      <c r="E23" s="4">
        <f>Jan!I23+Feb!I23+Mar!I23</f>
        <v>19531059.06</v>
      </c>
      <c r="F23" s="4">
        <f>Jan!J23+Feb!J23+Mar!J23</f>
        <v>418718141.1</v>
      </c>
      <c r="G23" s="4">
        <f t="shared" si="1"/>
        <v>-399187082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2">
        <v>16.0</v>
      </c>
      <c r="C24" s="19" t="s">
        <v>36</v>
      </c>
      <c r="D24" s="6">
        <f>Mar!F24</f>
        <v>2613146904</v>
      </c>
      <c r="E24" s="4">
        <f>Jan!I24+Feb!I24+Mar!I24</f>
        <v>130312757.1</v>
      </c>
      <c r="F24" s="4">
        <f>Jan!J24+Feb!J24+Mar!J24</f>
        <v>7296038.03</v>
      </c>
      <c r="G24" s="4">
        <f t="shared" si="1"/>
        <v>123016719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20"/>
      <c r="B25" s="2">
        <v>17.0</v>
      </c>
      <c r="C25" s="21" t="s">
        <v>37</v>
      </c>
      <c r="D25" s="6">
        <f>Mar!F25</f>
        <v>7847400149</v>
      </c>
      <c r="E25" s="4">
        <f>Jan!I25+Feb!I25+Mar!I25</f>
        <v>237931426.7</v>
      </c>
      <c r="F25" s="4">
        <f>Jan!J25+Feb!J25+Mar!J25</f>
        <v>321559519.2</v>
      </c>
      <c r="G25" s="4">
        <f t="shared" si="1"/>
        <v>-83628092.44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20"/>
      <c r="B26" s="2">
        <v>18.0</v>
      </c>
      <c r="C26" s="21" t="s">
        <v>38</v>
      </c>
      <c r="D26" s="6">
        <f>Mar!F26</f>
        <v>12086372618</v>
      </c>
      <c r="E26" s="4">
        <f>Jan!I26+Feb!I26+Mar!I26</f>
        <v>925504946.1</v>
      </c>
      <c r="F26" s="4">
        <f>Jan!J26+Feb!J26+Mar!J26</f>
        <v>794122859.1</v>
      </c>
      <c r="G26" s="4">
        <f t="shared" si="1"/>
        <v>131382087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2">
        <v>19.0</v>
      </c>
      <c r="C27" s="3" t="s">
        <v>39</v>
      </c>
      <c r="D27" s="6">
        <f>Mar!F27</f>
        <v>653115149.9</v>
      </c>
      <c r="E27" s="4">
        <f>Jan!I27+Feb!I27+Mar!I27</f>
        <v>9734376.83</v>
      </c>
      <c r="F27" s="4">
        <f>Jan!J27+Feb!J27+Mar!J27</f>
        <v>3410430.04</v>
      </c>
      <c r="G27" s="4">
        <f t="shared" si="1"/>
        <v>6323946.79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18" t="s">
        <v>40</v>
      </c>
      <c r="B28" s="2"/>
      <c r="C28" s="3"/>
      <c r="D28" s="6"/>
      <c r="E28" s="4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3"/>
      <c r="B29" s="2">
        <v>20.0</v>
      </c>
      <c r="C29" s="3" t="s">
        <v>41</v>
      </c>
      <c r="D29" s="6">
        <f>Mar!F29</f>
        <v>383054470.3</v>
      </c>
      <c r="E29" s="4">
        <f>Jan!I29+Feb!I29+Mar!I29</f>
        <v>50493779.46</v>
      </c>
      <c r="F29" s="4">
        <f>Jan!J29+Feb!J29+Mar!J29</f>
        <v>9374771.7</v>
      </c>
      <c r="G29" s="4">
        <f t="shared" ref="G29:G30" si="2">E29-F29</f>
        <v>41119007.76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3"/>
      <c r="B30" s="2">
        <v>21.0</v>
      </c>
      <c r="C30" s="3" t="s">
        <v>35</v>
      </c>
      <c r="D30" s="6">
        <f>Mar!F30</f>
        <v>260181591.1</v>
      </c>
      <c r="E30" s="4">
        <f>Jan!I30+Feb!I30+Mar!I30</f>
        <v>291957674.2</v>
      </c>
      <c r="F30" s="4">
        <f>Jan!J30+Feb!J30+Mar!J30</f>
        <v>27216162.23</v>
      </c>
      <c r="G30" s="4">
        <f t="shared" si="2"/>
        <v>264741511.9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18" t="s">
        <v>42</v>
      </c>
      <c r="B31" s="2"/>
      <c r="C31" s="3"/>
      <c r="D31" s="6"/>
      <c r="E31" s="4"/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1.25" customHeight="1">
      <c r="A32" s="3"/>
      <c r="B32" s="2">
        <v>22.0</v>
      </c>
      <c r="C32" s="3" t="s">
        <v>43</v>
      </c>
      <c r="D32" s="6">
        <f>Mar!F32</f>
        <v>2261786813</v>
      </c>
      <c r="E32" s="4">
        <f>Jan!I32+Feb!I32+Mar!I32</f>
        <v>37281386</v>
      </c>
      <c r="F32" s="4">
        <f>Jan!J32+Feb!J32+Mar!J32</f>
        <v>4442925</v>
      </c>
      <c r="G32" s="4">
        <f>E32-F32</f>
        <v>32838461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1.25" customHeight="1">
      <c r="A33" s="22" t="s">
        <v>44</v>
      </c>
      <c r="B33" s="23"/>
      <c r="C33" s="1"/>
      <c r="D33" s="24">
        <f t="shared" ref="D33:G33" si="3">SUM(D9:D32)</f>
        <v>120970120741</v>
      </c>
      <c r="E33" s="24">
        <f t="shared" si="3"/>
        <v>3463843595</v>
      </c>
      <c r="F33" s="24">
        <f t="shared" si="3"/>
        <v>3044217476</v>
      </c>
      <c r="G33" s="24">
        <f t="shared" si="3"/>
        <v>419626118.9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2.0" customHeight="1">
      <c r="A34" s="18" t="s">
        <v>45</v>
      </c>
      <c r="B34" s="2"/>
      <c r="C34" s="3"/>
      <c r="D34" s="6"/>
      <c r="E34" s="4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2.0" customHeight="1">
      <c r="A35" s="3"/>
      <c r="B35" s="2">
        <v>23.0</v>
      </c>
      <c r="C35" s="3" t="s">
        <v>130</v>
      </c>
      <c r="D35" s="6">
        <f>Mar!F35</f>
        <v>40602525.73</v>
      </c>
      <c r="E35" s="4">
        <f>Jan!I35+Feb!I35+Mar!I35</f>
        <v>332455.28</v>
      </c>
      <c r="F35" s="4">
        <f>Jan!J35+Feb!J35+Mar!J35</f>
        <v>5528236.92</v>
      </c>
      <c r="G35" s="4">
        <f t="shared" ref="G35:G36" si="4">E35-F35</f>
        <v>-5195781.64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0" customHeight="1">
      <c r="A36" s="3"/>
      <c r="B36" s="2">
        <v>24.0</v>
      </c>
      <c r="C36" s="3" t="s">
        <v>47</v>
      </c>
      <c r="D36" s="6">
        <f>Mar!F36</f>
        <v>2109860210</v>
      </c>
      <c r="E36" s="4">
        <f>Jan!I36+Feb!I36+Mar!I36</f>
        <v>215359907.4</v>
      </c>
      <c r="F36" s="4">
        <f>Jan!J36+Feb!J36+Mar!J36</f>
        <v>173276784.6</v>
      </c>
      <c r="G36" s="4">
        <f t="shared" si="4"/>
        <v>42083122.81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22" t="s">
        <v>48</v>
      </c>
      <c r="B37" s="23"/>
      <c r="C37" s="1"/>
      <c r="D37" s="24">
        <f t="shared" ref="D37:G37" si="5">SUM(D35:D36)</f>
        <v>2150462736</v>
      </c>
      <c r="E37" s="24">
        <f t="shared" si="5"/>
        <v>215692362.7</v>
      </c>
      <c r="F37" s="24">
        <f t="shared" si="5"/>
        <v>178805021.5</v>
      </c>
      <c r="G37" s="24">
        <f t="shared" si="5"/>
        <v>36887341.17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2.0" customHeight="1">
      <c r="A38" s="1" t="s">
        <v>49</v>
      </c>
      <c r="B38" s="23"/>
      <c r="C38" s="1"/>
      <c r="D38" s="24">
        <f t="shared" ref="D38:G38" si="6">D33+D37</f>
        <v>123120583477</v>
      </c>
      <c r="E38" s="24">
        <f t="shared" si="6"/>
        <v>3679535958</v>
      </c>
      <c r="F38" s="24">
        <f t="shared" si="6"/>
        <v>3223022498</v>
      </c>
      <c r="G38" s="24">
        <f t="shared" si="6"/>
        <v>456513460.1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0" customHeight="1">
      <c r="A39" s="1" t="s">
        <v>50</v>
      </c>
      <c r="B39" s="2"/>
      <c r="C39" s="3"/>
      <c r="D39" s="6"/>
      <c r="E39" s="4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2.0" customHeight="1">
      <c r="A40" s="18" t="s">
        <v>20</v>
      </c>
      <c r="B40" s="2"/>
      <c r="C40" s="3"/>
      <c r="D40" s="6"/>
      <c r="E40" s="4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0" customHeight="1">
      <c r="A41" s="18"/>
      <c r="B41" s="2">
        <v>25.0</v>
      </c>
      <c r="C41" s="3" t="s">
        <v>131</v>
      </c>
      <c r="D41" s="6">
        <f>Mar!F41</f>
        <v>125579450.4</v>
      </c>
      <c r="E41" s="4">
        <f>Jan!I41+Feb!I41+Mar!I41</f>
        <v>5572098.24</v>
      </c>
      <c r="F41" s="4">
        <f>Jan!J41+Feb!J41+Mar!J41</f>
        <v>2501163.6</v>
      </c>
      <c r="G41" s="4">
        <f t="shared" ref="G41:G50" si="7">E41-F41</f>
        <v>3070934.64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3"/>
      <c r="B42" s="2">
        <v>26.0</v>
      </c>
      <c r="C42" s="3" t="s">
        <v>132</v>
      </c>
      <c r="D42" s="6">
        <f>Mar!F42</f>
        <v>665328504.8</v>
      </c>
      <c r="E42" s="4">
        <f>Jan!I42+Feb!I42+Mar!I42</f>
        <v>6042769.1</v>
      </c>
      <c r="F42" s="4">
        <f>Jan!J42+Feb!J42+Mar!J42</f>
        <v>25510352.11</v>
      </c>
      <c r="G42" s="4">
        <f t="shared" si="7"/>
        <v>-19467583.01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/>
      <c r="B43" s="2">
        <v>27.0</v>
      </c>
      <c r="C43" s="3" t="s">
        <v>53</v>
      </c>
      <c r="D43" s="6">
        <f>Mar!F43</f>
        <v>1198763973</v>
      </c>
      <c r="E43" s="4">
        <f>Jan!I43+Feb!I43+Mar!I43</f>
        <v>10267115.07</v>
      </c>
      <c r="F43" s="4">
        <f>Jan!J43+Feb!J43+Mar!J43</f>
        <v>123392105</v>
      </c>
      <c r="G43" s="4">
        <f t="shared" si="7"/>
        <v>-113124989.9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2">
        <v>28.0</v>
      </c>
      <c r="C44" s="3" t="s">
        <v>54</v>
      </c>
      <c r="D44" s="6">
        <f>Mar!F44</f>
        <v>245574981.3</v>
      </c>
      <c r="E44" s="4">
        <f>Jan!I44+Feb!I44+Mar!I44</f>
        <v>230104763.1</v>
      </c>
      <c r="F44" s="4">
        <f>Jan!J44+Feb!J44+Mar!J44</f>
        <v>11381640.52</v>
      </c>
      <c r="G44" s="4">
        <f t="shared" si="7"/>
        <v>218723122.6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2">
        <v>29.0</v>
      </c>
      <c r="C45" s="3" t="s">
        <v>55</v>
      </c>
      <c r="D45" s="6">
        <f>Mar!F45</f>
        <v>356879714.5</v>
      </c>
      <c r="E45" s="4">
        <f>Jan!I45+Feb!I45+Mar!I45</f>
        <v>0</v>
      </c>
      <c r="F45" s="4">
        <f>Jan!J45+Feb!J45+Mar!J45</f>
        <v>1017100</v>
      </c>
      <c r="G45" s="4">
        <f t="shared" si="7"/>
        <v>-1017100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2">
        <v>30.0</v>
      </c>
      <c r="C46" s="3" t="s">
        <v>56</v>
      </c>
      <c r="D46" s="6">
        <f>Mar!F46</f>
        <v>623324777.3</v>
      </c>
      <c r="E46" s="4">
        <f>Jan!I46+Feb!I46+Mar!I46</f>
        <v>1471333.06</v>
      </c>
      <c r="F46" s="4">
        <f>Jan!J46+Feb!J46+Mar!J46</f>
        <v>22281227.36</v>
      </c>
      <c r="G46" s="4">
        <f t="shared" si="7"/>
        <v>-20809894.3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2">
        <v>31.0</v>
      </c>
      <c r="C47" s="3" t="s">
        <v>57</v>
      </c>
      <c r="D47" s="6">
        <f>Mar!F47</f>
        <v>11255547324</v>
      </c>
      <c r="E47" s="4">
        <f>Jan!I47+Feb!I47+Mar!I47</f>
        <v>98735442.32</v>
      </c>
      <c r="F47" s="4">
        <f>Jan!J47+Feb!J47+Mar!J47</f>
        <v>53922592.31</v>
      </c>
      <c r="G47" s="4">
        <f t="shared" si="7"/>
        <v>44812850.01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1.25" customHeight="1">
      <c r="A48" s="18"/>
      <c r="B48" s="2">
        <v>32.0</v>
      </c>
      <c r="C48" s="3" t="s">
        <v>133</v>
      </c>
      <c r="D48" s="6">
        <f>Mar!F48</f>
        <v>147469153.5</v>
      </c>
      <c r="E48" s="4">
        <f>Jan!I48+Feb!I48+Mar!I48</f>
        <v>309976.43</v>
      </c>
      <c r="F48" s="4">
        <f>Jan!J48+Feb!J48+Mar!J48</f>
        <v>3215519.97</v>
      </c>
      <c r="G48" s="4">
        <f t="shared" si="7"/>
        <v>-2905543.54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0" customHeight="1">
      <c r="A49" s="3"/>
      <c r="B49" s="2">
        <v>33.0</v>
      </c>
      <c r="C49" s="3" t="s">
        <v>59</v>
      </c>
      <c r="D49" s="6">
        <f>Mar!F49</f>
        <v>8103405693</v>
      </c>
      <c r="E49" s="4">
        <f>Jan!I49+Feb!I49+Mar!I49</f>
        <v>53340562.76</v>
      </c>
      <c r="F49" s="4">
        <f>Jan!J49+Feb!J49+Mar!J49</f>
        <v>171769300.7</v>
      </c>
      <c r="G49" s="4">
        <f t="shared" si="7"/>
        <v>-118428737.9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0" customHeight="1">
      <c r="A50" s="3"/>
      <c r="B50" s="2">
        <v>34.0</v>
      </c>
      <c r="C50" s="3" t="s">
        <v>60</v>
      </c>
      <c r="D50" s="6">
        <f>Mar!F50</f>
        <v>1284312307</v>
      </c>
      <c r="E50" s="4">
        <f>Jan!I50+Feb!I50+Mar!I50</f>
        <v>0</v>
      </c>
      <c r="F50" s="4">
        <f>Jan!J50+Feb!J50+Mar!J50</f>
        <v>38631328.31</v>
      </c>
      <c r="G50" s="4">
        <f t="shared" si="7"/>
        <v>-38631328.31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18" t="s">
        <v>40</v>
      </c>
      <c r="B51" s="2"/>
      <c r="C51" s="3"/>
      <c r="D51" s="6"/>
      <c r="E51" s="4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3"/>
      <c r="B52" s="2">
        <v>35.0</v>
      </c>
      <c r="C52" s="3" t="s">
        <v>61</v>
      </c>
      <c r="D52" s="6">
        <f>Mar!F52</f>
        <v>73333621.17</v>
      </c>
      <c r="E52" s="4">
        <f>Jan!I52+Feb!I52+Mar!I52</f>
        <v>2817367.87</v>
      </c>
      <c r="F52" s="4">
        <f>Jan!J52+Feb!J52+Mar!J52</f>
        <v>551839.17</v>
      </c>
      <c r="G52" s="4">
        <f t="shared" ref="G52:G54" si="8">E52-F52</f>
        <v>2265528.7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3"/>
      <c r="B53" s="2">
        <v>36.0</v>
      </c>
      <c r="C53" s="3" t="s">
        <v>62</v>
      </c>
      <c r="D53" s="6">
        <f>Mar!F53</f>
        <v>58615864.52</v>
      </c>
      <c r="E53" s="4">
        <f>Jan!I53+Feb!I53+Mar!I53</f>
        <v>3491491.12</v>
      </c>
      <c r="F53" s="4">
        <f>Jan!J53+Feb!J53+Mar!J53</f>
        <v>214571.93</v>
      </c>
      <c r="G53" s="4">
        <f t="shared" si="8"/>
        <v>3276919.19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2">
        <v>37.0</v>
      </c>
      <c r="C54" s="3" t="s">
        <v>63</v>
      </c>
      <c r="D54" s="6">
        <f>Mar!F54</f>
        <v>50443756.16</v>
      </c>
      <c r="E54" s="4">
        <f>Jan!I54+Feb!I54+Mar!I54</f>
        <v>1251685.37</v>
      </c>
      <c r="F54" s="4">
        <f>Jan!J54+Feb!J54+Mar!J54</f>
        <v>97041.44</v>
      </c>
      <c r="G54" s="4">
        <f t="shared" si="8"/>
        <v>1154643.93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22" t="s">
        <v>44</v>
      </c>
      <c r="B55" s="22"/>
      <c r="C55" s="1"/>
      <c r="D55" s="24">
        <f t="shared" ref="D55:G55" si="9">SUM(D41:D54)</f>
        <v>24188579121</v>
      </c>
      <c r="E55" s="24">
        <f t="shared" si="9"/>
        <v>413404604.4</v>
      </c>
      <c r="F55" s="24">
        <f t="shared" si="9"/>
        <v>454485782.4</v>
      </c>
      <c r="G55" s="24">
        <f t="shared" si="9"/>
        <v>-41081177.93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0" customHeight="1">
      <c r="A56" s="18" t="s">
        <v>45</v>
      </c>
      <c r="B56" s="2"/>
      <c r="C56" s="3"/>
      <c r="D56" s="6"/>
      <c r="E56" s="4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0" customHeight="1">
      <c r="A57" s="18"/>
      <c r="B57" s="2">
        <v>38.0</v>
      </c>
      <c r="C57" s="3" t="s">
        <v>64</v>
      </c>
      <c r="D57" s="6">
        <f>Mar!F57</f>
        <v>76252240.47</v>
      </c>
      <c r="E57" s="4">
        <f>Jan!I57+Feb!I57+Mar!I57</f>
        <v>5201914.981</v>
      </c>
      <c r="F57" s="4">
        <f>Jan!J57+Feb!J57+Mar!J57</f>
        <v>533148.937</v>
      </c>
      <c r="G57" s="4">
        <f t="shared" ref="G57:G60" si="10">E57-F57</f>
        <v>4668766.044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0" customHeight="1">
      <c r="A58" s="18"/>
      <c r="B58" s="2">
        <v>39.0</v>
      </c>
      <c r="C58" s="3" t="s">
        <v>65</v>
      </c>
      <c r="D58" s="6">
        <f>Mar!F58</f>
        <v>356641861.6</v>
      </c>
      <c r="E58" s="4">
        <f>Jan!I58+Feb!I58+Mar!I58</f>
        <v>542556.0126</v>
      </c>
      <c r="F58" s="4">
        <f>Jan!J58+Feb!J58+Mar!J58</f>
        <v>8003793.139</v>
      </c>
      <c r="G58" s="4">
        <f t="shared" si="10"/>
        <v>-7461237.126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3"/>
      <c r="B59" s="2">
        <v>40.0</v>
      </c>
      <c r="C59" s="3" t="s">
        <v>66</v>
      </c>
      <c r="D59" s="6">
        <f>Mar!F59</f>
        <v>1769956750</v>
      </c>
      <c r="E59" s="4">
        <f>Jan!I59+Feb!I59+Mar!I59</f>
        <v>52907677.98</v>
      </c>
      <c r="F59" s="4">
        <f>Jan!J59+Feb!J59+Mar!J59</f>
        <v>96762535.7</v>
      </c>
      <c r="G59" s="4">
        <f t="shared" si="10"/>
        <v>-43854857.72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3"/>
      <c r="B60" s="2">
        <v>41.0</v>
      </c>
      <c r="C60" s="3" t="s">
        <v>67</v>
      </c>
      <c r="D60" s="6">
        <f>Mar!F60</f>
        <v>341555836.9</v>
      </c>
      <c r="E60" s="4">
        <f>Jan!I60+Feb!I60+Mar!I60</f>
        <v>1784429.051</v>
      </c>
      <c r="F60" s="4">
        <f>Jan!J60+Feb!J60+Mar!J60</f>
        <v>8538692.805</v>
      </c>
      <c r="G60" s="4">
        <f t="shared" si="10"/>
        <v>-6754263.754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22" t="s">
        <v>48</v>
      </c>
      <c r="B61" s="23"/>
      <c r="C61" s="1"/>
      <c r="D61" s="24">
        <f t="shared" ref="D61:G61" si="11">SUM(D57:D60)</f>
        <v>2544406689</v>
      </c>
      <c r="E61" s="24">
        <f t="shared" si="11"/>
        <v>60436578.02</v>
      </c>
      <c r="F61" s="24">
        <f t="shared" si="11"/>
        <v>113838170.6</v>
      </c>
      <c r="G61" s="24">
        <f t="shared" si="11"/>
        <v>-53401592.56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0" customHeight="1">
      <c r="A62" s="1" t="s">
        <v>68</v>
      </c>
      <c r="B62" s="23"/>
      <c r="C62" s="1"/>
      <c r="D62" s="24">
        <f t="shared" ref="D62:G62" si="12">D55+D61</f>
        <v>26732985810</v>
      </c>
      <c r="E62" s="24">
        <f t="shared" si="12"/>
        <v>473841182.5</v>
      </c>
      <c r="F62" s="24">
        <f t="shared" si="12"/>
        <v>568323953</v>
      </c>
      <c r="G62" s="24">
        <f t="shared" si="12"/>
        <v>-94482770.49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0" customHeight="1">
      <c r="A63" s="1" t="s">
        <v>69</v>
      </c>
      <c r="B63" s="2"/>
      <c r="C63" s="3"/>
      <c r="D63" s="6"/>
      <c r="E63" s="4"/>
      <c r="F63" s="4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2.0" customHeight="1">
      <c r="A64" s="18" t="s">
        <v>20</v>
      </c>
      <c r="B64" s="2"/>
      <c r="C64" s="3"/>
      <c r="D64" s="6"/>
      <c r="E64" s="4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2.0" customHeight="1">
      <c r="A65" s="3"/>
      <c r="B65" s="2">
        <v>42.0</v>
      </c>
      <c r="C65" s="3" t="s">
        <v>70</v>
      </c>
      <c r="D65" s="6">
        <f>Mar!F65</f>
        <v>42945848338</v>
      </c>
      <c r="E65" s="4">
        <f>Jan!I65+Feb!I65+Mar!I65</f>
        <v>902376876</v>
      </c>
      <c r="F65" s="4">
        <f>Jan!J65+Feb!J65+Mar!J65</f>
        <v>1995878119</v>
      </c>
      <c r="G65" s="4">
        <f t="shared" ref="G65:G75" si="13">E65-F65</f>
        <v>-1093501243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3"/>
      <c r="B66" s="2">
        <v>43.0</v>
      </c>
      <c r="C66" s="3" t="s">
        <v>134</v>
      </c>
      <c r="D66" s="6">
        <f>Mar!F66</f>
        <v>301096504.3</v>
      </c>
      <c r="E66" s="4">
        <f>Jan!I66+Feb!I66+Mar!I66</f>
        <v>16396945.8</v>
      </c>
      <c r="F66" s="4">
        <f>Jan!J66+Feb!J66+Mar!J66</f>
        <v>8485551.53</v>
      </c>
      <c r="G66" s="4">
        <f t="shared" si="13"/>
        <v>7911394.27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2">
        <v>44.0</v>
      </c>
      <c r="C67" s="3" t="s">
        <v>72</v>
      </c>
      <c r="D67" s="6">
        <f>Mar!F67</f>
        <v>1301945837</v>
      </c>
      <c r="E67" s="4">
        <f>Jan!I67+Feb!I67+Mar!I67</f>
        <v>118576871.3</v>
      </c>
      <c r="F67" s="4">
        <f>Jan!J67+Feb!J67+Mar!J67</f>
        <v>40703225.47</v>
      </c>
      <c r="G67" s="4">
        <f t="shared" si="13"/>
        <v>77873645.85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1"/>
      <c r="B68" s="2">
        <v>45.0</v>
      </c>
      <c r="C68" s="3" t="s">
        <v>73</v>
      </c>
      <c r="D68" s="6">
        <f>Mar!F68</f>
        <v>200751885.8</v>
      </c>
      <c r="E68" s="4">
        <f>Jan!I68+Feb!I68+Mar!I68</f>
        <v>1424444.06</v>
      </c>
      <c r="F68" s="4">
        <f>Jan!J68+Feb!J68+Mar!J68</f>
        <v>1118217.03</v>
      </c>
      <c r="G68" s="4">
        <f t="shared" si="13"/>
        <v>306227.03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3"/>
      <c r="B69" s="2">
        <v>46.0</v>
      </c>
      <c r="C69" s="3" t="s">
        <v>74</v>
      </c>
      <c r="D69" s="6">
        <f>Mar!F69</f>
        <v>1483927985</v>
      </c>
      <c r="E69" s="4">
        <f>Jan!I69+Feb!I69+Mar!I69</f>
        <v>19307744.72</v>
      </c>
      <c r="F69" s="4">
        <f>Jan!J69+Feb!J69+Mar!J69</f>
        <v>59237453.67</v>
      </c>
      <c r="G69" s="4">
        <f t="shared" si="13"/>
        <v>-39929708.95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3"/>
      <c r="B70" s="2">
        <v>47.0</v>
      </c>
      <c r="C70" s="3" t="s">
        <v>75</v>
      </c>
      <c r="D70" s="6">
        <f>Mar!F70</f>
        <v>938365161.3</v>
      </c>
      <c r="E70" s="4">
        <f>Jan!I70+Feb!I70+Mar!I70</f>
        <v>6992581.91</v>
      </c>
      <c r="F70" s="4">
        <f>Jan!J70+Feb!J70+Mar!J70</f>
        <v>56746351.9</v>
      </c>
      <c r="G70" s="4">
        <f t="shared" si="13"/>
        <v>-49753769.99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2">
        <v>48.0</v>
      </c>
      <c r="C71" s="3" t="s">
        <v>76</v>
      </c>
      <c r="D71" s="6">
        <f>Mar!F71</f>
        <v>6541630964</v>
      </c>
      <c r="E71" s="4">
        <f>Jan!I71+Feb!I71+Mar!I71</f>
        <v>117673463.6</v>
      </c>
      <c r="F71" s="4">
        <f>Jan!J71+Feb!J71+Mar!J71</f>
        <v>204955932.1</v>
      </c>
      <c r="G71" s="4">
        <f t="shared" si="13"/>
        <v>-87282468.53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2">
        <v>49.0</v>
      </c>
      <c r="C72" s="3" t="s">
        <v>77</v>
      </c>
      <c r="D72" s="6">
        <f>Mar!F72</f>
        <v>316204812.7</v>
      </c>
      <c r="E72" s="4">
        <f>Jan!I72+Feb!I72+Mar!I72</f>
        <v>14934373.53</v>
      </c>
      <c r="F72" s="4">
        <f>Jan!J72+Feb!J72+Mar!J72</f>
        <v>7932704.24</v>
      </c>
      <c r="G72" s="4">
        <f t="shared" si="13"/>
        <v>7001669.29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2">
        <v>50.0</v>
      </c>
      <c r="C73" s="3" t="s">
        <v>78</v>
      </c>
      <c r="D73" s="6">
        <f>Mar!F73</f>
        <v>907639092.8</v>
      </c>
      <c r="E73" s="4">
        <f>Jan!I73+Feb!I73+Mar!I73</f>
        <v>6825314.17</v>
      </c>
      <c r="F73" s="4">
        <f>Jan!J73+Feb!J73+Mar!J73</f>
        <v>1947674.22</v>
      </c>
      <c r="G73" s="4">
        <f t="shared" si="13"/>
        <v>4877639.95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2">
        <v>51.0</v>
      </c>
      <c r="C74" s="3" t="s">
        <v>79</v>
      </c>
      <c r="D74" s="6">
        <f>Mar!F74</f>
        <v>4595106282</v>
      </c>
      <c r="E74" s="4">
        <f>Jan!I74+Feb!I74+Mar!I74</f>
        <v>131798865.5</v>
      </c>
      <c r="F74" s="4">
        <f>Jan!J74+Feb!J74+Mar!J74</f>
        <v>191485221.1</v>
      </c>
      <c r="G74" s="4">
        <f t="shared" si="13"/>
        <v>-59686355.59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2">
        <v>52.0</v>
      </c>
      <c r="C75" s="3" t="s">
        <v>80</v>
      </c>
      <c r="D75" s="6">
        <f>Mar!F75</f>
        <v>154581623.6</v>
      </c>
      <c r="E75" s="4">
        <f>Jan!I75+Feb!I75+Mar!I75</f>
        <v>3075127.15</v>
      </c>
      <c r="F75" s="4">
        <f>Jan!J75+Feb!J75+Mar!J75</f>
        <v>8893579.85</v>
      </c>
      <c r="G75" s="4">
        <f t="shared" si="13"/>
        <v>-5818452.7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22" t="s">
        <v>44</v>
      </c>
      <c r="B76" s="1"/>
      <c r="C76" s="1"/>
      <c r="D76" s="24">
        <f t="shared" ref="D76:G76" si="14">SUM(D65:D75)</f>
        <v>59687098488</v>
      </c>
      <c r="E76" s="24">
        <f t="shared" si="14"/>
        <v>1339382608</v>
      </c>
      <c r="F76" s="24">
        <f t="shared" si="14"/>
        <v>2577384030</v>
      </c>
      <c r="G76" s="24">
        <f t="shared" si="14"/>
        <v>-1238001422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18" t="s">
        <v>45</v>
      </c>
      <c r="B77" s="2"/>
      <c r="C77" s="3"/>
      <c r="D77" s="6"/>
      <c r="E77" s="4"/>
      <c r="F77" s="4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3"/>
      <c r="B78" s="2">
        <v>53.0</v>
      </c>
      <c r="C78" s="3" t="s">
        <v>81</v>
      </c>
      <c r="D78" s="6">
        <f>Mar!F78</f>
        <v>14635028312</v>
      </c>
      <c r="E78" s="4">
        <f>Jan!I78+Feb!I78+Mar!I78</f>
        <v>350836198.1</v>
      </c>
      <c r="F78" s="4">
        <f>Jan!J78+Feb!J78+Mar!J78</f>
        <v>3339674638</v>
      </c>
      <c r="G78" s="4">
        <f t="shared" ref="G78:G84" si="15">E78-F78</f>
        <v>-2988838440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2">
        <v>54.0</v>
      </c>
      <c r="C79" s="3" t="s">
        <v>135</v>
      </c>
      <c r="D79" s="6">
        <f>Mar!F79</f>
        <v>611872980.8</v>
      </c>
      <c r="E79" s="4">
        <f>Jan!I79+Feb!I79+Mar!I79</f>
        <v>9084095.94</v>
      </c>
      <c r="F79" s="4">
        <f>Jan!J79+Feb!J79+Mar!J79</f>
        <v>158346938.5</v>
      </c>
      <c r="G79" s="4">
        <f t="shared" si="15"/>
        <v>-149262842.6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3"/>
      <c r="B80" s="2">
        <v>55.0</v>
      </c>
      <c r="C80" s="3" t="s">
        <v>83</v>
      </c>
      <c r="D80" s="6">
        <f>Mar!F80</f>
        <v>719867529.6</v>
      </c>
      <c r="E80" s="4">
        <f>Jan!I80+Feb!I80+Mar!I80</f>
        <v>1051829.088</v>
      </c>
      <c r="F80" s="4">
        <f>Jan!J80+Feb!J80+Mar!J80</f>
        <v>5566443.63</v>
      </c>
      <c r="G80" s="4">
        <f t="shared" si="15"/>
        <v>-4514614.542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1.25" customHeight="1">
      <c r="A81" s="18"/>
      <c r="B81" s="2">
        <v>56.0</v>
      </c>
      <c r="C81" s="3" t="s">
        <v>84</v>
      </c>
      <c r="D81" s="6">
        <f>Mar!F81</f>
        <v>52333680.8</v>
      </c>
      <c r="E81" s="4">
        <f>Jan!I81+Feb!I81+Mar!I81</f>
        <v>0</v>
      </c>
      <c r="F81" s="4">
        <f>Jan!J81+Feb!J81+Mar!J81</f>
        <v>361268.4153</v>
      </c>
      <c r="G81" s="4">
        <f t="shared" si="15"/>
        <v>-361268.4153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0" customHeight="1">
      <c r="A82" s="3"/>
      <c r="B82" s="2">
        <v>57.0</v>
      </c>
      <c r="C82" s="3" t="s">
        <v>85</v>
      </c>
      <c r="D82" s="6">
        <f>Mar!F82</f>
        <v>2270222921</v>
      </c>
      <c r="E82" s="4">
        <f>Jan!I82+Feb!I82+Mar!I82</f>
        <v>267933718.1</v>
      </c>
      <c r="F82" s="4">
        <f>Jan!J82+Feb!J82+Mar!J82</f>
        <v>25462111.06</v>
      </c>
      <c r="G82" s="4">
        <f t="shared" si="15"/>
        <v>242471607.1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2">
        <v>58.0</v>
      </c>
      <c r="C83" s="3" t="s">
        <v>86</v>
      </c>
      <c r="D83" s="6">
        <f>Mar!F83</f>
        <v>222934698.1</v>
      </c>
      <c r="E83" s="4">
        <f>Jan!I83+Feb!I83+Mar!I83</f>
        <v>1019395</v>
      </c>
      <c r="F83" s="4">
        <f>Jan!J83+Feb!J83+Mar!J83</f>
        <v>1567930.904</v>
      </c>
      <c r="G83" s="4">
        <f t="shared" si="15"/>
        <v>-548535.9037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2">
        <v>59.0</v>
      </c>
      <c r="C84" s="3" t="s">
        <v>87</v>
      </c>
      <c r="D84" s="6">
        <f>Mar!F84</f>
        <v>491777731.6</v>
      </c>
      <c r="E84" s="4">
        <f>Jan!I84+Feb!I84+Mar!I84</f>
        <v>18596104.51</v>
      </c>
      <c r="F84" s="4">
        <f>Jan!J84+Feb!J84+Mar!J84</f>
        <v>31652060.13</v>
      </c>
      <c r="G84" s="4">
        <f t="shared" si="15"/>
        <v>-13055955.62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0" customHeight="1">
      <c r="A85" s="22" t="s">
        <v>88</v>
      </c>
      <c r="B85" s="23"/>
      <c r="C85" s="29"/>
      <c r="D85" s="24">
        <f t="shared" ref="D85:G85" si="16">SUM(D78:D84)</f>
        <v>19004037854</v>
      </c>
      <c r="E85" s="24">
        <f t="shared" si="16"/>
        <v>648521340.8</v>
      </c>
      <c r="F85" s="24">
        <f t="shared" si="16"/>
        <v>3562631391</v>
      </c>
      <c r="G85" s="24">
        <f t="shared" si="16"/>
        <v>-2914110050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3"/>
      <c r="B86" s="2">
        <v>60.0</v>
      </c>
      <c r="C86" s="3" t="s">
        <v>89</v>
      </c>
      <c r="D86" s="6">
        <f>Mar!F86</f>
        <v>954012786.4</v>
      </c>
      <c r="E86" s="4">
        <f>Jan!I86+Feb!I86+Mar!I86</f>
        <v>5205657.728</v>
      </c>
      <c r="F86" s="4">
        <f>Jan!J86+Feb!J86+Mar!J86</f>
        <v>21849621.58</v>
      </c>
      <c r="G86" s="4">
        <f>E86-F86</f>
        <v>-16643963.86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22" t="s">
        <v>90</v>
      </c>
      <c r="B87" s="29"/>
      <c r="C87" s="1"/>
      <c r="D87" s="24">
        <f t="shared" ref="D87:G87" si="17">SUM(D86)</f>
        <v>954012786.4</v>
      </c>
      <c r="E87" s="24">
        <f t="shared" si="17"/>
        <v>5205657.728</v>
      </c>
      <c r="F87" s="24">
        <f t="shared" si="17"/>
        <v>21849621.58</v>
      </c>
      <c r="G87" s="24">
        <f t="shared" si="17"/>
        <v>-16643963.86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1" t="s">
        <v>91</v>
      </c>
      <c r="B88" s="23"/>
      <c r="C88" s="29"/>
      <c r="D88" s="24">
        <f t="shared" ref="D88:G88" si="18">D76+D85+D87</f>
        <v>79645149128</v>
      </c>
      <c r="E88" s="24">
        <f t="shared" si="18"/>
        <v>1993109606</v>
      </c>
      <c r="F88" s="24">
        <f t="shared" si="18"/>
        <v>6161865043</v>
      </c>
      <c r="G88" s="24">
        <f t="shared" si="18"/>
        <v>-4168755436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1" t="s">
        <v>92</v>
      </c>
      <c r="B89" s="2"/>
      <c r="C89" s="30"/>
      <c r="D89" s="6"/>
      <c r="E89" s="4"/>
      <c r="F89" s="4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18" t="s">
        <v>20</v>
      </c>
      <c r="B90" s="2"/>
      <c r="C90" s="30"/>
      <c r="D90" s="6"/>
      <c r="E90" s="4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18"/>
      <c r="B91" s="2">
        <v>61.0</v>
      </c>
      <c r="C91" s="3" t="s">
        <v>93</v>
      </c>
      <c r="D91" s="6">
        <f>Mar!F91</f>
        <v>59708855915</v>
      </c>
      <c r="E91" s="4">
        <f>Jan!I91+Feb!I91+Mar!I91</f>
        <v>10638414869</v>
      </c>
      <c r="F91" s="4">
        <f>Jan!J91+Feb!J91+Mar!J91</f>
        <v>9135270097</v>
      </c>
      <c r="G91" s="4">
        <f t="shared" ref="G91:G93" si="19">E91-F91</f>
        <v>1503144772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18"/>
      <c r="B92" s="2">
        <v>62.0</v>
      </c>
      <c r="C92" s="3" t="s">
        <v>94</v>
      </c>
      <c r="D92" s="6">
        <f>Mar!F92</f>
        <v>3077541180</v>
      </c>
      <c r="E92" s="4">
        <f>Jan!I92+Feb!I92+Mar!I92</f>
        <v>845748145.4</v>
      </c>
      <c r="F92" s="4">
        <f>Jan!J92+Feb!J92+Mar!J92</f>
        <v>546388451.2</v>
      </c>
      <c r="G92" s="4">
        <f t="shared" si="19"/>
        <v>299359694.2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1"/>
      <c r="B93" s="2">
        <v>63.0</v>
      </c>
      <c r="C93" s="3" t="s">
        <v>95</v>
      </c>
      <c r="D93" s="6">
        <f>Mar!F93</f>
        <v>126124555685</v>
      </c>
      <c r="E93" s="4">
        <f>Jan!I93+Feb!I93+Mar!I93</f>
        <v>51070896033</v>
      </c>
      <c r="F93" s="4">
        <f>Jan!J93+Feb!J93+Mar!J93</f>
        <v>52520769582</v>
      </c>
      <c r="G93" s="4">
        <f t="shared" si="19"/>
        <v>-1449873549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22" t="s">
        <v>44</v>
      </c>
      <c r="B94" s="2"/>
      <c r="C94" s="3"/>
      <c r="D94" s="24">
        <f t="shared" ref="D94:G94" si="20">SUM(D91:D93)</f>
        <v>188910952779</v>
      </c>
      <c r="E94" s="24">
        <f t="shared" si="20"/>
        <v>62555059047</v>
      </c>
      <c r="F94" s="24">
        <f t="shared" si="20"/>
        <v>62202428130</v>
      </c>
      <c r="G94" s="24">
        <f t="shared" si="20"/>
        <v>352630916.8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18" t="s">
        <v>45</v>
      </c>
      <c r="B95" s="2"/>
      <c r="C95" s="3"/>
      <c r="D95" s="6"/>
      <c r="E95" s="4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1"/>
      <c r="B96" s="2">
        <v>64.0</v>
      </c>
      <c r="C96" s="3" t="s">
        <v>96</v>
      </c>
      <c r="D96" s="6">
        <f>Mar!F96</f>
        <v>10874532844</v>
      </c>
      <c r="E96" s="4">
        <f>Jan!I96+Feb!I96+Mar!I96</f>
        <v>7185425785</v>
      </c>
      <c r="F96" s="4">
        <f>Jan!J96+Feb!J96+Mar!J96</f>
        <v>5938993786</v>
      </c>
      <c r="G96" s="4">
        <f>E96-F96</f>
        <v>1246431999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22" t="s">
        <v>88</v>
      </c>
      <c r="B97" s="2"/>
      <c r="C97" s="3"/>
      <c r="D97" s="24">
        <f t="shared" ref="D97:G97" si="21">SUM(D96)</f>
        <v>10874532844</v>
      </c>
      <c r="E97" s="24">
        <f t="shared" si="21"/>
        <v>7185425785</v>
      </c>
      <c r="F97" s="24">
        <f t="shared" si="21"/>
        <v>5938993786</v>
      </c>
      <c r="G97" s="24">
        <f t="shared" si="21"/>
        <v>1246431999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1" t="s">
        <v>97</v>
      </c>
      <c r="B98" s="2"/>
      <c r="C98" s="3"/>
      <c r="D98" s="24">
        <f t="shared" ref="D98:G98" si="22">D94+D97</f>
        <v>199785485623</v>
      </c>
      <c r="E98" s="24">
        <f t="shared" si="22"/>
        <v>69740484832</v>
      </c>
      <c r="F98" s="24">
        <f t="shared" si="22"/>
        <v>68141421916</v>
      </c>
      <c r="G98" s="24">
        <f t="shared" si="22"/>
        <v>1599062916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1" t="s">
        <v>98</v>
      </c>
      <c r="B99" s="2"/>
      <c r="C99" s="3"/>
      <c r="D99" s="6"/>
      <c r="E99" s="4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18" t="s">
        <v>99</v>
      </c>
      <c r="B100" s="2"/>
      <c r="C100" s="3"/>
      <c r="D100" s="6"/>
      <c r="E100" s="4"/>
      <c r="F100" s="4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18"/>
      <c r="B101" s="2">
        <v>65.0</v>
      </c>
      <c r="C101" s="3" t="s">
        <v>100</v>
      </c>
      <c r="D101" s="6">
        <f>Mar!F101</f>
        <v>8839076225</v>
      </c>
      <c r="E101" s="4">
        <f>Jan!I101+Feb!I101+Mar!I101</f>
        <v>1802953008</v>
      </c>
      <c r="F101" s="4">
        <f>Jan!J101+Feb!J101+Mar!J101</f>
        <v>109487677.8</v>
      </c>
      <c r="G101" s="4">
        <f t="shared" ref="G101:G102" si="23">E101-F101</f>
        <v>1693465330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1"/>
      <c r="B102" s="2">
        <v>66.0</v>
      </c>
      <c r="C102" s="3" t="s">
        <v>101</v>
      </c>
      <c r="D102" s="6">
        <f>Mar!F102</f>
        <v>3756833514</v>
      </c>
      <c r="E102" s="4">
        <f>Jan!I102+Feb!I102+Mar!I102</f>
        <v>665340595.6</v>
      </c>
      <c r="F102" s="4">
        <f>Jan!J102+Feb!J102+Mar!J102</f>
        <v>625623501.3</v>
      </c>
      <c r="G102" s="4">
        <f t="shared" si="23"/>
        <v>39717094.32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22" t="s">
        <v>44</v>
      </c>
      <c r="B103" s="2"/>
      <c r="C103" s="3"/>
      <c r="D103" s="24">
        <f t="shared" ref="D103:G103" si="24">SUM(D101:D102)</f>
        <v>12595909739</v>
      </c>
      <c r="E103" s="24">
        <f t="shared" si="24"/>
        <v>2468293603</v>
      </c>
      <c r="F103" s="24">
        <f t="shared" si="24"/>
        <v>735111179.1</v>
      </c>
      <c r="G103" s="24">
        <f t="shared" si="24"/>
        <v>1733182424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18" t="s">
        <v>102</v>
      </c>
      <c r="B104" s="2"/>
      <c r="C104" s="3"/>
      <c r="D104" s="6"/>
      <c r="E104" s="4"/>
      <c r="F104" s="4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1"/>
      <c r="B105" s="2">
        <v>67.0</v>
      </c>
      <c r="C105" s="3" t="s">
        <v>103</v>
      </c>
      <c r="D105" s="6">
        <f>Mar!F105</f>
        <v>10338580153</v>
      </c>
      <c r="E105" s="4">
        <f>Jan!I105+Feb!I105+Mar!I105</f>
        <v>674157161.4</v>
      </c>
      <c r="F105" s="4">
        <f>Jan!J105+Feb!J105+Mar!J105</f>
        <v>335672258.9</v>
      </c>
      <c r="G105" s="4">
        <f>E105-F105</f>
        <v>338484902.5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22" t="s">
        <v>88</v>
      </c>
      <c r="B106" s="23"/>
      <c r="C106" s="1"/>
      <c r="D106" s="24">
        <f t="shared" ref="D106:G106" si="25">SUM(D105)</f>
        <v>10338580153</v>
      </c>
      <c r="E106" s="24">
        <f t="shared" si="25"/>
        <v>674157161.4</v>
      </c>
      <c r="F106" s="24">
        <f t="shared" si="25"/>
        <v>335672258.9</v>
      </c>
      <c r="G106" s="24">
        <f t="shared" si="25"/>
        <v>338484902.5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1" t="s">
        <v>104</v>
      </c>
      <c r="B107" s="31"/>
      <c r="C107" s="29"/>
      <c r="D107" s="24">
        <f t="shared" ref="D107:G107" si="26">D103+D106</f>
        <v>22934489892</v>
      </c>
      <c r="E107" s="24">
        <f t="shared" si="26"/>
        <v>3142450765</v>
      </c>
      <c r="F107" s="24">
        <f t="shared" si="26"/>
        <v>1070783438</v>
      </c>
      <c r="G107" s="24">
        <f t="shared" si="26"/>
        <v>2071667327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32" t="s">
        <v>105</v>
      </c>
      <c r="B108" s="33"/>
      <c r="C108" s="34"/>
      <c r="D108" s="35">
        <f t="shared" ref="D108:G108" si="27">D38+D62+D88+D98+D107</f>
        <v>452218693929</v>
      </c>
      <c r="E108" s="35">
        <f t="shared" si="27"/>
        <v>79029422343</v>
      </c>
      <c r="F108" s="35">
        <f t="shared" si="27"/>
        <v>79165416847</v>
      </c>
      <c r="G108" s="35">
        <f t="shared" si="27"/>
        <v>-135994504.5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0" customHeight="1">
      <c r="A109" s="3"/>
      <c r="B109" s="2"/>
      <c r="C109" s="36"/>
      <c r="D109" s="4"/>
      <c r="E109" s="4"/>
      <c r="F109" s="4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30"/>
      <c r="B110" s="36"/>
      <c r="C110" s="36"/>
      <c r="D110" s="4">
        <f>Mar!F108-'Q1'!D108</f>
        <v>0</v>
      </c>
      <c r="E110" s="4">
        <f>E108-Mar!L108</f>
        <v>0</v>
      </c>
      <c r="F110" s="4">
        <f>F108-Mar!M108</f>
        <v>0</v>
      </c>
      <c r="G110" s="4">
        <f>G108-Mar!N108</f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36"/>
      <c r="B111" s="36"/>
      <c r="C111" s="36"/>
      <c r="D111" s="4"/>
      <c r="E111" s="4"/>
      <c r="F111" s="4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36"/>
      <c r="B112" s="36"/>
      <c r="C112" s="36"/>
      <c r="D112" s="4"/>
      <c r="E112" s="4"/>
      <c r="F112" s="4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36"/>
      <c r="B113" s="36"/>
      <c r="C113" s="36"/>
      <c r="D113" s="4"/>
      <c r="E113" s="4"/>
      <c r="F113" s="4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36"/>
      <c r="B114" s="36"/>
      <c r="C114" s="36"/>
      <c r="D114" s="4"/>
      <c r="E114" s="4"/>
      <c r="F114" s="4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36"/>
      <c r="B115" s="36"/>
      <c r="C115" s="36"/>
      <c r="D115" s="4"/>
      <c r="E115" s="4"/>
      <c r="F115" s="4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6"/>
      <c r="B116" s="36"/>
      <c r="C116" s="36"/>
      <c r="D116" s="4"/>
      <c r="E116" s="4"/>
      <c r="F116" s="4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0" customHeight="1">
      <c r="A117" s="36"/>
      <c r="B117" s="36"/>
      <c r="C117" s="36"/>
      <c r="D117" s="4"/>
      <c r="E117" s="4"/>
      <c r="F117" s="4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36"/>
      <c r="B118" s="36"/>
      <c r="C118" s="36"/>
      <c r="D118" s="4"/>
      <c r="E118" s="4"/>
      <c r="F118" s="4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36"/>
      <c r="B119" s="36"/>
      <c r="C119" s="36"/>
      <c r="D119" s="4"/>
      <c r="E119" s="4"/>
      <c r="F119" s="4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36"/>
      <c r="B120" s="36"/>
      <c r="C120" s="36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36"/>
      <c r="B121" s="36"/>
      <c r="C121" s="36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36"/>
      <c r="B122" s="36"/>
      <c r="C122" s="36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36"/>
      <c r="B123" s="36"/>
      <c r="C123" s="36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36"/>
      <c r="B124" s="36"/>
      <c r="C124" s="36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36"/>
      <c r="B125" s="36"/>
      <c r="C125" s="36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36"/>
      <c r="B126" s="36"/>
      <c r="C126" s="36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36"/>
      <c r="B127" s="36"/>
      <c r="C127" s="36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36"/>
      <c r="B128" s="36"/>
      <c r="C128" s="36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36"/>
      <c r="B129" s="36"/>
      <c r="C129" s="36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36"/>
      <c r="B130" s="36"/>
      <c r="C130" s="36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36"/>
      <c r="B131" s="36"/>
      <c r="C131" s="36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36"/>
      <c r="B132" s="36"/>
      <c r="C132" s="36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36"/>
      <c r="B133" s="36"/>
      <c r="C133" s="36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36"/>
      <c r="B134" s="36"/>
      <c r="C134" s="36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36"/>
      <c r="B135" s="36"/>
      <c r="C135" s="36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36"/>
      <c r="B136" s="36"/>
      <c r="C136" s="36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36"/>
      <c r="B137" s="36"/>
      <c r="C137" s="36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36"/>
      <c r="B138" s="36"/>
      <c r="C138" s="36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36"/>
      <c r="B139" s="36"/>
      <c r="C139" s="36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36"/>
      <c r="B140" s="36"/>
      <c r="C140" s="36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36"/>
      <c r="B141" s="36"/>
      <c r="C141" s="36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36"/>
      <c r="B142" s="36"/>
      <c r="C142" s="36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36"/>
      <c r="B143" s="36"/>
      <c r="C143" s="36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36"/>
      <c r="B144" s="36"/>
      <c r="C144" s="36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36"/>
      <c r="B145" s="36"/>
      <c r="C145" s="36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36"/>
      <c r="B146" s="36"/>
      <c r="C146" s="36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36"/>
      <c r="B147" s="36"/>
      <c r="C147" s="36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36"/>
      <c r="B148" s="36"/>
      <c r="C148" s="36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36"/>
      <c r="B149" s="36"/>
      <c r="C149" s="36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36"/>
      <c r="B150" s="36"/>
      <c r="C150" s="36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36"/>
      <c r="B151" s="36"/>
      <c r="C151" s="36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36"/>
      <c r="B152" s="36"/>
      <c r="C152" s="36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36"/>
      <c r="B153" s="36"/>
      <c r="C153" s="36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36"/>
      <c r="B154" s="36"/>
      <c r="C154" s="36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36"/>
      <c r="B155" s="36"/>
      <c r="C155" s="36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36"/>
      <c r="B156" s="36"/>
      <c r="C156" s="36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36"/>
      <c r="B157" s="36"/>
      <c r="C157" s="36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36"/>
      <c r="B158" s="36"/>
      <c r="C158" s="36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36"/>
      <c r="B159" s="36"/>
      <c r="C159" s="36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36"/>
      <c r="B160" s="36"/>
      <c r="C160" s="36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36"/>
      <c r="B161" s="36"/>
      <c r="C161" s="36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36"/>
      <c r="B162" s="36"/>
      <c r="C162" s="36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36"/>
      <c r="B163" s="36"/>
      <c r="C163" s="36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36"/>
      <c r="B164" s="36"/>
      <c r="C164" s="36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36"/>
      <c r="B165" s="36"/>
      <c r="C165" s="36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36"/>
      <c r="B166" s="36"/>
      <c r="C166" s="36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36"/>
      <c r="B167" s="36"/>
      <c r="C167" s="36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36"/>
      <c r="B168" s="36"/>
      <c r="C168" s="36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36"/>
      <c r="B169" s="36"/>
      <c r="C169" s="36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36"/>
      <c r="B170" s="36"/>
      <c r="C170" s="36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36"/>
      <c r="B171" s="36"/>
      <c r="C171" s="36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36"/>
      <c r="B172" s="36"/>
      <c r="C172" s="36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36"/>
      <c r="B173" s="36"/>
      <c r="C173" s="36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36"/>
      <c r="B174" s="36"/>
      <c r="C174" s="36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36"/>
      <c r="B175" s="36"/>
      <c r="C175" s="36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36"/>
      <c r="B176" s="36"/>
      <c r="C176" s="36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36"/>
      <c r="B177" s="36"/>
      <c r="C177" s="36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36"/>
      <c r="B178" s="36"/>
      <c r="C178" s="36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36"/>
      <c r="B179" s="36"/>
      <c r="C179" s="36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36"/>
      <c r="B180" s="36"/>
      <c r="C180" s="36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36"/>
      <c r="B181" s="36"/>
      <c r="C181" s="36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36"/>
      <c r="B182" s="36"/>
      <c r="C182" s="36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36"/>
      <c r="B183" s="36"/>
      <c r="C183" s="36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36"/>
      <c r="B184" s="36"/>
      <c r="C184" s="36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36"/>
      <c r="B185" s="36"/>
      <c r="C185" s="36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36"/>
      <c r="B186" s="36"/>
      <c r="C186" s="36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36"/>
      <c r="B187" s="36"/>
      <c r="C187" s="36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36"/>
      <c r="B188" s="36"/>
      <c r="C188" s="36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36"/>
      <c r="B189" s="36"/>
      <c r="C189" s="36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36"/>
      <c r="B190" s="36"/>
      <c r="C190" s="36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36"/>
      <c r="B191" s="36"/>
      <c r="C191" s="36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36"/>
      <c r="B192" s="36"/>
      <c r="C192" s="36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36"/>
      <c r="B193" s="36"/>
      <c r="C193" s="36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36"/>
      <c r="B194" s="36"/>
      <c r="C194" s="36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36"/>
      <c r="B195" s="36"/>
      <c r="C195" s="36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36"/>
      <c r="B196" s="36"/>
      <c r="C196" s="36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36"/>
      <c r="B197" s="36"/>
      <c r="C197" s="36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36"/>
      <c r="B198" s="36"/>
      <c r="C198" s="36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36"/>
      <c r="B199" s="36"/>
      <c r="C199" s="36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36"/>
      <c r="B200" s="36"/>
      <c r="C200" s="36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36"/>
      <c r="B201" s="36"/>
      <c r="C201" s="36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36"/>
      <c r="B202" s="36"/>
      <c r="C202" s="36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36"/>
      <c r="B203" s="36"/>
      <c r="C203" s="36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36"/>
      <c r="B204" s="36"/>
      <c r="C204" s="36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36"/>
      <c r="B205" s="36"/>
      <c r="C205" s="36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6"/>
      <c r="B206" s="36"/>
      <c r="C206" s="36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6"/>
      <c r="B207" s="36"/>
      <c r="C207" s="36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6"/>
      <c r="B208" s="36"/>
      <c r="C208" s="36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6"/>
      <c r="B209" s="36"/>
      <c r="C209" s="36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6"/>
      <c r="B210" s="36"/>
      <c r="C210" s="36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6"/>
      <c r="B211" s="36"/>
      <c r="C211" s="36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6"/>
      <c r="B212" s="36"/>
      <c r="C212" s="36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6"/>
      <c r="B213" s="36"/>
      <c r="C213" s="36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6"/>
      <c r="B214" s="36"/>
      <c r="C214" s="36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6"/>
      <c r="B215" s="36"/>
      <c r="C215" s="36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6"/>
      <c r="B216" s="36"/>
      <c r="C216" s="36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6"/>
      <c r="B217" s="36"/>
      <c r="C217" s="36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6"/>
      <c r="B218" s="36"/>
      <c r="C218" s="36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6"/>
      <c r="B219" s="36"/>
      <c r="C219" s="36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6"/>
      <c r="B220" s="36"/>
      <c r="C220" s="36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6"/>
      <c r="B221" s="36"/>
      <c r="C221" s="36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6"/>
      <c r="B222" s="36"/>
      <c r="C222" s="36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6"/>
      <c r="B223" s="36"/>
      <c r="C223" s="36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6"/>
      <c r="B224" s="36"/>
      <c r="C224" s="36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6"/>
      <c r="B225" s="36"/>
      <c r="C225" s="36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6"/>
      <c r="B226" s="36"/>
      <c r="C226" s="36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6"/>
      <c r="B227" s="36"/>
      <c r="C227" s="36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6"/>
      <c r="B228" s="36"/>
      <c r="C228" s="36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6"/>
      <c r="B229" s="36"/>
      <c r="C229" s="36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6"/>
      <c r="B230" s="36"/>
      <c r="C230" s="36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6"/>
      <c r="B231" s="36"/>
      <c r="C231" s="36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6"/>
      <c r="B232" s="36"/>
      <c r="C232" s="36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6"/>
      <c r="B233" s="36"/>
      <c r="C233" s="36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6"/>
      <c r="B234" s="36"/>
      <c r="C234" s="36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6"/>
      <c r="B235" s="36"/>
      <c r="C235" s="36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6"/>
      <c r="B236" s="36"/>
      <c r="C236" s="36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6"/>
      <c r="B237" s="36"/>
      <c r="C237" s="36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6"/>
      <c r="B238" s="36"/>
      <c r="C238" s="36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6"/>
      <c r="B239" s="36"/>
      <c r="C239" s="36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6"/>
      <c r="B240" s="36"/>
      <c r="C240" s="36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6"/>
      <c r="B241" s="36"/>
      <c r="C241" s="36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6"/>
      <c r="B242" s="36"/>
      <c r="C242" s="36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6"/>
      <c r="B243" s="36"/>
      <c r="C243" s="36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6"/>
      <c r="B244" s="36"/>
      <c r="C244" s="36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6"/>
      <c r="B245" s="36"/>
      <c r="C245" s="36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6"/>
      <c r="B246" s="36"/>
      <c r="C246" s="36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6"/>
      <c r="B247" s="36"/>
      <c r="C247" s="36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6"/>
      <c r="B248" s="36"/>
      <c r="C248" s="36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6"/>
      <c r="B249" s="36"/>
      <c r="C249" s="36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6"/>
      <c r="B250" s="36"/>
      <c r="C250" s="36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6"/>
      <c r="B251" s="36"/>
      <c r="C251" s="36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6"/>
      <c r="B252" s="36"/>
      <c r="C252" s="36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6"/>
      <c r="B253" s="36"/>
      <c r="C253" s="36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6"/>
      <c r="B254" s="36"/>
      <c r="C254" s="36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6"/>
      <c r="B255" s="36"/>
      <c r="C255" s="36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6"/>
      <c r="B256" s="36"/>
      <c r="C256" s="36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6"/>
      <c r="B257" s="36"/>
      <c r="C257" s="36"/>
      <c r="D257" s="4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6"/>
      <c r="B258" s="36"/>
      <c r="C258" s="36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6"/>
      <c r="B259" s="36"/>
      <c r="C259" s="36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6"/>
      <c r="B260" s="36"/>
      <c r="C260" s="36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6"/>
      <c r="B261" s="36"/>
      <c r="C261" s="36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6"/>
      <c r="B262" s="36"/>
      <c r="C262" s="36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6"/>
      <c r="B263" s="36"/>
      <c r="C263" s="36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6"/>
      <c r="B264" s="36"/>
      <c r="C264" s="36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6"/>
      <c r="B265" s="36"/>
      <c r="C265" s="36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6"/>
      <c r="B266" s="36"/>
      <c r="C266" s="36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6"/>
      <c r="B267" s="36"/>
      <c r="C267" s="36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6"/>
      <c r="B268" s="36"/>
      <c r="C268" s="36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6"/>
      <c r="B269" s="36"/>
      <c r="C269" s="36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6"/>
      <c r="B270" s="36"/>
      <c r="C270" s="36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6"/>
      <c r="B271" s="36"/>
      <c r="C271" s="36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6"/>
      <c r="B272" s="36"/>
      <c r="C272" s="36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6"/>
      <c r="B273" s="36"/>
      <c r="C273" s="36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6"/>
      <c r="B274" s="36"/>
      <c r="C274" s="36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6"/>
      <c r="B275" s="36"/>
      <c r="C275" s="36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6"/>
      <c r="B276" s="36"/>
      <c r="C276" s="36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6"/>
      <c r="B277" s="36"/>
      <c r="C277" s="36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6"/>
      <c r="B278" s="36"/>
      <c r="C278" s="36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6"/>
      <c r="B279" s="36"/>
      <c r="C279" s="36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6"/>
      <c r="B280" s="36"/>
      <c r="C280" s="36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6"/>
      <c r="B281" s="36"/>
      <c r="C281" s="36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6"/>
      <c r="B282" s="36"/>
      <c r="C282" s="36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6"/>
      <c r="B283" s="36"/>
      <c r="C283" s="36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6"/>
      <c r="B284" s="36"/>
      <c r="C284" s="36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6"/>
      <c r="B285" s="36"/>
      <c r="C285" s="36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6"/>
      <c r="B286" s="36"/>
      <c r="C286" s="36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6"/>
      <c r="B287" s="36"/>
      <c r="C287" s="36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6"/>
      <c r="B288" s="36"/>
      <c r="C288" s="36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6"/>
      <c r="B289" s="36"/>
      <c r="C289" s="36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6"/>
      <c r="B290" s="36"/>
      <c r="C290" s="36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6"/>
      <c r="B291" s="36"/>
      <c r="C291" s="36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6"/>
      <c r="B292" s="36"/>
      <c r="C292" s="36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6"/>
      <c r="B293" s="36"/>
      <c r="C293" s="36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6"/>
      <c r="B294" s="36"/>
      <c r="C294" s="36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6"/>
      <c r="B295" s="36"/>
      <c r="C295" s="36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6"/>
      <c r="B296" s="36"/>
      <c r="C296" s="36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6"/>
      <c r="B297" s="36"/>
      <c r="C297" s="36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6"/>
      <c r="B298" s="36"/>
      <c r="C298" s="36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6"/>
      <c r="B299" s="36"/>
      <c r="C299" s="36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6"/>
      <c r="B300" s="36"/>
      <c r="C300" s="36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6"/>
      <c r="B301" s="36"/>
      <c r="C301" s="36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6"/>
      <c r="B302" s="36"/>
      <c r="C302" s="36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6"/>
      <c r="B303" s="36"/>
      <c r="C303" s="36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6"/>
      <c r="B304" s="36"/>
      <c r="C304" s="36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6"/>
      <c r="B305" s="36"/>
      <c r="C305" s="36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6"/>
      <c r="B306" s="36"/>
      <c r="C306" s="36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6"/>
      <c r="B307" s="36"/>
      <c r="C307" s="36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6"/>
      <c r="B308" s="36"/>
      <c r="C308" s="36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6"/>
      <c r="B309" s="36"/>
      <c r="C309" s="36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6"/>
      <c r="B310" s="36"/>
      <c r="C310" s="36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6"/>
      <c r="B311" s="36"/>
      <c r="C311" s="36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6"/>
      <c r="B312" s="36"/>
      <c r="C312" s="36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6"/>
      <c r="B313" s="36"/>
      <c r="C313" s="36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6"/>
      <c r="B314" s="36"/>
      <c r="C314" s="36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6"/>
      <c r="B315" s="36"/>
      <c r="C315" s="36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6"/>
      <c r="B316" s="36"/>
      <c r="C316" s="36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6"/>
      <c r="B317" s="36"/>
      <c r="C317" s="36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6"/>
      <c r="B318" s="36"/>
      <c r="C318" s="36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6"/>
      <c r="B319" s="36"/>
      <c r="C319" s="36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6"/>
      <c r="B320" s="36"/>
      <c r="C320" s="36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6"/>
      <c r="B321" s="36"/>
      <c r="C321" s="36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6"/>
      <c r="B322" s="36"/>
      <c r="C322" s="36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6"/>
      <c r="B323" s="36"/>
      <c r="C323" s="36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6"/>
      <c r="B324" s="36"/>
      <c r="C324" s="36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6"/>
      <c r="B325" s="36"/>
      <c r="C325" s="36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6"/>
      <c r="B326" s="36"/>
      <c r="C326" s="36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6"/>
      <c r="B327" s="36"/>
      <c r="C327" s="36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6"/>
      <c r="B328" s="36"/>
      <c r="C328" s="36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6"/>
      <c r="B329" s="36"/>
      <c r="C329" s="36"/>
      <c r="D329" s="4"/>
      <c r="E329" s="4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6"/>
      <c r="B330" s="36"/>
      <c r="C330" s="36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6"/>
      <c r="B331" s="36"/>
      <c r="C331" s="36"/>
      <c r="D331" s="4"/>
      <c r="E331" s="4"/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6"/>
      <c r="B332" s="36"/>
      <c r="C332" s="36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6"/>
      <c r="B333" s="36"/>
      <c r="C333" s="36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6"/>
      <c r="B334" s="36"/>
      <c r="C334" s="36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6"/>
      <c r="B335" s="36"/>
      <c r="C335" s="36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6"/>
      <c r="B336" s="36"/>
      <c r="C336" s="36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6"/>
      <c r="B337" s="36"/>
      <c r="C337" s="36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6"/>
      <c r="B338" s="36"/>
      <c r="C338" s="36"/>
      <c r="D338" s="4"/>
      <c r="E338" s="4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6"/>
      <c r="B339" s="36"/>
      <c r="C339" s="36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6"/>
      <c r="B340" s="36"/>
      <c r="C340" s="36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6"/>
      <c r="B341" s="36"/>
      <c r="C341" s="36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6"/>
      <c r="B342" s="36"/>
      <c r="C342" s="36"/>
      <c r="D342" s="4"/>
      <c r="E342" s="4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6"/>
      <c r="B343" s="36"/>
      <c r="C343" s="36"/>
      <c r="D343" s="4"/>
      <c r="E343" s="4"/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6"/>
      <c r="B344" s="36"/>
      <c r="C344" s="36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6"/>
      <c r="B345" s="36"/>
      <c r="C345" s="36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6"/>
      <c r="B346" s="36"/>
      <c r="C346" s="36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6"/>
      <c r="B347" s="36"/>
      <c r="C347" s="36"/>
      <c r="D347" s="4"/>
      <c r="E347" s="4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6"/>
      <c r="B348" s="36"/>
      <c r="C348" s="36"/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6"/>
      <c r="B349" s="36"/>
      <c r="C349" s="36"/>
      <c r="D349" s="4"/>
      <c r="E349" s="4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6"/>
      <c r="B350" s="36"/>
      <c r="C350" s="36"/>
      <c r="D350" s="4"/>
      <c r="E350" s="4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6"/>
      <c r="B351" s="36"/>
      <c r="C351" s="36"/>
      <c r="D351" s="4"/>
      <c r="E351" s="4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6"/>
      <c r="B352" s="36"/>
      <c r="C352" s="36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6"/>
      <c r="B353" s="36"/>
      <c r="C353" s="36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6"/>
      <c r="B354" s="36"/>
      <c r="C354" s="36"/>
      <c r="D354" s="4"/>
      <c r="E354" s="4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6"/>
      <c r="B355" s="36"/>
      <c r="C355" s="36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6"/>
      <c r="B356" s="36"/>
      <c r="C356" s="36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6"/>
      <c r="B357" s="36"/>
      <c r="C357" s="36"/>
      <c r="D357" s="4"/>
      <c r="E357" s="4"/>
      <c r="F357" s="4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6"/>
      <c r="B358" s="36"/>
      <c r="C358" s="36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6"/>
      <c r="B359" s="36"/>
      <c r="C359" s="36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6"/>
      <c r="B360" s="36"/>
      <c r="C360" s="36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6"/>
      <c r="B361" s="36"/>
      <c r="C361" s="36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6"/>
      <c r="B362" s="36"/>
      <c r="C362" s="36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6"/>
      <c r="B363" s="36"/>
      <c r="C363" s="36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6"/>
      <c r="B364" s="36"/>
      <c r="C364" s="36"/>
      <c r="D364" s="4"/>
      <c r="E364" s="4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6"/>
      <c r="B365" s="36"/>
      <c r="C365" s="36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6"/>
      <c r="B366" s="36"/>
      <c r="C366" s="36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6"/>
      <c r="B367" s="36"/>
      <c r="C367" s="36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6"/>
      <c r="B368" s="36"/>
      <c r="C368" s="36"/>
      <c r="D368" s="4"/>
      <c r="E368" s="4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6"/>
      <c r="B369" s="36"/>
      <c r="C369" s="36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6"/>
      <c r="B370" s="36"/>
      <c r="C370" s="36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6"/>
      <c r="B371" s="36"/>
      <c r="C371" s="36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6"/>
      <c r="B372" s="36"/>
      <c r="C372" s="36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6"/>
      <c r="B373" s="36"/>
      <c r="C373" s="36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6"/>
      <c r="B374" s="36"/>
      <c r="C374" s="36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6"/>
      <c r="B375" s="36"/>
      <c r="C375" s="36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6"/>
      <c r="B376" s="36"/>
      <c r="C376" s="36"/>
      <c r="D376" s="4"/>
      <c r="E376" s="4"/>
      <c r="F376" s="4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6"/>
      <c r="B377" s="36"/>
      <c r="C377" s="36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6"/>
      <c r="B378" s="36"/>
      <c r="C378" s="36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6"/>
      <c r="B379" s="36"/>
      <c r="C379" s="36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6"/>
      <c r="B380" s="36"/>
      <c r="C380" s="36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6"/>
      <c r="B381" s="36"/>
      <c r="C381" s="36"/>
      <c r="D381" s="4"/>
      <c r="E381" s="4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6"/>
      <c r="B382" s="36"/>
      <c r="C382" s="36"/>
      <c r="D382" s="4"/>
      <c r="E382" s="4"/>
      <c r="F382" s="4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6"/>
      <c r="B383" s="36"/>
      <c r="C383" s="36"/>
      <c r="D383" s="4"/>
      <c r="E383" s="4"/>
      <c r="F383" s="4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6"/>
      <c r="B384" s="36"/>
      <c r="C384" s="36"/>
      <c r="D384" s="4"/>
      <c r="E384" s="4"/>
      <c r="F384" s="4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6"/>
      <c r="B385" s="36"/>
      <c r="C385" s="36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6"/>
      <c r="B386" s="36"/>
      <c r="C386" s="36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6"/>
      <c r="B387" s="36"/>
      <c r="C387" s="36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6"/>
      <c r="B388" s="36"/>
      <c r="C388" s="36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6"/>
      <c r="B389" s="36"/>
      <c r="C389" s="36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6"/>
      <c r="B390" s="36"/>
      <c r="C390" s="36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6"/>
      <c r="B391" s="36"/>
      <c r="C391" s="36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6"/>
      <c r="B392" s="36"/>
      <c r="C392" s="36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6"/>
      <c r="B393" s="36"/>
      <c r="C393" s="36"/>
      <c r="D393" s="4"/>
      <c r="E393" s="4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6"/>
      <c r="B394" s="36"/>
      <c r="C394" s="36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6"/>
      <c r="B395" s="36"/>
      <c r="C395" s="36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6"/>
      <c r="B396" s="36"/>
      <c r="C396" s="36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6"/>
      <c r="B397" s="36"/>
      <c r="C397" s="36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6"/>
      <c r="B398" s="36"/>
      <c r="C398" s="36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6"/>
      <c r="B399" s="36"/>
      <c r="C399" s="36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6"/>
      <c r="B400" s="36"/>
      <c r="C400" s="36"/>
      <c r="D400" s="4"/>
      <c r="E400" s="4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6"/>
      <c r="B401" s="36"/>
      <c r="C401" s="36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6"/>
      <c r="B402" s="36"/>
      <c r="C402" s="36"/>
      <c r="D402" s="4"/>
      <c r="E402" s="4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6"/>
      <c r="B403" s="36"/>
      <c r="C403" s="36"/>
      <c r="D403" s="4"/>
      <c r="E403" s="4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6"/>
      <c r="B404" s="36"/>
      <c r="C404" s="36"/>
      <c r="D404" s="4"/>
      <c r="E404" s="4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6"/>
      <c r="B405" s="36"/>
      <c r="C405" s="36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6"/>
      <c r="B406" s="36"/>
      <c r="C406" s="36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6"/>
      <c r="B407" s="36"/>
      <c r="C407" s="36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6"/>
      <c r="B408" s="36"/>
      <c r="C408" s="36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6"/>
      <c r="B409" s="36"/>
      <c r="C409" s="36"/>
      <c r="D409" s="4"/>
      <c r="E409" s="4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6"/>
      <c r="B410" s="36"/>
      <c r="C410" s="36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6"/>
      <c r="B411" s="36"/>
      <c r="C411" s="36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6"/>
      <c r="B412" s="36"/>
      <c r="C412" s="36"/>
      <c r="D412" s="4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6"/>
      <c r="B413" s="36"/>
      <c r="C413" s="36"/>
      <c r="D413" s="4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6"/>
      <c r="B414" s="36"/>
      <c r="C414" s="36"/>
      <c r="D414" s="4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6"/>
      <c r="B415" s="36"/>
      <c r="C415" s="36"/>
      <c r="D415" s="4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6"/>
      <c r="B416" s="36"/>
      <c r="C416" s="36"/>
      <c r="D416" s="4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6"/>
      <c r="B417" s="36"/>
      <c r="C417" s="36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6"/>
      <c r="B418" s="36"/>
      <c r="C418" s="36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6"/>
      <c r="B419" s="36"/>
      <c r="C419" s="36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6"/>
      <c r="B420" s="36"/>
      <c r="C420" s="36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6"/>
      <c r="B421" s="36"/>
      <c r="C421" s="36"/>
      <c r="D421" s="4"/>
      <c r="E421" s="4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6"/>
      <c r="B422" s="36"/>
      <c r="C422" s="36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6"/>
      <c r="B423" s="36"/>
      <c r="C423" s="36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6"/>
      <c r="B424" s="36"/>
      <c r="C424" s="36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6"/>
      <c r="B425" s="36"/>
      <c r="C425" s="36"/>
      <c r="D425" s="4"/>
      <c r="E425" s="4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6"/>
      <c r="B426" s="36"/>
      <c r="C426" s="36"/>
      <c r="D426" s="4"/>
      <c r="E426" s="4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6"/>
      <c r="B427" s="36"/>
      <c r="C427" s="36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6"/>
      <c r="B428" s="36"/>
      <c r="C428" s="36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6"/>
      <c r="B429" s="36"/>
      <c r="C429" s="36"/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6"/>
      <c r="B430" s="36"/>
      <c r="C430" s="36"/>
      <c r="D430" s="4"/>
      <c r="E430" s="4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6"/>
      <c r="B431" s="36"/>
      <c r="C431" s="36"/>
      <c r="D431" s="4"/>
      <c r="E431" s="4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6"/>
      <c r="B432" s="36"/>
      <c r="C432" s="36"/>
      <c r="D432" s="4"/>
      <c r="E432" s="4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6"/>
      <c r="B433" s="36"/>
      <c r="C433" s="36"/>
      <c r="D433" s="4"/>
      <c r="E433" s="4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6"/>
      <c r="B434" s="36"/>
      <c r="C434" s="36"/>
      <c r="D434" s="4"/>
      <c r="E434" s="4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6"/>
      <c r="B435" s="36"/>
      <c r="C435" s="36"/>
      <c r="D435" s="4"/>
      <c r="E435" s="4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6"/>
      <c r="B436" s="36"/>
      <c r="C436" s="36"/>
      <c r="D436" s="4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6"/>
      <c r="B437" s="36"/>
      <c r="C437" s="36"/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6"/>
      <c r="B438" s="36"/>
      <c r="C438" s="36"/>
      <c r="D438" s="4"/>
      <c r="E438" s="4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6"/>
      <c r="B439" s="36"/>
      <c r="C439" s="36"/>
      <c r="D439" s="4"/>
      <c r="E439" s="4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6"/>
      <c r="B440" s="36"/>
      <c r="C440" s="36"/>
      <c r="D440" s="4"/>
      <c r="E440" s="4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6"/>
      <c r="B441" s="36"/>
      <c r="C441" s="36"/>
      <c r="D441" s="4"/>
      <c r="E441" s="4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6"/>
      <c r="B442" s="36"/>
      <c r="C442" s="36"/>
      <c r="D442" s="4"/>
      <c r="E442" s="4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6"/>
      <c r="B443" s="36"/>
      <c r="C443" s="36"/>
      <c r="D443" s="4"/>
      <c r="E443" s="4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6"/>
      <c r="B444" s="36"/>
      <c r="C444" s="36"/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6"/>
      <c r="B445" s="36"/>
      <c r="C445" s="36"/>
      <c r="D445" s="4"/>
      <c r="E445" s="4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6"/>
      <c r="B446" s="36"/>
      <c r="C446" s="36"/>
      <c r="D446" s="4"/>
      <c r="E446" s="4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6"/>
      <c r="B447" s="36"/>
      <c r="C447" s="36"/>
      <c r="D447" s="4"/>
      <c r="E447" s="4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6"/>
      <c r="B448" s="36"/>
      <c r="C448" s="36"/>
      <c r="D448" s="4"/>
      <c r="E448" s="4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6"/>
      <c r="B449" s="36"/>
      <c r="C449" s="36"/>
      <c r="D449" s="4"/>
      <c r="E449" s="4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6"/>
      <c r="B450" s="36"/>
      <c r="C450" s="36"/>
      <c r="D450" s="4"/>
      <c r="E450" s="4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6"/>
      <c r="B451" s="36"/>
      <c r="C451" s="36"/>
      <c r="D451" s="4"/>
      <c r="E451" s="4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6"/>
      <c r="B452" s="36"/>
      <c r="C452" s="36"/>
      <c r="D452" s="4"/>
      <c r="E452" s="4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6"/>
      <c r="B453" s="36"/>
      <c r="C453" s="36"/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6"/>
      <c r="B454" s="36"/>
      <c r="C454" s="36"/>
      <c r="D454" s="4"/>
      <c r="E454" s="4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6"/>
      <c r="B455" s="36"/>
      <c r="C455" s="36"/>
      <c r="D455" s="4"/>
      <c r="E455" s="4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6"/>
      <c r="B456" s="36"/>
      <c r="C456" s="36"/>
      <c r="D456" s="4"/>
      <c r="E456" s="4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6"/>
      <c r="B457" s="36"/>
      <c r="C457" s="36"/>
      <c r="D457" s="4"/>
      <c r="E457" s="4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6"/>
      <c r="B458" s="36"/>
      <c r="C458" s="36"/>
      <c r="D458" s="4"/>
      <c r="E458" s="4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6"/>
      <c r="B459" s="36"/>
      <c r="C459" s="36"/>
      <c r="D459" s="4"/>
      <c r="E459" s="4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6"/>
      <c r="B460" s="36"/>
      <c r="C460" s="36"/>
      <c r="D460" s="4"/>
      <c r="E460" s="4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6"/>
      <c r="B461" s="36"/>
      <c r="C461" s="36"/>
      <c r="D461" s="4"/>
      <c r="E461" s="4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6"/>
      <c r="B462" s="36"/>
      <c r="C462" s="36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6"/>
      <c r="B463" s="36"/>
      <c r="C463" s="36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6"/>
      <c r="B464" s="36"/>
      <c r="C464" s="36"/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6"/>
      <c r="B465" s="36"/>
      <c r="C465" s="36"/>
      <c r="D465" s="4"/>
      <c r="E465" s="4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6"/>
      <c r="B466" s="36"/>
      <c r="C466" s="36"/>
      <c r="D466" s="4"/>
      <c r="E466" s="4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6"/>
      <c r="B467" s="36"/>
      <c r="C467" s="36"/>
      <c r="D467" s="4"/>
      <c r="E467" s="4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6"/>
      <c r="B468" s="36"/>
      <c r="C468" s="36"/>
      <c r="D468" s="4"/>
      <c r="E468" s="4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6"/>
      <c r="B469" s="36"/>
      <c r="C469" s="36"/>
      <c r="D469" s="4"/>
      <c r="E469" s="4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6"/>
      <c r="B470" s="36"/>
      <c r="C470" s="36"/>
      <c r="D470" s="4"/>
      <c r="E470" s="4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6"/>
      <c r="B471" s="36"/>
      <c r="C471" s="36"/>
      <c r="D471" s="4"/>
      <c r="E471" s="4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6"/>
      <c r="B472" s="36"/>
      <c r="C472" s="36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6"/>
      <c r="B473" s="36"/>
      <c r="C473" s="36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6"/>
      <c r="B474" s="36"/>
      <c r="C474" s="36"/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6"/>
      <c r="B475" s="36"/>
      <c r="C475" s="36"/>
      <c r="D475" s="4"/>
      <c r="E475" s="4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6"/>
      <c r="B476" s="36"/>
      <c r="C476" s="36"/>
      <c r="D476" s="4"/>
      <c r="E476" s="4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6"/>
      <c r="B477" s="36"/>
      <c r="C477" s="36"/>
      <c r="D477" s="4"/>
      <c r="E477" s="4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6"/>
      <c r="B478" s="36"/>
      <c r="C478" s="36"/>
      <c r="D478" s="4"/>
      <c r="E478" s="4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6"/>
      <c r="B479" s="36"/>
      <c r="C479" s="36"/>
      <c r="D479" s="4"/>
      <c r="E479" s="4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6"/>
      <c r="B480" s="36"/>
      <c r="C480" s="36"/>
      <c r="D480" s="4"/>
      <c r="E480" s="4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6"/>
      <c r="B481" s="36"/>
      <c r="C481" s="36"/>
      <c r="D481" s="4"/>
      <c r="E481" s="4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6"/>
      <c r="B482" s="36"/>
      <c r="C482" s="36"/>
      <c r="D482" s="4"/>
      <c r="E482" s="4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6"/>
      <c r="B483" s="36"/>
      <c r="C483" s="36"/>
      <c r="D483" s="4"/>
      <c r="E483" s="4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6"/>
      <c r="B484" s="36"/>
      <c r="C484" s="36"/>
      <c r="D484" s="4"/>
      <c r="E484" s="4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6"/>
      <c r="B485" s="36"/>
      <c r="C485" s="36"/>
      <c r="D485" s="4"/>
      <c r="E485" s="4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6"/>
      <c r="B486" s="36"/>
      <c r="C486" s="36"/>
      <c r="D486" s="4"/>
      <c r="E486" s="4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6"/>
      <c r="B487" s="36"/>
      <c r="C487" s="36"/>
      <c r="D487" s="4"/>
      <c r="E487" s="4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6"/>
      <c r="B488" s="36"/>
      <c r="C488" s="36"/>
      <c r="D488" s="4"/>
      <c r="E488" s="4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6"/>
      <c r="B489" s="36"/>
      <c r="C489" s="36"/>
      <c r="D489" s="4"/>
      <c r="E489" s="4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6"/>
      <c r="B490" s="36"/>
      <c r="C490" s="36"/>
      <c r="D490" s="4"/>
      <c r="E490" s="4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6"/>
      <c r="B491" s="36"/>
      <c r="C491" s="36"/>
      <c r="D491" s="4"/>
      <c r="E491" s="4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6"/>
      <c r="B492" s="36"/>
      <c r="C492" s="36"/>
      <c r="D492" s="4"/>
      <c r="E492" s="4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6"/>
      <c r="B493" s="36"/>
      <c r="C493" s="36"/>
      <c r="D493" s="4"/>
      <c r="E493" s="4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6"/>
      <c r="B494" s="36"/>
      <c r="C494" s="36"/>
      <c r="D494" s="4"/>
      <c r="E494" s="4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6"/>
      <c r="B495" s="36"/>
      <c r="C495" s="36"/>
      <c r="D495" s="4"/>
      <c r="E495" s="4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6"/>
      <c r="B496" s="36"/>
      <c r="C496" s="36"/>
      <c r="D496" s="4"/>
      <c r="E496" s="4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6"/>
      <c r="B497" s="36"/>
      <c r="C497" s="36"/>
      <c r="D497" s="4"/>
      <c r="E497" s="4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6"/>
      <c r="B498" s="36"/>
      <c r="C498" s="36"/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6"/>
      <c r="B499" s="36"/>
      <c r="C499" s="36"/>
      <c r="D499" s="4"/>
      <c r="E499" s="4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6"/>
      <c r="B500" s="36"/>
      <c r="C500" s="36"/>
      <c r="D500" s="4"/>
      <c r="E500" s="4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6"/>
      <c r="B501" s="36"/>
      <c r="C501" s="36"/>
      <c r="D501" s="4"/>
      <c r="E501" s="4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6"/>
      <c r="B502" s="36"/>
      <c r="C502" s="36"/>
      <c r="D502" s="4"/>
      <c r="E502" s="4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6"/>
      <c r="B503" s="36"/>
      <c r="C503" s="36"/>
      <c r="D503" s="4"/>
      <c r="E503" s="4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6"/>
      <c r="B504" s="36"/>
      <c r="C504" s="36"/>
      <c r="D504" s="4"/>
      <c r="E504" s="4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6"/>
      <c r="B505" s="36"/>
      <c r="C505" s="36"/>
      <c r="D505" s="4"/>
      <c r="E505" s="4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6"/>
      <c r="B506" s="36"/>
      <c r="C506" s="36"/>
      <c r="D506" s="4"/>
      <c r="E506" s="4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6"/>
      <c r="B507" s="36"/>
      <c r="C507" s="36"/>
      <c r="D507" s="4"/>
      <c r="E507" s="4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6"/>
      <c r="B508" s="36"/>
      <c r="C508" s="36"/>
      <c r="D508" s="4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6"/>
      <c r="B509" s="36"/>
      <c r="C509" s="36"/>
      <c r="D509" s="4"/>
      <c r="E509" s="4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6"/>
      <c r="B510" s="36"/>
      <c r="C510" s="36"/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6"/>
      <c r="B511" s="36"/>
      <c r="C511" s="36"/>
      <c r="D511" s="4"/>
      <c r="E511" s="4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6"/>
      <c r="B512" s="36"/>
      <c r="C512" s="36"/>
      <c r="D512" s="4"/>
      <c r="E512" s="4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6"/>
      <c r="B513" s="36"/>
      <c r="C513" s="36"/>
      <c r="D513" s="4"/>
      <c r="E513" s="4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6"/>
      <c r="B514" s="36"/>
      <c r="C514" s="36"/>
      <c r="D514" s="4"/>
      <c r="E514" s="4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6"/>
      <c r="B515" s="36"/>
      <c r="C515" s="36"/>
      <c r="D515" s="4"/>
      <c r="E515" s="4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6"/>
      <c r="B516" s="36"/>
      <c r="C516" s="36"/>
      <c r="D516" s="4"/>
      <c r="E516" s="4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6"/>
      <c r="B517" s="36"/>
      <c r="C517" s="36"/>
      <c r="D517" s="4"/>
      <c r="E517" s="4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6"/>
      <c r="B518" s="36"/>
      <c r="C518" s="36"/>
      <c r="D518" s="4"/>
      <c r="E518" s="4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6"/>
      <c r="B519" s="36"/>
      <c r="C519" s="36"/>
      <c r="D519" s="4"/>
      <c r="E519" s="4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6"/>
      <c r="B520" s="36"/>
      <c r="C520" s="36"/>
      <c r="D520" s="4"/>
      <c r="E520" s="4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6"/>
      <c r="B521" s="36"/>
      <c r="C521" s="36"/>
      <c r="D521" s="4"/>
      <c r="E521" s="4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6"/>
      <c r="B522" s="36"/>
      <c r="C522" s="36"/>
      <c r="D522" s="4"/>
      <c r="E522" s="4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6"/>
      <c r="B523" s="36"/>
      <c r="C523" s="36"/>
      <c r="D523" s="4"/>
      <c r="E523" s="4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6"/>
      <c r="B524" s="36"/>
      <c r="C524" s="36"/>
      <c r="D524" s="4"/>
      <c r="E524" s="4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6"/>
      <c r="B525" s="36"/>
      <c r="C525" s="36"/>
      <c r="D525" s="4"/>
      <c r="E525" s="4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6"/>
      <c r="B526" s="36"/>
      <c r="C526" s="36"/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6"/>
      <c r="B527" s="36"/>
      <c r="C527" s="36"/>
      <c r="D527" s="4"/>
      <c r="E527" s="4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6"/>
      <c r="B528" s="36"/>
      <c r="C528" s="36"/>
      <c r="D528" s="4"/>
      <c r="E528" s="4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6"/>
      <c r="B529" s="36"/>
      <c r="C529" s="36"/>
      <c r="D529" s="4"/>
      <c r="E529" s="4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6"/>
      <c r="B530" s="36"/>
      <c r="C530" s="36"/>
      <c r="D530" s="4"/>
      <c r="E530" s="4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6"/>
      <c r="B531" s="36"/>
      <c r="C531" s="36"/>
      <c r="D531" s="4"/>
      <c r="E531" s="4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6"/>
      <c r="B532" s="36"/>
      <c r="C532" s="36"/>
      <c r="D532" s="4"/>
      <c r="E532" s="4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6"/>
      <c r="B533" s="36"/>
      <c r="C533" s="36"/>
      <c r="D533" s="4"/>
      <c r="E533" s="4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6"/>
      <c r="B534" s="36"/>
      <c r="C534" s="36"/>
      <c r="D534" s="4"/>
      <c r="E534" s="4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6"/>
      <c r="B535" s="36"/>
      <c r="C535" s="36"/>
      <c r="D535" s="4"/>
      <c r="E535" s="4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6"/>
      <c r="B536" s="36"/>
      <c r="C536" s="36"/>
      <c r="D536" s="4"/>
      <c r="E536" s="4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6"/>
      <c r="B537" s="36"/>
      <c r="C537" s="36"/>
      <c r="D537" s="4"/>
      <c r="E537" s="4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6"/>
      <c r="B538" s="36"/>
      <c r="C538" s="36"/>
      <c r="D538" s="4"/>
      <c r="E538" s="4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6"/>
      <c r="B539" s="36"/>
      <c r="C539" s="36"/>
      <c r="D539" s="4"/>
      <c r="E539" s="4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6"/>
      <c r="B540" s="36"/>
      <c r="C540" s="36"/>
      <c r="D540" s="4"/>
      <c r="E540" s="4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6"/>
      <c r="B541" s="36"/>
      <c r="C541" s="36"/>
      <c r="D541" s="4"/>
      <c r="E541" s="4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6"/>
      <c r="B542" s="36"/>
      <c r="C542" s="36"/>
      <c r="D542" s="4"/>
      <c r="E542" s="4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6"/>
      <c r="B543" s="36"/>
      <c r="C543" s="36"/>
      <c r="D543" s="4"/>
      <c r="E543" s="4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6"/>
      <c r="B544" s="36"/>
      <c r="C544" s="36"/>
      <c r="D544" s="4"/>
      <c r="E544" s="4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6"/>
      <c r="B545" s="36"/>
      <c r="C545" s="36"/>
      <c r="D545" s="4"/>
      <c r="E545" s="4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6"/>
      <c r="B546" s="36"/>
      <c r="C546" s="36"/>
      <c r="D546" s="4"/>
      <c r="E546" s="4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6"/>
      <c r="B547" s="36"/>
      <c r="C547" s="36"/>
      <c r="D547" s="4"/>
      <c r="E547" s="4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6"/>
      <c r="B548" s="36"/>
      <c r="C548" s="36"/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6"/>
      <c r="B549" s="36"/>
      <c r="C549" s="36"/>
      <c r="D549" s="4"/>
      <c r="E549" s="4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6"/>
      <c r="B550" s="36"/>
      <c r="C550" s="36"/>
      <c r="D550" s="4"/>
      <c r="E550" s="4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6"/>
      <c r="B551" s="36"/>
      <c r="C551" s="36"/>
      <c r="D551" s="4"/>
      <c r="E551" s="4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6"/>
      <c r="B552" s="36"/>
      <c r="C552" s="36"/>
      <c r="D552" s="4"/>
      <c r="E552" s="4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6"/>
      <c r="B553" s="36"/>
      <c r="C553" s="36"/>
      <c r="D553" s="4"/>
      <c r="E553" s="4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6"/>
      <c r="B554" s="36"/>
      <c r="C554" s="36"/>
      <c r="D554" s="4"/>
      <c r="E554" s="4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6"/>
      <c r="B555" s="36"/>
      <c r="C555" s="36"/>
      <c r="D555" s="4"/>
      <c r="E555" s="4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6"/>
      <c r="B556" s="36"/>
      <c r="C556" s="36"/>
      <c r="D556" s="4"/>
      <c r="E556" s="4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6"/>
      <c r="B557" s="36"/>
      <c r="C557" s="36"/>
      <c r="D557" s="4"/>
      <c r="E557" s="4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6"/>
      <c r="B558" s="36"/>
      <c r="C558" s="36"/>
      <c r="D558" s="4"/>
      <c r="E558" s="4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6"/>
      <c r="B559" s="36"/>
      <c r="C559" s="36"/>
      <c r="D559" s="4"/>
      <c r="E559" s="4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6"/>
      <c r="B560" s="36"/>
      <c r="C560" s="36"/>
      <c r="D560" s="4"/>
      <c r="E560" s="4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6"/>
      <c r="B561" s="36"/>
      <c r="C561" s="36"/>
      <c r="D561" s="4"/>
      <c r="E561" s="4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6"/>
      <c r="B562" s="36"/>
      <c r="C562" s="36"/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6"/>
      <c r="B563" s="36"/>
      <c r="C563" s="36"/>
      <c r="D563" s="4"/>
      <c r="E563" s="4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6"/>
      <c r="B564" s="36"/>
      <c r="C564" s="36"/>
      <c r="D564" s="4"/>
      <c r="E564" s="4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6"/>
      <c r="B565" s="36"/>
      <c r="C565" s="36"/>
      <c r="D565" s="4"/>
      <c r="E565" s="4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6"/>
      <c r="B566" s="36"/>
      <c r="C566" s="36"/>
      <c r="D566" s="4"/>
      <c r="E566" s="4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6"/>
      <c r="B567" s="36"/>
      <c r="C567" s="36"/>
      <c r="D567" s="4"/>
      <c r="E567" s="4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6"/>
      <c r="B568" s="36"/>
      <c r="C568" s="36"/>
      <c r="D568" s="4"/>
      <c r="E568" s="4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6"/>
      <c r="B569" s="36"/>
      <c r="C569" s="36"/>
      <c r="D569" s="4"/>
      <c r="E569" s="4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6"/>
      <c r="B570" s="36"/>
      <c r="C570" s="36"/>
      <c r="D570" s="4"/>
      <c r="E570" s="4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6"/>
      <c r="B571" s="36"/>
      <c r="C571" s="36"/>
      <c r="D571" s="4"/>
      <c r="E571" s="4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6"/>
      <c r="B572" s="36"/>
      <c r="C572" s="36"/>
      <c r="D572" s="4"/>
      <c r="E572" s="4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6"/>
      <c r="B573" s="36"/>
      <c r="C573" s="36"/>
      <c r="D573" s="4"/>
      <c r="E573" s="4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6"/>
      <c r="B574" s="36"/>
      <c r="C574" s="36"/>
      <c r="D574" s="4"/>
      <c r="E574" s="4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6"/>
      <c r="B575" s="36"/>
      <c r="C575" s="36"/>
      <c r="D575" s="4"/>
      <c r="E575" s="4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6"/>
      <c r="B576" s="36"/>
      <c r="C576" s="36"/>
      <c r="D576" s="4"/>
      <c r="E576" s="4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6"/>
      <c r="B577" s="36"/>
      <c r="C577" s="36"/>
      <c r="D577" s="4"/>
      <c r="E577" s="4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6"/>
      <c r="B578" s="36"/>
      <c r="C578" s="36"/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6"/>
      <c r="B579" s="36"/>
      <c r="C579" s="36"/>
      <c r="D579" s="4"/>
      <c r="E579" s="4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6"/>
      <c r="B580" s="36"/>
      <c r="C580" s="36"/>
      <c r="D580" s="4"/>
      <c r="E580" s="4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6"/>
      <c r="B581" s="36"/>
      <c r="C581" s="36"/>
      <c r="D581" s="4"/>
      <c r="E581" s="4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6"/>
      <c r="B582" s="36"/>
      <c r="C582" s="36"/>
      <c r="D582" s="4"/>
      <c r="E582" s="4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6"/>
      <c r="B583" s="36"/>
      <c r="C583" s="36"/>
      <c r="D583" s="4"/>
      <c r="E583" s="4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6"/>
      <c r="B584" s="36"/>
      <c r="C584" s="36"/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6"/>
      <c r="B585" s="36"/>
      <c r="C585" s="36"/>
      <c r="D585" s="4"/>
      <c r="E585" s="4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6"/>
      <c r="B586" s="36"/>
      <c r="C586" s="36"/>
      <c r="D586" s="4"/>
      <c r="E586" s="4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6"/>
      <c r="B587" s="36"/>
      <c r="C587" s="36"/>
      <c r="D587" s="4"/>
      <c r="E587" s="4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6"/>
      <c r="B588" s="36"/>
      <c r="C588" s="36"/>
      <c r="D588" s="4"/>
      <c r="E588" s="4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6"/>
      <c r="B589" s="36"/>
      <c r="C589" s="36"/>
      <c r="D589" s="4"/>
      <c r="E589" s="4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6"/>
      <c r="B590" s="36"/>
      <c r="C590" s="36"/>
      <c r="D590" s="4"/>
      <c r="E590" s="4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6"/>
      <c r="B591" s="36"/>
      <c r="C591" s="36"/>
      <c r="D591" s="4"/>
      <c r="E591" s="4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6"/>
      <c r="B592" s="36"/>
      <c r="C592" s="36"/>
      <c r="D592" s="4"/>
      <c r="E592" s="4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6"/>
      <c r="B593" s="36"/>
      <c r="C593" s="36"/>
      <c r="D593" s="4"/>
      <c r="E593" s="4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6"/>
      <c r="B594" s="36"/>
      <c r="C594" s="36"/>
      <c r="D594" s="4"/>
      <c r="E594" s="4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6"/>
      <c r="B595" s="36"/>
      <c r="C595" s="36"/>
      <c r="D595" s="4"/>
      <c r="E595" s="4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6"/>
      <c r="B596" s="36"/>
      <c r="C596" s="36"/>
      <c r="D596" s="4"/>
      <c r="E596" s="4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6"/>
      <c r="B597" s="36"/>
      <c r="C597" s="36"/>
      <c r="D597" s="4"/>
      <c r="E597" s="4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6"/>
      <c r="B598" s="36"/>
      <c r="C598" s="36"/>
      <c r="D598" s="4"/>
      <c r="E598" s="4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6"/>
      <c r="B599" s="36"/>
      <c r="C599" s="36"/>
      <c r="D599" s="4"/>
      <c r="E599" s="4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6"/>
      <c r="B600" s="36"/>
      <c r="C600" s="36"/>
      <c r="D600" s="4"/>
      <c r="E600" s="4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6"/>
      <c r="B601" s="36"/>
      <c r="C601" s="36"/>
      <c r="D601" s="4"/>
      <c r="E601" s="4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6"/>
      <c r="B602" s="36"/>
      <c r="C602" s="36"/>
      <c r="D602" s="4"/>
      <c r="E602" s="4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6"/>
      <c r="B603" s="36"/>
      <c r="C603" s="36"/>
      <c r="D603" s="4"/>
      <c r="E603" s="4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6"/>
      <c r="B604" s="36"/>
      <c r="C604" s="36"/>
      <c r="D604" s="4"/>
      <c r="E604" s="4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6"/>
      <c r="B605" s="36"/>
      <c r="C605" s="36"/>
      <c r="D605" s="4"/>
      <c r="E605" s="4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6"/>
      <c r="B606" s="36"/>
      <c r="C606" s="36"/>
      <c r="D606" s="4"/>
      <c r="E606" s="4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6"/>
      <c r="B607" s="36"/>
      <c r="C607" s="36"/>
      <c r="D607" s="4"/>
      <c r="E607" s="4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6"/>
      <c r="B608" s="36"/>
      <c r="C608" s="36"/>
      <c r="D608" s="4"/>
      <c r="E608" s="4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6"/>
      <c r="B609" s="36"/>
      <c r="C609" s="36"/>
      <c r="D609" s="4"/>
      <c r="E609" s="4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6"/>
      <c r="B610" s="36"/>
      <c r="C610" s="36"/>
      <c r="D610" s="4"/>
      <c r="E610" s="4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6"/>
      <c r="B611" s="36"/>
      <c r="C611" s="36"/>
      <c r="D611" s="4"/>
      <c r="E611" s="4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6"/>
      <c r="B612" s="36"/>
      <c r="C612" s="36"/>
      <c r="D612" s="4"/>
      <c r="E612" s="4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6"/>
      <c r="B613" s="36"/>
      <c r="C613" s="36"/>
      <c r="D613" s="4"/>
      <c r="E613" s="4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6"/>
      <c r="B614" s="36"/>
      <c r="C614" s="36"/>
      <c r="D614" s="4"/>
      <c r="E614" s="4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6"/>
      <c r="B615" s="36"/>
      <c r="C615" s="36"/>
      <c r="D615" s="4"/>
      <c r="E615" s="4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6"/>
      <c r="B616" s="36"/>
      <c r="C616" s="36"/>
      <c r="D616" s="4"/>
      <c r="E616" s="4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6"/>
      <c r="B617" s="36"/>
      <c r="C617" s="36"/>
      <c r="D617" s="4"/>
      <c r="E617" s="4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6"/>
      <c r="B618" s="36"/>
      <c r="C618" s="36"/>
      <c r="D618" s="4"/>
      <c r="E618" s="4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6"/>
      <c r="B619" s="36"/>
      <c r="C619" s="36"/>
      <c r="D619" s="4"/>
      <c r="E619" s="4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6"/>
      <c r="B620" s="36"/>
      <c r="C620" s="36"/>
      <c r="D620" s="4"/>
      <c r="E620" s="4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6"/>
      <c r="B621" s="36"/>
      <c r="C621" s="36"/>
      <c r="D621" s="4"/>
      <c r="E621" s="4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6"/>
      <c r="B622" s="36"/>
      <c r="C622" s="36"/>
      <c r="D622" s="4"/>
      <c r="E622" s="4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6"/>
      <c r="B623" s="36"/>
      <c r="C623" s="36"/>
      <c r="D623" s="4"/>
      <c r="E623" s="4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6"/>
      <c r="B624" s="36"/>
      <c r="C624" s="36"/>
      <c r="D624" s="4"/>
      <c r="E624" s="4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6"/>
      <c r="B625" s="36"/>
      <c r="C625" s="36"/>
      <c r="D625" s="4"/>
      <c r="E625" s="4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6"/>
      <c r="B626" s="36"/>
      <c r="C626" s="36"/>
      <c r="D626" s="4"/>
      <c r="E626" s="4"/>
      <c r="F626" s="4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6"/>
      <c r="B627" s="36"/>
      <c r="C627" s="36"/>
      <c r="D627" s="4"/>
      <c r="E627" s="4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6"/>
      <c r="B628" s="36"/>
      <c r="C628" s="36"/>
      <c r="D628" s="4"/>
      <c r="E628" s="4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6"/>
      <c r="B629" s="36"/>
      <c r="C629" s="36"/>
      <c r="D629" s="4"/>
      <c r="E629" s="4"/>
      <c r="F629" s="4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6"/>
      <c r="B630" s="36"/>
      <c r="C630" s="36"/>
      <c r="D630" s="4"/>
      <c r="E630" s="4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6"/>
      <c r="B631" s="36"/>
      <c r="C631" s="36"/>
      <c r="D631" s="4"/>
      <c r="E631" s="4"/>
      <c r="F631" s="4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6"/>
      <c r="B632" s="36"/>
      <c r="C632" s="36"/>
      <c r="D632" s="4"/>
      <c r="E632" s="4"/>
      <c r="F632" s="4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6"/>
      <c r="B633" s="36"/>
      <c r="C633" s="36"/>
      <c r="D633" s="4"/>
      <c r="E633" s="4"/>
      <c r="F633" s="4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6"/>
      <c r="B634" s="36"/>
      <c r="C634" s="36"/>
      <c r="D634" s="4"/>
      <c r="E634" s="4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6"/>
      <c r="B635" s="36"/>
      <c r="C635" s="36"/>
      <c r="D635" s="4"/>
      <c r="E635" s="4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6"/>
      <c r="B636" s="36"/>
      <c r="C636" s="36"/>
      <c r="D636" s="4"/>
      <c r="E636" s="4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6"/>
      <c r="B637" s="36"/>
      <c r="C637" s="36"/>
      <c r="D637" s="4"/>
      <c r="E637" s="4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6"/>
      <c r="B638" s="36"/>
      <c r="C638" s="36"/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6"/>
      <c r="B639" s="36"/>
      <c r="C639" s="36"/>
      <c r="D639" s="4"/>
      <c r="E639" s="4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6"/>
      <c r="B640" s="36"/>
      <c r="C640" s="36"/>
      <c r="D640" s="4"/>
      <c r="E640" s="4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6"/>
      <c r="B641" s="36"/>
      <c r="C641" s="36"/>
      <c r="D641" s="4"/>
      <c r="E641" s="4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6"/>
      <c r="B642" s="36"/>
      <c r="C642" s="36"/>
      <c r="D642" s="4"/>
      <c r="E642" s="4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6"/>
      <c r="B643" s="36"/>
      <c r="C643" s="36"/>
      <c r="D643" s="4"/>
      <c r="E643" s="4"/>
      <c r="F643" s="4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6"/>
      <c r="B644" s="36"/>
      <c r="C644" s="36"/>
      <c r="D644" s="4"/>
      <c r="E644" s="4"/>
      <c r="F644" s="4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6"/>
      <c r="B645" s="36"/>
      <c r="C645" s="36"/>
      <c r="D645" s="4"/>
      <c r="E645" s="4"/>
      <c r="F645" s="4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6"/>
      <c r="B646" s="36"/>
      <c r="C646" s="36"/>
      <c r="D646" s="4"/>
      <c r="E646" s="4"/>
      <c r="F646" s="4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6"/>
      <c r="B647" s="36"/>
      <c r="C647" s="36"/>
      <c r="D647" s="4"/>
      <c r="E647" s="4"/>
      <c r="F647" s="4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6"/>
      <c r="B648" s="36"/>
      <c r="C648" s="36"/>
      <c r="D648" s="4"/>
      <c r="E648" s="4"/>
      <c r="F648" s="4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6"/>
      <c r="B649" s="36"/>
      <c r="C649" s="36"/>
      <c r="D649" s="4"/>
      <c r="E649" s="4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6"/>
      <c r="B650" s="36"/>
      <c r="C650" s="36"/>
      <c r="D650" s="4"/>
      <c r="E650" s="4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6"/>
      <c r="B651" s="36"/>
      <c r="C651" s="36"/>
      <c r="D651" s="4"/>
      <c r="E651" s="4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6"/>
      <c r="B652" s="36"/>
      <c r="C652" s="36"/>
      <c r="D652" s="4"/>
      <c r="E652" s="4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6"/>
      <c r="B653" s="36"/>
      <c r="C653" s="36"/>
      <c r="D653" s="4"/>
      <c r="E653" s="4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6"/>
      <c r="B654" s="36"/>
      <c r="C654" s="36"/>
      <c r="D654" s="4"/>
      <c r="E654" s="4"/>
      <c r="F654" s="4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6"/>
      <c r="B655" s="36"/>
      <c r="C655" s="36"/>
      <c r="D655" s="4"/>
      <c r="E655" s="4"/>
      <c r="F655" s="4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6"/>
      <c r="B656" s="36"/>
      <c r="C656" s="36"/>
      <c r="D656" s="4"/>
      <c r="E656" s="4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6"/>
      <c r="B657" s="36"/>
      <c r="C657" s="36"/>
      <c r="D657" s="4"/>
      <c r="E657" s="4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6"/>
      <c r="B658" s="36"/>
      <c r="C658" s="36"/>
      <c r="D658" s="4"/>
      <c r="E658" s="4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6"/>
      <c r="B659" s="36"/>
      <c r="C659" s="36"/>
      <c r="D659" s="4"/>
      <c r="E659" s="4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6"/>
      <c r="B660" s="36"/>
      <c r="C660" s="36"/>
      <c r="D660" s="4"/>
      <c r="E660" s="4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6"/>
      <c r="B661" s="36"/>
      <c r="C661" s="36"/>
      <c r="D661" s="4"/>
      <c r="E661" s="4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6"/>
      <c r="B662" s="36"/>
      <c r="C662" s="36"/>
      <c r="D662" s="4"/>
      <c r="E662" s="4"/>
      <c r="F662" s="4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6"/>
      <c r="B663" s="36"/>
      <c r="C663" s="36"/>
      <c r="D663" s="4"/>
      <c r="E663" s="4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6"/>
      <c r="B664" s="36"/>
      <c r="C664" s="36"/>
      <c r="D664" s="4"/>
      <c r="E664" s="4"/>
      <c r="F664" s="4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6"/>
      <c r="B665" s="36"/>
      <c r="C665" s="36"/>
      <c r="D665" s="4"/>
      <c r="E665" s="4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6"/>
      <c r="B666" s="36"/>
      <c r="C666" s="36"/>
      <c r="D666" s="4"/>
      <c r="E666" s="4"/>
      <c r="F666" s="4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6"/>
      <c r="B667" s="36"/>
      <c r="C667" s="36"/>
      <c r="D667" s="4"/>
      <c r="E667" s="4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6"/>
      <c r="B668" s="36"/>
      <c r="C668" s="36"/>
      <c r="D668" s="4"/>
      <c r="E668" s="4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6"/>
      <c r="B669" s="36"/>
      <c r="C669" s="36"/>
      <c r="D669" s="4"/>
      <c r="E669" s="4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6"/>
      <c r="B670" s="36"/>
      <c r="C670" s="36"/>
      <c r="D670" s="4"/>
      <c r="E670" s="4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6"/>
      <c r="B671" s="36"/>
      <c r="C671" s="36"/>
      <c r="D671" s="4"/>
      <c r="E671" s="4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6"/>
      <c r="B672" s="36"/>
      <c r="C672" s="36"/>
      <c r="D672" s="4"/>
      <c r="E672" s="4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6"/>
      <c r="B673" s="36"/>
      <c r="C673" s="36"/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6"/>
      <c r="B674" s="36"/>
      <c r="C674" s="36"/>
      <c r="D674" s="4"/>
      <c r="E674" s="4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6"/>
      <c r="B675" s="36"/>
      <c r="C675" s="36"/>
      <c r="D675" s="4"/>
      <c r="E675" s="4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6"/>
      <c r="B676" s="36"/>
      <c r="C676" s="36"/>
      <c r="D676" s="4"/>
      <c r="E676" s="4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6"/>
      <c r="B677" s="36"/>
      <c r="C677" s="36"/>
      <c r="D677" s="4"/>
      <c r="E677" s="4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6"/>
      <c r="B678" s="36"/>
      <c r="C678" s="36"/>
      <c r="D678" s="4"/>
      <c r="E678" s="4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6"/>
      <c r="B679" s="36"/>
      <c r="C679" s="36"/>
      <c r="D679" s="4"/>
      <c r="E679" s="4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6"/>
      <c r="B680" s="36"/>
      <c r="C680" s="36"/>
      <c r="D680" s="4"/>
      <c r="E680" s="4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6"/>
      <c r="B681" s="36"/>
      <c r="C681" s="36"/>
      <c r="D681" s="4"/>
      <c r="E681" s="4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6"/>
      <c r="B682" s="36"/>
      <c r="C682" s="36"/>
      <c r="D682" s="4"/>
      <c r="E682" s="4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6"/>
      <c r="B683" s="36"/>
      <c r="C683" s="36"/>
      <c r="D683" s="4"/>
      <c r="E683" s="4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6"/>
      <c r="B684" s="36"/>
      <c r="C684" s="36"/>
      <c r="D684" s="4"/>
      <c r="E684" s="4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6"/>
      <c r="B685" s="36"/>
      <c r="C685" s="36"/>
      <c r="D685" s="4"/>
      <c r="E685" s="4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6"/>
      <c r="B686" s="36"/>
      <c r="C686" s="36"/>
      <c r="D686" s="4"/>
      <c r="E686" s="4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6"/>
      <c r="B687" s="36"/>
      <c r="C687" s="36"/>
      <c r="D687" s="4"/>
      <c r="E687" s="4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6"/>
      <c r="B688" s="36"/>
      <c r="C688" s="36"/>
      <c r="D688" s="4"/>
      <c r="E688" s="4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6"/>
      <c r="B689" s="36"/>
      <c r="C689" s="36"/>
      <c r="D689" s="4"/>
      <c r="E689" s="4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6"/>
      <c r="B690" s="36"/>
      <c r="C690" s="36"/>
      <c r="D690" s="4"/>
      <c r="E690" s="4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6"/>
      <c r="B691" s="36"/>
      <c r="C691" s="36"/>
      <c r="D691" s="4"/>
      <c r="E691" s="4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6"/>
      <c r="B692" s="36"/>
      <c r="C692" s="36"/>
      <c r="D692" s="4"/>
      <c r="E692" s="4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6"/>
      <c r="B693" s="36"/>
      <c r="C693" s="36"/>
      <c r="D693" s="4"/>
      <c r="E693" s="4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6"/>
      <c r="B694" s="36"/>
      <c r="C694" s="36"/>
      <c r="D694" s="4"/>
      <c r="E694" s="4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6"/>
      <c r="B695" s="36"/>
      <c r="C695" s="36"/>
      <c r="D695" s="4"/>
      <c r="E695" s="4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6"/>
      <c r="B696" s="36"/>
      <c r="C696" s="36"/>
      <c r="D696" s="4"/>
      <c r="E696" s="4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6"/>
      <c r="B697" s="36"/>
      <c r="C697" s="36"/>
      <c r="D697" s="4"/>
      <c r="E697" s="4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6"/>
      <c r="B698" s="36"/>
      <c r="C698" s="36"/>
      <c r="D698" s="4"/>
      <c r="E698" s="4"/>
      <c r="F698" s="4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6"/>
      <c r="B699" s="36"/>
      <c r="C699" s="36"/>
      <c r="D699" s="4"/>
      <c r="E699" s="4"/>
      <c r="F699" s="4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6"/>
      <c r="B700" s="36"/>
      <c r="C700" s="36"/>
      <c r="D700" s="4"/>
      <c r="E700" s="4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6"/>
      <c r="B701" s="36"/>
      <c r="C701" s="36"/>
      <c r="D701" s="4"/>
      <c r="E701" s="4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6"/>
      <c r="B702" s="36"/>
      <c r="C702" s="36"/>
      <c r="D702" s="4"/>
      <c r="E702" s="4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6"/>
      <c r="B703" s="36"/>
      <c r="C703" s="36"/>
      <c r="D703" s="4"/>
      <c r="E703" s="4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6"/>
      <c r="B704" s="36"/>
      <c r="C704" s="36"/>
      <c r="D704" s="4"/>
      <c r="E704" s="4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6"/>
      <c r="B705" s="36"/>
      <c r="C705" s="36"/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6"/>
      <c r="B706" s="36"/>
      <c r="C706" s="36"/>
      <c r="D706" s="4"/>
      <c r="E706" s="4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6"/>
      <c r="B707" s="36"/>
      <c r="C707" s="36"/>
      <c r="D707" s="4"/>
      <c r="E707" s="4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6"/>
      <c r="B708" s="36"/>
      <c r="C708" s="36"/>
      <c r="D708" s="4"/>
      <c r="E708" s="4"/>
      <c r="F708" s="4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6"/>
      <c r="B709" s="36"/>
      <c r="C709" s="36"/>
      <c r="D709" s="4"/>
      <c r="E709" s="4"/>
      <c r="F709" s="4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6"/>
      <c r="B710" s="36"/>
      <c r="C710" s="36"/>
      <c r="D710" s="4"/>
      <c r="E710" s="4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6"/>
      <c r="B711" s="36"/>
      <c r="C711" s="36"/>
      <c r="D711" s="4"/>
      <c r="E711" s="4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6"/>
      <c r="B712" s="36"/>
      <c r="C712" s="36"/>
      <c r="D712" s="4"/>
      <c r="E712" s="4"/>
      <c r="F712" s="4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6"/>
      <c r="B713" s="36"/>
      <c r="C713" s="36"/>
      <c r="D713" s="4"/>
      <c r="E713" s="4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6"/>
      <c r="B714" s="36"/>
      <c r="C714" s="36"/>
      <c r="D714" s="4"/>
      <c r="E714" s="4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6"/>
      <c r="B715" s="36"/>
      <c r="C715" s="36"/>
      <c r="D715" s="4"/>
      <c r="E715" s="4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6"/>
      <c r="B716" s="36"/>
      <c r="C716" s="36"/>
      <c r="D716" s="4"/>
      <c r="E716" s="4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6"/>
      <c r="B717" s="36"/>
      <c r="C717" s="36"/>
      <c r="D717" s="4"/>
      <c r="E717" s="4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6"/>
      <c r="B718" s="36"/>
      <c r="C718" s="36"/>
      <c r="D718" s="4"/>
      <c r="E718" s="4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6"/>
      <c r="B719" s="36"/>
      <c r="C719" s="36"/>
      <c r="D719" s="4"/>
      <c r="E719" s="4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6"/>
      <c r="B720" s="36"/>
      <c r="C720" s="36"/>
      <c r="D720" s="4"/>
      <c r="E720" s="4"/>
      <c r="F720" s="4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6"/>
      <c r="B721" s="36"/>
      <c r="C721" s="36"/>
      <c r="D721" s="4"/>
      <c r="E721" s="4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6"/>
      <c r="B722" s="36"/>
      <c r="C722" s="36"/>
      <c r="D722" s="4"/>
      <c r="E722" s="4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6"/>
      <c r="B723" s="36"/>
      <c r="C723" s="36"/>
      <c r="D723" s="4"/>
      <c r="E723" s="4"/>
      <c r="F723" s="4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6"/>
      <c r="B724" s="36"/>
      <c r="C724" s="36"/>
      <c r="D724" s="4"/>
      <c r="E724" s="4"/>
      <c r="F724" s="4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6"/>
      <c r="B725" s="36"/>
      <c r="C725" s="36"/>
      <c r="D725" s="4"/>
      <c r="E725" s="4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6"/>
      <c r="B726" s="36"/>
      <c r="C726" s="36"/>
      <c r="D726" s="4"/>
      <c r="E726" s="4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6"/>
      <c r="B727" s="36"/>
      <c r="C727" s="36"/>
      <c r="D727" s="4"/>
      <c r="E727" s="4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6"/>
      <c r="B728" s="36"/>
      <c r="C728" s="36"/>
      <c r="D728" s="4"/>
      <c r="E728" s="4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6"/>
      <c r="B729" s="36"/>
      <c r="C729" s="36"/>
      <c r="D729" s="4"/>
      <c r="E729" s="4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6"/>
      <c r="B730" s="36"/>
      <c r="C730" s="36"/>
      <c r="D730" s="4"/>
      <c r="E730" s="4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6"/>
      <c r="B731" s="36"/>
      <c r="C731" s="36"/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6"/>
      <c r="B732" s="36"/>
      <c r="C732" s="36"/>
      <c r="D732" s="4"/>
      <c r="E732" s="4"/>
      <c r="F732" s="4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6"/>
      <c r="B733" s="36"/>
      <c r="C733" s="36"/>
      <c r="D733" s="4"/>
      <c r="E733" s="4"/>
      <c r="F733" s="4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6"/>
      <c r="B734" s="36"/>
      <c r="C734" s="36"/>
      <c r="D734" s="4"/>
      <c r="E734" s="4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6"/>
      <c r="B735" s="36"/>
      <c r="C735" s="36"/>
      <c r="D735" s="4"/>
      <c r="E735" s="4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6"/>
      <c r="B736" s="36"/>
      <c r="C736" s="36"/>
      <c r="D736" s="4"/>
      <c r="E736" s="4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6"/>
      <c r="B737" s="36"/>
      <c r="C737" s="36"/>
      <c r="D737" s="4"/>
      <c r="E737" s="4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6"/>
      <c r="B738" s="36"/>
      <c r="C738" s="36"/>
      <c r="D738" s="4"/>
      <c r="E738" s="4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6"/>
      <c r="B739" s="36"/>
      <c r="C739" s="36"/>
      <c r="D739" s="4"/>
      <c r="E739" s="4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6"/>
      <c r="B740" s="36"/>
      <c r="C740" s="36"/>
      <c r="D740" s="4"/>
      <c r="E740" s="4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6"/>
      <c r="B741" s="36"/>
      <c r="C741" s="36"/>
      <c r="D741" s="4"/>
      <c r="E741" s="4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6"/>
      <c r="B742" s="36"/>
      <c r="C742" s="36"/>
      <c r="D742" s="4"/>
      <c r="E742" s="4"/>
      <c r="F742" s="4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6"/>
      <c r="B743" s="36"/>
      <c r="C743" s="36"/>
      <c r="D743" s="4"/>
      <c r="E743" s="4"/>
      <c r="F743" s="4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6"/>
      <c r="B744" s="36"/>
      <c r="C744" s="36"/>
      <c r="D744" s="4"/>
      <c r="E744" s="4"/>
      <c r="F744" s="4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6"/>
      <c r="B745" s="36"/>
      <c r="C745" s="36"/>
      <c r="D745" s="4"/>
      <c r="E745" s="4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6"/>
      <c r="B746" s="36"/>
      <c r="C746" s="36"/>
      <c r="D746" s="4"/>
      <c r="E746" s="4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6"/>
      <c r="B747" s="36"/>
      <c r="C747" s="36"/>
      <c r="D747" s="4"/>
      <c r="E747" s="4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6"/>
      <c r="B748" s="36"/>
      <c r="C748" s="36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6"/>
      <c r="B749" s="36"/>
      <c r="C749" s="36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6"/>
      <c r="B750" s="36"/>
      <c r="C750" s="36"/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6"/>
      <c r="B751" s="36"/>
      <c r="C751" s="36"/>
      <c r="D751" s="4"/>
      <c r="E751" s="4"/>
      <c r="F751" s="4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6"/>
      <c r="B752" s="36"/>
      <c r="C752" s="36"/>
      <c r="D752" s="4"/>
      <c r="E752" s="4"/>
      <c r="F752" s="4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6"/>
      <c r="B753" s="36"/>
      <c r="C753" s="36"/>
      <c r="D753" s="4"/>
      <c r="E753" s="4"/>
      <c r="F753" s="4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6"/>
      <c r="B754" s="36"/>
      <c r="C754" s="36"/>
      <c r="D754" s="4"/>
      <c r="E754" s="4"/>
      <c r="F754" s="4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6"/>
      <c r="B755" s="36"/>
      <c r="C755" s="36"/>
      <c r="D755" s="4"/>
      <c r="E755" s="4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6"/>
      <c r="B756" s="36"/>
      <c r="C756" s="36"/>
      <c r="D756" s="4"/>
      <c r="E756" s="4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6"/>
      <c r="B757" s="36"/>
      <c r="C757" s="36"/>
      <c r="D757" s="4"/>
      <c r="E757" s="4"/>
      <c r="F757" s="4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6"/>
      <c r="B758" s="36"/>
      <c r="C758" s="36"/>
      <c r="D758" s="4"/>
      <c r="E758" s="4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6"/>
      <c r="B759" s="36"/>
      <c r="C759" s="36"/>
      <c r="D759" s="4"/>
      <c r="E759" s="4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6"/>
      <c r="B760" s="36"/>
      <c r="C760" s="36"/>
      <c r="D760" s="4"/>
      <c r="E760" s="4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6"/>
      <c r="B761" s="36"/>
      <c r="C761" s="36"/>
      <c r="D761" s="4"/>
      <c r="E761" s="4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6"/>
      <c r="B762" s="36"/>
      <c r="C762" s="36"/>
      <c r="D762" s="4"/>
      <c r="E762" s="4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6"/>
      <c r="B763" s="36"/>
      <c r="C763" s="36"/>
      <c r="D763" s="4"/>
      <c r="E763" s="4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6"/>
      <c r="B764" s="36"/>
      <c r="C764" s="36"/>
      <c r="D764" s="4"/>
      <c r="E764" s="4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6"/>
      <c r="B765" s="36"/>
      <c r="C765" s="36"/>
      <c r="D765" s="4"/>
      <c r="E765" s="4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6"/>
      <c r="B766" s="36"/>
      <c r="C766" s="36"/>
      <c r="D766" s="4"/>
      <c r="E766" s="4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6"/>
      <c r="B767" s="36"/>
      <c r="C767" s="36"/>
      <c r="D767" s="4"/>
      <c r="E767" s="4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6"/>
      <c r="B768" s="36"/>
      <c r="C768" s="36"/>
      <c r="D768" s="4"/>
      <c r="E768" s="4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6"/>
      <c r="B769" s="36"/>
      <c r="C769" s="36"/>
      <c r="D769" s="4"/>
      <c r="E769" s="4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6"/>
      <c r="B770" s="36"/>
      <c r="C770" s="36"/>
      <c r="D770" s="4"/>
      <c r="E770" s="4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6"/>
      <c r="B771" s="36"/>
      <c r="C771" s="36"/>
      <c r="D771" s="4"/>
      <c r="E771" s="4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6"/>
      <c r="B772" s="36"/>
      <c r="C772" s="36"/>
      <c r="D772" s="4"/>
      <c r="E772" s="4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6"/>
      <c r="B773" s="36"/>
      <c r="C773" s="36"/>
      <c r="D773" s="4"/>
      <c r="E773" s="4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6"/>
      <c r="B774" s="36"/>
      <c r="C774" s="36"/>
      <c r="D774" s="4"/>
      <c r="E774" s="4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6"/>
      <c r="B775" s="36"/>
      <c r="C775" s="36"/>
      <c r="D775" s="4"/>
      <c r="E775" s="4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6"/>
      <c r="B776" s="36"/>
      <c r="C776" s="36"/>
      <c r="D776" s="4"/>
      <c r="E776" s="4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6"/>
      <c r="B777" s="36"/>
      <c r="C777" s="36"/>
      <c r="D777" s="4"/>
      <c r="E777" s="4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6"/>
      <c r="B778" s="36"/>
      <c r="C778" s="36"/>
      <c r="D778" s="4"/>
      <c r="E778" s="4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6"/>
      <c r="B779" s="36"/>
      <c r="C779" s="36"/>
      <c r="D779" s="4"/>
      <c r="E779" s="4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6"/>
      <c r="B780" s="36"/>
      <c r="C780" s="36"/>
      <c r="D780" s="4"/>
      <c r="E780" s="4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6"/>
      <c r="B781" s="36"/>
      <c r="C781" s="36"/>
      <c r="D781" s="4"/>
      <c r="E781" s="4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6"/>
      <c r="B782" s="36"/>
      <c r="C782" s="36"/>
      <c r="D782" s="4"/>
      <c r="E782" s="4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6"/>
      <c r="B783" s="36"/>
      <c r="C783" s="36"/>
      <c r="D783" s="4"/>
      <c r="E783" s="4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6"/>
      <c r="B784" s="36"/>
      <c r="C784" s="36"/>
      <c r="D784" s="4"/>
      <c r="E784" s="4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6"/>
      <c r="B785" s="36"/>
      <c r="C785" s="36"/>
      <c r="D785" s="4"/>
      <c r="E785" s="4"/>
      <c r="F785" s="4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6"/>
      <c r="B786" s="36"/>
      <c r="C786" s="36"/>
      <c r="D786" s="4"/>
      <c r="E786" s="4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6"/>
      <c r="B787" s="36"/>
      <c r="C787" s="36"/>
      <c r="D787" s="4"/>
      <c r="E787" s="4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6"/>
      <c r="B788" s="36"/>
      <c r="C788" s="36"/>
      <c r="D788" s="4"/>
      <c r="E788" s="4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6"/>
      <c r="B789" s="36"/>
      <c r="C789" s="36"/>
      <c r="D789" s="4"/>
      <c r="E789" s="4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6"/>
      <c r="B790" s="36"/>
      <c r="C790" s="36"/>
      <c r="D790" s="4"/>
      <c r="E790" s="4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6"/>
      <c r="B791" s="36"/>
      <c r="C791" s="36"/>
      <c r="D791" s="4"/>
      <c r="E791" s="4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6"/>
      <c r="B792" s="36"/>
      <c r="C792" s="36"/>
      <c r="D792" s="4"/>
      <c r="E792" s="4"/>
      <c r="F792" s="4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6"/>
      <c r="B793" s="36"/>
      <c r="C793" s="36"/>
      <c r="D793" s="4"/>
      <c r="E793" s="4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6"/>
      <c r="B794" s="36"/>
      <c r="C794" s="36"/>
      <c r="D794" s="4"/>
      <c r="E794" s="4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6"/>
      <c r="B795" s="36"/>
      <c r="C795" s="36"/>
      <c r="D795" s="4"/>
      <c r="E795" s="4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6"/>
      <c r="B796" s="36"/>
      <c r="C796" s="36"/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6"/>
      <c r="B797" s="36"/>
      <c r="C797" s="36"/>
      <c r="D797" s="4"/>
      <c r="E797" s="4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6"/>
      <c r="B798" s="36"/>
      <c r="C798" s="36"/>
      <c r="D798" s="4"/>
      <c r="E798" s="4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6"/>
      <c r="B799" s="36"/>
      <c r="C799" s="36"/>
      <c r="D799" s="4"/>
      <c r="E799" s="4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6"/>
      <c r="B800" s="36"/>
      <c r="C800" s="36"/>
      <c r="D800" s="4"/>
      <c r="E800" s="4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6"/>
      <c r="B801" s="36"/>
      <c r="C801" s="36"/>
      <c r="D801" s="4"/>
      <c r="E801" s="4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6"/>
      <c r="B802" s="36"/>
      <c r="C802" s="36"/>
      <c r="D802" s="4"/>
      <c r="E802" s="4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6"/>
      <c r="B803" s="36"/>
      <c r="C803" s="36"/>
      <c r="D803" s="4"/>
      <c r="E803" s="4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6"/>
      <c r="B804" s="36"/>
      <c r="C804" s="36"/>
      <c r="D804" s="4"/>
      <c r="E804" s="4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6"/>
      <c r="B805" s="36"/>
      <c r="C805" s="36"/>
      <c r="D805" s="4"/>
      <c r="E805" s="4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6"/>
      <c r="B806" s="36"/>
      <c r="C806" s="36"/>
      <c r="D806" s="4"/>
      <c r="E806" s="4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6"/>
      <c r="B807" s="36"/>
      <c r="C807" s="36"/>
      <c r="D807" s="4"/>
      <c r="E807" s="4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6"/>
      <c r="B808" s="36"/>
      <c r="C808" s="36"/>
      <c r="D808" s="4"/>
      <c r="E808" s="4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6"/>
      <c r="B809" s="36"/>
      <c r="C809" s="36"/>
      <c r="D809" s="4"/>
      <c r="E809" s="4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6"/>
      <c r="B810" s="36"/>
      <c r="C810" s="36"/>
      <c r="D810" s="4"/>
      <c r="E810" s="4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6"/>
      <c r="B811" s="36"/>
      <c r="C811" s="36"/>
      <c r="D811" s="4"/>
      <c r="E811" s="4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6"/>
      <c r="B812" s="36"/>
      <c r="C812" s="36"/>
      <c r="D812" s="4"/>
      <c r="E812" s="4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6"/>
      <c r="B813" s="36"/>
      <c r="C813" s="36"/>
      <c r="D813" s="4"/>
      <c r="E813" s="4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6"/>
      <c r="B814" s="36"/>
      <c r="C814" s="36"/>
      <c r="D814" s="4"/>
      <c r="E814" s="4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6"/>
      <c r="B815" s="36"/>
      <c r="C815" s="36"/>
      <c r="D815" s="4"/>
      <c r="E815" s="4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6"/>
      <c r="B816" s="36"/>
      <c r="C816" s="36"/>
      <c r="D816" s="4"/>
      <c r="E816" s="4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6"/>
      <c r="B817" s="36"/>
      <c r="C817" s="36"/>
      <c r="D817" s="4"/>
      <c r="E817" s="4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6"/>
      <c r="B818" s="36"/>
      <c r="C818" s="36"/>
      <c r="D818" s="4"/>
      <c r="E818" s="4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6"/>
      <c r="B819" s="36"/>
      <c r="C819" s="36"/>
      <c r="D819" s="4"/>
      <c r="E819" s="4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6"/>
      <c r="B820" s="36"/>
      <c r="C820" s="36"/>
      <c r="D820" s="4"/>
      <c r="E820" s="4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6"/>
      <c r="B821" s="36"/>
      <c r="C821" s="36"/>
      <c r="D821" s="4"/>
      <c r="E821" s="4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6"/>
      <c r="B822" s="36"/>
      <c r="C822" s="36"/>
      <c r="D822" s="4"/>
      <c r="E822" s="4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6"/>
      <c r="B823" s="36"/>
      <c r="C823" s="36"/>
      <c r="D823" s="4"/>
      <c r="E823" s="4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36"/>
      <c r="B824" s="36"/>
      <c r="C824" s="36"/>
      <c r="D824" s="4"/>
      <c r="E824" s="4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36"/>
      <c r="B825" s="36"/>
      <c r="C825" s="36"/>
      <c r="D825" s="4"/>
      <c r="E825" s="4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36"/>
      <c r="B826" s="36"/>
      <c r="C826" s="36"/>
      <c r="D826" s="4"/>
      <c r="E826" s="4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36"/>
      <c r="B827" s="36"/>
      <c r="C827" s="36"/>
      <c r="D827" s="4"/>
      <c r="E827" s="4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36"/>
      <c r="B828" s="36"/>
      <c r="C828" s="36"/>
      <c r="D828" s="4"/>
      <c r="E828" s="4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36"/>
      <c r="B829" s="36"/>
      <c r="C829" s="36"/>
      <c r="D829" s="4"/>
      <c r="E829" s="4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36"/>
      <c r="B830" s="36"/>
      <c r="C830" s="36"/>
      <c r="D830" s="4"/>
      <c r="E830" s="4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36"/>
      <c r="B831" s="36"/>
      <c r="C831" s="36"/>
      <c r="D831" s="4"/>
      <c r="E831" s="4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36"/>
      <c r="B832" s="36"/>
      <c r="C832" s="36"/>
      <c r="D832" s="4"/>
      <c r="E832" s="4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36"/>
      <c r="B833" s="36"/>
      <c r="C833" s="36"/>
      <c r="D833" s="4"/>
      <c r="E833" s="4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36"/>
      <c r="B834" s="36"/>
      <c r="C834" s="36"/>
      <c r="D834" s="4"/>
      <c r="E834" s="4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36"/>
      <c r="B835" s="36"/>
      <c r="C835" s="36"/>
      <c r="D835" s="4"/>
      <c r="E835" s="4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36"/>
      <c r="B836" s="36"/>
      <c r="C836" s="36"/>
      <c r="D836" s="4"/>
      <c r="E836" s="4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36"/>
      <c r="B837" s="36"/>
      <c r="C837" s="36"/>
      <c r="D837" s="4"/>
      <c r="E837" s="4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36"/>
      <c r="B838" s="36"/>
      <c r="C838" s="36"/>
      <c r="D838" s="4"/>
      <c r="E838" s="4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36"/>
      <c r="B839" s="36"/>
      <c r="C839" s="36"/>
      <c r="D839" s="4"/>
      <c r="E839" s="4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36"/>
      <c r="B840" s="36"/>
      <c r="C840" s="36"/>
      <c r="D840" s="4"/>
      <c r="E840" s="4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36"/>
      <c r="B841" s="36"/>
      <c r="C841" s="36"/>
      <c r="D841" s="4"/>
      <c r="E841" s="4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36"/>
      <c r="B842" s="36"/>
      <c r="C842" s="36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36"/>
      <c r="B843" s="36"/>
      <c r="C843" s="36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36"/>
      <c r="B844" s="36"/>
      <c r="C844" s="36"/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36"/>
      <c r="B845" s="36"/>
      <c r="C845" s="36"/>
      <c r="D845" s="4"/>
      <c r="E845" s="4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36"/>
      <c r="B846" s="36"/>
      <c r="C846" s="36"/>
      <c r="D846" s="4"/>
      <c r="E846" s="4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36"/>
      <c r="B847" s="36"/>
      <c r="C847" s="36"/>
      <c r="D847" s="4"/>
      <c r="E847" s="4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36"/>
      <c r="B848" s="36"/>
      <c r="C848" s="36"/>
      <c r="D848" s="4"/>
      <c r="E848" s="4"/>
      <c r="F848" s="4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36"/>
      <c r="B849" s="36"/>
      <c r="C849" s="36"/>
      <c r="D849" s="4"/>
      <c r="E849" s="4"/>
      <c r="F849" s="4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36"/>
      <c r="B850" s="36"/>
      <c r="C850" s="36"/>
      <c r="D850" s="4"/>
      <c r="E850" s="4"/>
      <c r="F850" s="4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36"/>
      <c r="B851" s="36"/>
      <c r="C851" s="36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36"/>
      <c r="B852" s="36"/>
      <c r="C852" s="36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36"/>
      <c r="B853" s="36"/>
      <c r="C853" s="36"/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36"/>
      <c r="B854" s="36"/>
      <c r="C854" s="36"/>
      <c r="D854" s="4"/>
      <c r="E854" s="4"/>
      <c r="F854" s="4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36"/>
      <c r="B855" s="36"/>
      <c r="C855" s="36"/>
      <c r="D855" s="4"/>
      <c r="E855" s="4"/>
      <c r="F855" s="4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36"/>
      <c r="B856" s="36"/>
      <c r="C856" s="36"/>
      <c r="D856" s="4"/>
      <c r="E856" s="4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36"/>
      <c r="B857" s="36"/>
      <c r="C857" s="36"/>
      <c r="D857" s="4"/>
      <c r="E857" s="4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36"/>
      <c r="B858" s="36"/>
      <c r="C858" s="36"/>
      <c r="D858" s="4"/>
      <c r="E858" s="4"/>
      <c r="F858" s="4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36"/>
      <c r="B859" s="36"/>
      <c r="C859" s="36"/>
      <c r="D859" s="4"/>
      <c r="E859" s="4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36"/>
      <c r="B860" s="36"/>
      <c r="C860" s="36"/>
      <c r="D860" s="4"/>
      <c r="E860" s="4"/>
      <c r="F860" s="4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36"/>
      <c r="B861" s="36"/>
      <c r="C861" s="36"/>
      <c r="D861" s="4"/>
      <c r="E861" s="4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36"/>
      <c r="B862" s="36"/>
      <c r="C862" s="36"/>
      <c r="D862" s="4"/>
      <c r="E862" s="4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36"/>
      <c r="B863" s="36"/>
      <c r="C863" s="36"/>
      <c r="D863" s="4"/>
      <c r="E863" s="4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36"/>
      <c r="B864" s="36"/>
      <c r="C864" s="36"/>
      <c r="D864" s="4"/>
      <c r="E864" s="4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36"/>
      <c r="B865" s="36"/>
      <c r="C865" s="36"/>
      <c r="D865" s="4"/>
      <c r="E865" s="4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36"/>
      <c r="B866" s="36"/>
      <c r="C866" s="36"/>
      <c r="D866" s="4"/>
      <c r="E866" s="4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36"/>
      <c r="B867" s="36"/>
      <c r="C867" s="36"/>
      <c r="D867" s="4"/>
      <c r="E867" s="4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36"/>
      <c r="B868" s="36"/>
      <c r="C868" s="36"/>
      <c r="D868" s="4"/>
      <c r="E868" s="4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36"/>
      <c r="B869" s="36"/>
      <c r="C869" s="36"/>
      <c r="D869" s="4"/>
      <c r="E869" s="4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36"/>
      <c r="B870" s="36"/>
      <c r="C870" s="36"/>
      <c r="D870" s="4"/>
      <c r="E870" s="4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36"/>
      <c r="B871" s="36"/>
      <c r="C871" s="36"/>
      <c r="D871" s="4"/>
      <c r="E871" s="4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36"/>
      <c r="B872" s="36"/>
      <c r="C872" s="36"/>
      <c r="D872" s="4"/>
      <c r="E872" s="4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36"/>
      <c r="B873" s="36"/>
      <c r="C873" s="36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36"/>
      <c r="B874" s="36"/>
      <c r="C874" s="36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36"/>
      <c r="B875" s="36"/>
      <c r="C875" s="36"/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36"/>
      <c r="B876" s="36"/>
      <c r="C876" s="36"/>
      <c r="D876" s="4"/>
      <c r="E876" s="4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36"/>
      <c r="B877" s="36"/>
      <c r="C877" s="36"/>
      <c r="D877" s="4"/>
      <c r="E877" s="4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36"/>
      <c r="B878" s="36"/>
      <c r="C878" s="36"/>
      <c r="D878" s="4"/>
      <c r="E878" s="4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36"/>
      <c r="B879" s="36"/>
      <c r="C879" s="36"/>
      <c r="D879" s="4"/>
      <c r="E879" s="4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36"/>
      <c r="B880" s="36"/>
      <c r="C880" s="36"/>
      <c r="D880" s="4"/>
      <c r="E880" s="4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36"/>
      <c r="B881" s="36"/>
      <c r="C881" s="36"/>
      <c r="D881" s="4"/>
      <c r="E881" s="4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36"/>
      <c r="B882" s="36"/>
      <c r="C882" s="36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36"/>
      <c r="B883" s="36"/>
      <c r="C883" s="36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36"/>
      <c r="B884" s="36"/>
      <c r="C884" s="36"/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36"/>
      <c r="B885" s="36"/>
      <c r="C885" s="36"/>
      <c r="D885" s="4"/>
      <c r="E885" s="4"/>
      <c r="F885" s="4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36"/>
      <c r="B886" s="36"/>
      <c r="C886" s="36"/>
      <c r="D886" s="4"/>
      <c r="E886" s="4"/>
      <c r="F886" s="4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36"/>
      <c r="B887" s="36"/>
      <c r="C887" s="36"/>
      <c r="D887" s="4"/>
      <c r="E887" s="4"/>
      <c r="F887" s="4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36"/>
      <c r="B888" s="36"/>
      <c r="C888" s="36"/>
      <c r="D888" s="4"/>
      <c r="E888" s="4"/>
      <c r="F888" s="4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36"/>
      <c r="B889" s="36"/>
      <c r="C889" s="36"/>
      <c r="D889" s="4"/>
      <c r="E889" s="4"/>
      <c r="F889" s="4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36"/>
      <c r="B890" s="36"/>
      <c r="C890" s="36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36"/>
      <c r="B891" s="36"/>
      <c r="C891" s="36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36"/>
      <c r="B892" s="36"/>
      <c r="C892" s="36"/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36"/>
      <c r="B893" s="36"/>
      <c r="C893" s="36"/>
      <c r="D893" s="4"/>
      <c r="E893" s="4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36"/>
      <c r="B894" s="36"/>
      <c r="C894" s="36"/>
      <c r="D894" s="4"/>
      <c r="E894" s="4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36"/>
      <c r="B895" s="36"/>
      <c r="C895" s="36"/>
      <c r="D895" s="4"/>
      <c r="E895" s="4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36"/>
      <c r="B896" s="36"/>
      <c r="C896" s="36"/>
      <c r="D896" s="4"/>
      <c r="E896" s="4"/>
      <c r="F896" s="4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36"/>
      <c r="B897" s="36"/>
      <c r="C897" s="36"/>
      <c r="D897" s="4"/>
      <c r="E897" s="4"/>
      <c r="F897" s="4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36"/>
      <c r="B898" s="36"/>
      <c r="C898" s="36"/>
      <c r="D898" s="4"/>
      <c r="E898" s="4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36"/>
      <c r="B899" s="36"/>
      <c r="C899" s="36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36"/>
      <c r="B900" s="36"/>
      <c r="C900" s="36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36"/>
      <c r="B901" s="36"/>
      <c r="C901" s="36"/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36"/>
      <c r="B902" s="36"/>
      <c r="C902" s="36"/>
      <c r="D902" s="4"/>
      <c r="E902" s="4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36"/>
      <c r="B903" s="36"/>
      <c r="C903" s="36"/>
      <c r="D903" s="4"/>
      <c r="E903" s="4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36"/>
      <c r="B904" s="36"/>
      <c r="C904" s="36"/>
      <c r="D904" s="4"/>
      <c r="E904" s="4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36"/>
      <c r="B905" s="36"/>
      <c r="C905" s="36"/>
      <c r="D905" s="4"/>
      <c r="E905" s="4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36"/>
      <c r="B906" s="36"/>
      <c r="C906" s="36"/>
      <c r="D906" s="4"/>
      <c r="E906" s="4"/>
      <c r="F906" s="4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36"/>
      <c r="B907" s="36"/>
      <c r="C907" s="36"/>
      <c r="D907" s="4"/>
      <c r="E907" s="4"/>
      <c r="F907" s="4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36"/>
      <c r="B908" s="36"/>
      <c r="C908" s="36"/>
      <c r="D908" s="4"/>
      <c r="E908" s="4"/>
      <c r="F908" s="4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36"/>
      <c r="B909" s="36"/>
      <c r="C909" s="36"/>
      <c r="D909" s="4"/>
      <c r="E909" s="4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36"/>
      <c r="B910" s="36"/>
      <c r="C910" s="36"/>
      <c r="D910" s="4"/>
      <c r="E910" s="4"/>
      <c r="F910" s="4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36"/>
      <c r="B911" s="36"/>
      <c r="C911" s="36"/>
      <c r="D911" s="4"/>
      <c r="E911" s="4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36"/>
      <c r="B912" s="36"/>
      <c r="C912" s="36"/>
      <c r="D912" s="4"/>
      <c r="E912" s="4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36"/>
      <c r="B913" s="36"/>
      <c r="C913" s="36"/>
      <c r="D913" s="4"/>
      <c r="E913" s="4"/>
      <c r="F913" s="4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36"/>
      <c r="B914" s="36"/>
      <c r="C914" s="36"/>
      <c r="D914" s="4"/>
      <c r="E914" s="4"/>
      <c r="F914" s="4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36"/>
      <c r="B915" s="36"/>
      <c r="C915" s="36"/>
      <c r="D915" s="4"/>
      <c r="E915" s="4"/>
      <c r="F915" s="4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36"/>
      <c r="B916" s="36"/>
      <c r="C916" s="36"/>
      <c r="D916" s="4"/>
      <c r="E916" s="4"/>
      <c r="F916" s="4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36"/>
      <c r="B917" s="36"/>
      <c r="C917" s="36"/>
      <c r="D917" s="4"/>
      <c r="E917" s="4"/>
      <c r="F917" s="4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36"/>
      <c r="B918" s="36"/>
      <c r="C918" s="36"/>
      <c r="D918" s="4"/>
      <c r="E918" s="4"/>
      <c r="F918" s="4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36"/>
      <c r="B919" s="36"/>
      <c r="C919" s="36"/>
      <c r="D919" s="4"/>
      <c r="E919" s="4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36"/>
      <c r="B920" s="36"/>
      <c r="C920" s="36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36"/>
      <c r="B921" s="36"/>
      <c r="C921" s="36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36"/>
      <c r="B922" s="36"/>
      <c r="C922" s="36"/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36"/>
      <c r="B923" s="36"/>
      <c r="C923" s="36"/>
      <c r="D923" s="4"/>
      <c r="E923" s="4"/>
      <c r="F923" s="4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36"/>
      <c r="B924" s="36"/>
      <c r="C924" s="36"/>
      <c r="D924" s="4"/>
      <c r="E924" s="4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36"/>
      <c r="B925" s="36"/>
      <c r="C925" s="36"/>
      <c r="D925" s="4"/>
      <c r="E925" s="4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36"/>
      <c r="B926" s="36"/>
      <c r="C926" s="36"/>
      <c r="D926" s="4"/>
      <c r="E926" s="4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36"/>
      <c r="B927" s="36"/>
      <c r="C927" s="36"/>
      <c r="D927" s="4"/>
      <c r="E927" s="4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36"/>
      <c r="B928" s="36"/>
      <c r="C928" s="36"/>
      <c r="D928" s="4"/>
      <c r="E928" s="4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36"/>
      <c r="B929" s="36"/>
      <c r="C929" s="36"/>
      <c r="D929" s="4"/>
      <c r="E929" s="4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36"/>
      <c r="B930" s="36"/>
      <c r="C930" s="36"/>
      <c r="D930" s="4"/>
      <c r="E930" s="4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36"/>
      <c r="B931" s="36"/>
      <c r="C931" s="36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36"/>
      <c r="B932" s="36"/>
      <c r="C932" s="36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36"/>
      <c r="B933" s="36"/>
      <c r="C933" s="36"/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36"/>
      <c r="B934" s="36"/>
      <c r="C934" s="36"/>
      <c r="D934" s="4"/>
      <c r="E934" s="4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36"/>
      <c r="B935" s="36"/>
      <c r="C935" s="36"/>
      <c r="D935" s="4"/>
      <c r="E935" s="4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36"/>
      <c r="B936" s="36"/>
      <c r="C936" s="36"/>
      <c r="D936" s="4"/>
      <c r="E936" s="4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36"/>
      <c r="B937" s="36"/>
      <c r="C937" s="36"/>
      <c r="D937" s="4"/>
      <c r="E937" s="4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36"/>
      <c r="B938" s="36"/>
      <c r="C938" s="36"/>
      <c r="D938" s="4"/>
      <c r="E938" s="4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36"/>
      <c r="B939" s="36"/>
      <c r="C939" s="36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36"/>
      <c r="B940" s="36"/>
      <c r="C940" s="36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36"/>
      <c r="B941" s="36"/>
      <c r="C941" s="36"/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36"/>
      <c r="B942" s="36"/>
      <c r="C942" s="36"/>
      <c r="D942" s="4"/>
      <c r="E942" s="4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36"/>
      <c r="B943" s="36"/>
      <c r="C943" s="36"/>
      <c r="D943" s="4"/>
      <c r="E943" s="4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36"/>
      <c r="B944" s="36"/>
      <c r="C944" s="36"/>
      <c r="D944" s="4"/>
      <c r="E944" s="4"/>
      <c r="F944" s="4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36"/>
      <c r="B945" s="36"/>
      <c r="C945" s="36"/>
      <c r="D945" s="4"/>
      <c r="E945" s="4"/>
      <c r="F945" s="4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36"/>
      <c r="B946" s="36"/>
      <c r="C946" s="36"/>
      <c r="D946" s="4"/>
      <c r="E946" s="4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36"/>
      <c r="B947" s="36"/>
      <c r="C947" s="36"/>
      <c r="D947" s="4"/>
      <c r="E947" s="4"/>
      <c r="F947" s="4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36"/>
      <c r="B948" s="36"/>
      <c r="C948" s="36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36"/>
      <c r="B949" s="36"/>
      <c r="C949" s="36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36"/>
      <c r="B950" s="36"/>
      <c r="C950" s="36"/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36"/>
      <c r="B951" s="36"/>
      <c r="C951" s="36"/>
      <c r="D951" s="4"/>
      <c r="E951" s="4"/>
      <c r="F951" s="4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36"/>
      <c r="B952" s="36"/>
      <c r="C952" s="36"/>
      <c r="D952" s="4"/>
      <c r="E952" s="4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36"/>
      <c r="B953" s="36"/>
      <c r="C953" s="36"/>
      <c r="D953" s="4"/>
      <c r="E953" s="4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36"/>
      <c r="B954" s="36"/>
      <c r="C954" s="36"/>
      <c r="D954" s="4"/>
      <c r="E954" s="4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36"/>
      <c r="B955" s="36"/>
      <c r="C955" s="36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36"/>
      <c r="B956" s="36"/>
      <c r="C956" s="36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36"/>
      <c r="B957" s="36"/>
      <c r="C957" s="36"/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36"/>
      <c r="B958" s="36"/>
      <c r="C958" s="36"/>
      <c r="D958" s="4"/>
      <c r="E958" s="4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36"/>
      <c r="B959" s="36"/>
      <c r="C959" s="36"/>
      <c r="D959" s="4"/>
      <c r="E959" s="4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36"/>
      <c r="B960" s="36"/>
      <c r="C960" s="36"/>
      <c r="D960" s="4"/>
      <c r="E960" s="4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36"/>
      <c r="B961" s="36"/>
      <c r="C961" s="36"/>
      <c r="D961" s="4"/>
      <c r="E961" s="4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36"/>
      <c r="B962" s="36"/>
      <c r="C962" s="36"/>
      <c r="D962" s="4"/>
      <c r="E962" s="4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36"/>
      <c r="B963" s="36"/>
      <c r="C963" s="36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36"/>
      <c r="B964" s="36"/>
      <c r="C964" s="36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36"/>
      <c r="B965" s="36"/>
      <c r="C965" s="36"/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36"/>
      <c r="B966" s="36"/>
      <c r="C966" s="36"/>
      <c r="D966" s="4"/>
      <c r="E966" s="4"/>
      <c r="F966" s="4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36"/>
      <c r="B967" s="36"/>
      <c r="C967" s="36"/>
      <c r="D967" s="4"/>
      <c r="E967" s="4"/>
      <c r="F967" s="4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36"/>
      <c r="B968" s="36"/>
      <c r="C968" s="36"/>
      <c r="D968" s="4"/>
      <c r="E968" s="4"/>
      <c r="F968" s="4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36"/>
      <c r="B969" s="36"/>
      <c r="C969" s="36"/>
      <c r="D969" s="4"/>
      <c r="E969" s="4"/>
      <c r="F969" s="4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36"/>
      <c r="B970" s="36"/>
      <c r="C970" s="36"/>
      <c r="D970" s="4"/>
      <c r="E970" s="4"/>
      <c r="F970" s="4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36"/>
      <c r="B971" s="36"/>
      <c r="C971" s="36"/>
      <c r="D971" s="4"/>
      <c r="E971" s="4"/>
      <c r="F971" s="4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36"/>
      <c r="B972" s="36"/>
      <c r="C972" s="36"/>
      <c r="D972" s="4"/>
      <c r="E972" s="4"/>
      <c r="F972" s="4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36"/>
      <c r="B973" s="36"/>
      <c r="C973" s="36"/>
      <c r="D973" s="4"/>
      <c r="E973" s="4"/>
      <c r="F973" s="4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36"/>
      <c r="B974" s="36"/>
      <c r="C974" s="36"/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36"/>
      <c r="B975" s="36"/>
      <c r="C975" s="36"/>
      <c r="D975" s="4"/>
      <c r="E975" s="4"/>
      <c r="F975" s="4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36"/>
      <c r="B976" s="36"/>
      <c r="C976" s="36"/>
      <c r="D976" s="4"/>
      <c r="E976" s="4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36"/>
      <c r="B977" s="36"/>
      <c r="C977" s="36"/>
      <c r="D977" s="4"/>
      <c r="E977" s="4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36"/>
      <c r="B978" s="36"/>
      <c r="C978" s="36"/>
      <c r="D978" s="4"/>
      <c r="E978" s="4"/>
      <c r="F978" s="4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36"/>
      <c r="B979" s="36"/>
      <c r="C979" s="36"/>
      <c r="D979" s="4"/>
      <c r="E979" s="4"/>
      <c r="F979" s="4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36"/>
      <c r="B980" s="36"/>
      <c r="C980" s="36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36"/>
      <c r="B981" s="36"/>
      <c r="C981" s="36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36"/>
      <c r="B982" s="36"/>
      <c r="C982" s="36"/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36"/>
      <c r="B983" s="36"/>
      <c r="C983" s="36"/>
      <c r="D983" s="4"/>
      <c r="E983" s="4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36"/>
      <c r="B984" s="36"/>
      <c r="C984" s="36"/>
      <c r="D984" s="4"/>
      <c r="E984" s="4"/>
      <c r="F984" s="4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36"/>
      <c r="B985" s="36"/>
      <c r="C985" s="36"/>
      <c r="D985" s="4"/>
      <c r="E985" s="4"/>
      <c r="F985" s="4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36"/>
      <c r="B986" s="36"/>
      <c r="C986" s="36"/>
      <c r="D986" s="4"/>
      <c r="E986" s="4"/>
      <c r="F986" s="4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36"/>
      <c r="B987" s="36"/>
      <c r="C987" s="36"/>
      <c r="D987" s="4"/>
      <c r="E987" s="4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36"/>
      <c r="B988" s="36"/>
      <c r="C988" s="36"/>
      <c r="D988" s="4"/>
      <c r="E988" s="4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36"/>
      <c r="B989" s="36"/>
      <c r="C989" s="36"/>
      <c r="D989" s="4"/>
      <c r="E989" s="4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36"/>
      <c r="B990" s="36"/>
      <c r="C990" s="36"/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36"/>
      <c r="B991" s="36"/>
      <c r="C991" s="36"/>
      <c r="D991" s="4"/>
      <c r="E991" s="4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36"/>
      <c r="B992" s="36"/>
      <c r="C992" s="36"/>
      <c r="D992" s="4"/>
      <c r="E992" s="4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36"/>
      <c r="B993" s="36"/>
      <c r="C993" s="36"/>
      <c r="D993" s="4"/>
      <c r="E993" s="4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36"/>
      <c r="B994" s="36"/>
      <c r="C994" s="36"/>
      <c r="D994" s="4"/>
      <c r="E994" s="4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36"/>
      <c r="B995" s="36"/>
      <c r="C995" s="36"/>
      <c r="D995" s="4"/>
      <c r="E995" s="4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36"/>
      <c r="B996" s="36"/>
      <c r="C996" s="36"/>
      <c r="D996" s="4"/>
      <c r="E996" s="4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36"/>
      <c r="B997" s="36"/>
      <c r="C997" s="36"/>
      <c r="D997" s="4"/>
      <c r="E997" s="4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36"/>
      <c r="B998" s="36"/>
      <c r="C998" s="36"/>
      <c r="D998" s="4"/>
      <c r="E998" s="4"/>
      <c r="F998" s="4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36"/>
      <c r="B999" s="36"/>
      <c r="C999" s="36"/>
      <c r="D999" s="4"/>
      <c r="E999" s="4"/>
      <c r="F999" s="4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E5:G5"/>
  </mergeCells>
  <printOptions/>
  <pageMargins bottom="0.5" footer="0.0" header="0.0" left="0.0" right="0.0" top="0.5"/>
  <pageSetup paperSize="5" scale="7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0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136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5.06650578996E9</v>
      </c>
      <c r="E9" s="6">
        <v>4.802931367E7</v>
      </c>
      <c r="F9" s="6">
        <f t="shared" ref="F9:F27" si="1">D9-E9</f>
        <v>5018476476</v>
      </c>
      <c r="G9" s="6">
        <v>4.538049056E9</v>
      </c>
      <c r="H9" s="5">
        <v>7521.0</v>
      </c>
      <c r="I9" s="6">
        <v>1.241912876E7</v>
      </c>
      <c r="J9" s="4">
        <v>3.560498254E7</v>
      </c>
      <c r="K9" s="4">
        <f t="shared" ref="K9:K27" si="2">I9-J9</f>
        <v>-23185853.78</v>
      </c>
      <c r="L9" s="4">
        <f>I9+Mar!L9</f>
        <v>66050609.28</v>
      </c>
      <c r="M9" s="4">
        <f>J9+Mar!M9</f>
        <v>185831456.9</v>
      </c>
      <c r="N9" s="4">
        <f t="shared" ref="N9:N27" si="3">L9-M9</f>
        <v>-119780847.6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137</v>
      </c>
      <c r="D10" s="6">
        <v>7.9023011264E8</v>
      </c>
      <c r="E10" s="6">
        <v>3471619.14</v>
      </c>
      <c r="F10" s="6">
        <f t="shared" si="1"/>
        <v>786758493.5</v>
      </c>
      <c r="G10" s="6">
        <v>7.1142735222E8</v>
      </c>
      <c r="H10" s="5">
        <v>4302.0</v>
      </c>
      <c r="I10" s="6">
        <v>1.8285443690000005E7</v>
      </c>
      <c r="J10" s="4">
        <v>3.0400784419999994E7</v>
      </c>
      <c r="K10" s="4">
        <f t="shared" si="2"/>
        <v>-12115340.73</v>
      </c>
      <c r="L10" s="4">
        <f>I10+Mar!L10</f>
        <v>163647976.2</v>
      </c>
      <c r="M10" s="4">
        <f>J10+Mar!M10</f>
        <v>104370780</v>
      </c>
      <c r="N10" s="4">
        <f t="shared" si="3"/>
        <v>59277196.19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138</v>
      </c>
      <c r="D11" s="6">
        <v>1.05140340177E9</v>
      </c>
      <c r="E11" s="6">
        <v>2896197.83</v>
      </c>
      <c r="F11" s="6">
        <f t="shared" si="1"/>
        <v>1048507204</v>
      </c>
      <c r="G11" s="6">
        <v>9.9227864967E8</v>
      </c>
      <c r="H11" s="5">
        <v>2790.0</v>
      </c>
      <c r="I11" s="6">
        <v>9371667.609999998</v>
      </c>
      <c r="J11" s="4">
        <v>6.277606747999998E7</v>
      </c>
      <c r="K11" s="4">
        <f t="shared" si="2"/>
        <v>-53404399.87</v>
      </c>
      <c r="L11" s="4">
        <f>I11+Mar!L11</f>
        <v>55920275.83</v>
      </c>
      <c r="M11" s="4">
        <f>J11+Mar!M11</f>
        <v>96175145.5</v>
      </c>
      <c r="N11" s="4">
        <f t="shared" si="3"/>
        <v>-40254869.67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6">
        <v>3.5728096662E8</v>
      </c>
      <c r="E12" s="6">
        <v>1.050345774E7</v>
      </c>
      <c r="F12" s="6">
        <f t="shared" si="1"/>
        <v>346777508.9</v>
      </c>
      <c r="G12" s="6">
        <v>1.6171799778E8</v>
      </c>
      <c r="H12" s="5">
        <v>1647.0</v>
      </c>
      <c r="I12" s="6">
        <v>5929188.2</v>
      </c>
      <c r="J12" s="4">
        <v>327919.81</v>
      </c>
      <c r="K12" s="4">
        <f t="shared" si="2"/>
        <v>5601268.39</v>
      </c>
      <c r="L12" s="4">
        <f>I12+Mar!L12</f>
        <v>10995882.02</v>
      </c>
      <c r="M12" s="4">
        <f>J12+Mar!M12</f>
        <v>6615423.15</v>
      </c>
      <c r="N12" s="4">
        <f t="shared" si="3"/>
        <v>4380458.87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25</v>
      </c>
      <c r="D13" s="6">
        <v>5.4212780431E8</v>
      </c>
      <c r="E13" s="6">
        <v>1.364627318E7</v>
      </c>
      <c r="F13" s="6">
        <f t="shared" si="1"/>
        <v>528481531.1</v>
      </c>
      <c r="G13" s="6">
        <v>2.85219813E8</v>
      </c>
      <c r="H13" s="5">
        <v>1509.0</v>
      </c>
      <c r="I13" s="6">
        <v>2466414.5</v>
      </c>
      <c r="J13" s="4">
        <v>657838.7000000001</v>
      </c>
      <c r="K13" s="4">
        <f t="shared" si="2"/>
        <v>1808575.8</v>
      </c>
      <c r="L13" s="4">
        <f>I13+Mar!L13</f>
        <v>20431901.22</v>
      </c>
      <c r="M13" s="4">
        <f>J13+Mar!M13</f>
        <v>10752231.12</v>
      </c>
      <c r="N13" s="4">
        <f t="shared" si="3"/>
        <v>9679670.099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6">
        <v>4.320452500599999E9</v>
      </c>
      <c r="E14" s="6">
        <v>1.1403369795E8</v>
      </c>
      <c r="F14" s="6">
        <f t="shared" si="1"/>
        <v>4206418803</v>
      </c>
      <c r="G14" s="6">
        <v>3.60760956484E9</v>
      </c>
      <c r="H14" s="5">
        <v>16521.0</v>
      </c>
      <c r="I14" s="6">
        <v>6.812826781599998E7</v>
      </c>
      <c r="J14" s="4">
        <v>3.899618137999983E7</v>
      </c>
      <c r="K14" s="4">
        <f t="shared" si="2"/>
        <v>29132086.44</v>
      </c>
      <c r="L14" s="4">
        <f>I14+Mar!L14</f>
        <v>311962297.2</v>
      </c>
      <c r="M14" s="4">
        <f>J14+Mar!M14</f>
        <v>287010971.7</v>
      </c>
      <c r="N14" s="4">
        <f t="shared" si="3"/>
        <v>24951325.5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139</v>
      </c>
      <c r="D15" s="6">
        <v>9.24031066E7</v>
      </c>
      <c r="E15" s="6">
        <v>2330194.35</v>
      </c>
      <c r="F15" s="6">
        <f t="shared" si="1"/>
        <v>90072912.25</v>
      </c>
      <c r="G15" s="6">
        <v>8.821349085E7</v>
      </c>
      <c r="H15" s="5">
        <v>533.0</v>
      </c>
      <c r="I15" s="6">
        <v>1995715.661</v>
      </c>
      <c r="J15" s="4">
        <v>475006.28000000014</v>
      </c>
      <c r="K15" s="4">
        <f t="shared" si="2"/>
        <v>1520709.381</v>
      </c>
      <c r="L15" s="4">
        <f>I15+Mar!L15</f>
        <v>7887905.827</v>
      </c>
      <c r="M15" s="4">
        <f>J15+Mar!M15</f>
        <v>4612966.651</v>
      </c>
      <c r="N15" s="4">
        <f t="shared" si="3"/>
        <v>3274939.177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6">
        <v>1.3908794251E8</v>
      </c>
      <c r="E16" s="6">
        <v>1368397.49</v>
      </c>
      <c r="F16" s="6">
        <f t="shared" si="1"/>
        <v>137719545</v>
      </c>
      <c r="G16" s="6">
        <v>1.2918487778E8</v>
      </c>
      <c r="H16" s="5">
        <v>51.0</v>
      </c>
      <c r="I16" s="6">
        <v>0.0</v>
      </c>
      <c r="J16" s="4">
        <v>0.0</v>
      </c>
      <c r="K16" s="4">
        <f t="shared" si="2"/>
        <v>0</v>
      </c>
      <c r="L16" s="4">
        <f>I16+Mar!L16</f>
        <v>1600000</v>
      </c>
      <c r="M16" s="4">
        <f>J16+Mar!M16</f>
        <v>950000</v>
      </c>
      <c r="N16" s="4">
        <f t="shared" si="3"/>
        <v>650000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6">
        <v>1.671261868835E10</v>
      </c>
      <c r="E17" s="6">
        <v>1.0532459653E8</v>
      </c>
      <c r="F17" s="6">
        <f t="shared" si="1"/>
        <v>16607294092</v>
      </c>
      <c r="G17" s="6">
        <v>1.650066181486E10</v>
      </c>
      <c r="H17" s="5">
        <v>12720.0</v>
      </c>
      <c r="I17" s="6">
        <v>1.6300182497E8</v>
      </c>
      <c r="J17" s="4">
        <v>6331981.91</v>
      </c>
      <c r="K17" s="4">
        <f t="shared" si="2"/>
        <v>156669843.1</v>
      </c>
      <c r="L17" s="4">
        <f>I17+Mar!L17</f>
        <v>815560763.7</v>
      </c>
      <c r="M17" s="4">
        <f>J17+Mar!M17</f>
        <v>58691299.83</v>
      </c>
      <c r="N17" s="4">
        <f t="shared" si="3"/>
        <v>756869463.9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6">
        <v>3.368636821957E10</v>
      </c>
      <c r="E18" s="6">
        <v>2.1088593467E8</v>
      </c>
      <c r="F18" s="6">
        <f t="shared" si="1"/>
        <v>33475482285</v>
      </c>
      <c r="G18" s="6">
        <v>3.08496024491E10</v>
      </c>
      <c r="H18" s="5">
        <v>12574.0</v>
      </c>
      <c r="I18" s="6">
        <v>8.06475606E7</v>
      </c>
      <c r="J18" s="4">
        <v>5.587226188E7</v>
      </c>
      <c r="K18" s="4">
        <f t="shared" si="2"/>
        <v>24775298.72</v>
      </c>
      <c r="L18" s="4">
        <f>I18+Mar!L18</f>
        <v>400729013.9</v>
      </c>
      <c r="M18" s="4">
        <f>J18+Mar!M18</f>
        <v>429973433.2</v>
      </c>
      <c r="N18" s="4">
        <f t="shared" si="3"/>
        <v>-29244419.28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6">
        <v>2.33304961758255E9</v>
      </c>
      <c r="E19" s="6">
        <v>3.6031658624E7</v>
      </c>
      <c r="F19" s="6">
        <f t="shared" si="1"/>
        <v>2297017959</v>
      </c>
      <c r="G19" s="6">
        <v>2.06708955399196E9</v>
      </c>
      <c r="H19" s="5">
        <v>5674.0</v>
      </c>
      <c r="I19" s="6">
        <v>9033937.19</v>
      </c>
      <c r="J19" s="4">
        <v>2.368486214E7</v>
      </c>
      <c r="K19" s="4">
        <f t="shared" si="2"/>
        <v>-14650924.95</v>
      </c>
      <c r="L19" s="4">
        <f>I19+Mar!L19</f>
        <v>73955441.61</v>
      </c>
      <c r="M19" s="4">
        <f>J19+Mar!M19</f>
        <v>230057953.9</v>
      </c>
      <c r="N19" s="4">
        <f t="shared" si="3"/>
        <v>-156102512.3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6">
        <v>1.02325766051477E10</v>
      </c>
      <c r="E20" s="6">
        <v>3.63453357694998E7</v>
      </c>
      <c r="F20" s="6">
        <f t="shared" si="1"/>
        <v>10196231269</v>
      </c>
      <c r="G20" s="6">
        <v>9.52020361209E9</v>
      </c>
      <c r="H20" s="5">
        <v>37059.0</v>
      </c>
      <c r="I20" s="6">
        <v>1.639899805E7</v>
      </c>
      <c r="J20" s="4">
        <v>5.897888035E7</v>
      </c>
      <c r="K20" s="4">
        <f t="shared" si="2"/>
        <v>-42579882.3</v>
      </c>
      <c r="L20" s="4">
        <f>I20+Mar!L20</f>
        <v>116571936.1</v>
      </c>
      <c r="M20" s="4">
        <f>J20+Mar!M20</f>
        <v>243954626.9</v>
      </c>
      <c r="N20" s="4">
        <f t="shared" si="3"/>
        <v>-127382690.8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6">
        <v>3.28340895137189E8</v>
      </c>
      <c r="E21" s="6">
        <v>658940.850000101</v>
      </c>
      <c r="F21" s="6">
        <f t="shared" si="1"/>
        <v>327681954.3</v>
      </c>
      <c r="G21" s="6">
        <v>3.2391354756E8</v>
      </c>
      <c r="H21" s="5">
        <v>1014.0</v>
      </c>
      <c r="I21" s="6">
        <v>579164.0</v>
      </c>
      <c r="J21" s="4">
        <v>495181.6</v>
      </c>
      <c r="K21" s="4">
        <f t="shared" si="2"/>
        <v>83982.4</v>
      </c>
      <c r="L21" s="4">
        <f>I21+Mar!L21</f>
        <v>3941107.31</v>
      </c>
      <c r="M21" s="4">
        <f>J21+Mar!M21</f>
        <v>1927398.83</v>
      </c>
      <c r="N21" s="4">
        <f t="shared" si="3"/>
        <v>2013708.48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6">
        <v>3.7054217818556E9</v>
      </c>
      <c r="E22" s="6">
        <v>8201614.26679989</v>
      </c>
      <c r="F22" s="6">
        <f t="shared" si="1"/>
        <v>3697220168</v>
      </c>
      <c r="G22" s="6">
        <v>3.64668382942869E9</v>
      </c>
      <c r="H22" s="5">
        <v>27641.0</v>
      </c>
      <c r="I22" s="6">
        <v>1.769764553E7</v>
      </c>
      <c r="J22" s="4">
        <v>4.866469361E7</v>
      </c>
      <c r="K22" s="4">
        <f t="shared" si="2"/>
        <v>-30967048.08</v>
      </c>
      <c r="L22" s="4">
        <f>I22+Mar!L22</f>
        <v>117796036.3</v>
      </c>
      <c r="M22" s="4">
        <f>J22+Mar!M22</f>
        <v>160419584.5</v>
      </c>
      <c r="N22" s="4">
        <f t="shared" si="3"/>
        <v>-42623548.23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6">
        <v>9.85328567032E9</v>
      </c>
      <c r="E23" s="6">
        <v>2.116456101E7</v>
      </c>
      <c r="F23" s="6">
        <f t="shared" si="1"/>
        <v>9832121109</v>
      </c>
      <c r="G23" s="6">
        <v>9.76833370025E9</v>
      </c>
      <c r="H23" s="5">
        <v>14801.0</v>
      </c>
      <c r="I23" s="6">
        <v>6526133.74</v>
      </c>
      <c r="J23" s="4">
        <v>2.1020742816E8</v>
      </c>
      <c r="K23" s="4">
        <f t="shared" si="2"/>
        <v>-203681294.4</v>
      </c>
      <c r="L23" s="4">
        <f>I23+Mar!L23</f>
        <v>26057192.8</v>
      </c>
      <c r="M23" s="4">
        <f>J23+Mar!M23</f>
        <v>628925569.3</v>
      </c>
      <c r="N23" s="4">
        <f t="shared" si="3"/>
        <v>-602868376.5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19" t="s">
        <v>36</v>
      </c>
      <c r="D24" s="6">
        <v>2.52841140607E9</v>
      </c>
      <c r="E24" s="6">
        <v>1.669645522E7</v>
      </c>
      <c r="F24" s="6">
        <f t="shared" si="1"/>
        <v>2511714951</v>
      </c>
      <c r="G24" s="6">
        <v>2.37700011201E9</v>
      </c>
      <c r="H24" s="5">
        <v>13005.0</v>
      </c>
      <c r="I24" s="6">
        <v>7.491618167999992E7</v>
      </c>
      <c r="J24" s="4">
        <v>1600593.2300000002</v>
      </c>
      <c r="K24" s="4">
        <f t="shared" si="2"/>
        <v>73315588.45</v>
      </c>
      <c r="L24" s="4">
        <f>I24+Mar!L24</f>
        <v>205228938.7</v>
      </c>
      <c r="M24" s="4">
        <f>J24+Mar!M24</f>
        <v>8896631.26</v>
      </c>
      <c r="N24" s="4">
        <f t="shared" si="3"/>
        <v>196332307.5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v>17.0</v>
      </c>
      <c r="C25" s="21" t="s">
        <v>37</v>
      </c>
      <c r="D25" s="6">
        <v>7.3536356962E9</v>
      </c>
      <c r="E25" s="6">
        <v>6.854099315E7</v>
      </c>
      <c r="F25" s="6">
        <f t="shared" si="1"/>
        <v>7285094703</v>
      </c>
      <c r="G25" s="6">
        <v>7.1554717607E9</v>
      </c>
      <c r="H25" s="5">
        <v>65670.0</v>
      </c>
      <c r="I25" s="6">
        <v>4.658620829E7</v>
      </c>
      <c r="J25" s="4">
        <v>3.752124993E7</v>
      </c>
      <c r="K25" s="4">
        <f t="shared" si="2"/>
        <v>9064958.36</v>
      </c>
      <c r="L25" s="4">
        <f>I25+Mar!L25</f>
        <v>284517635</v>
      </c>
      <c r="M25" s="4">
        <f>J25+Mar!M25</f>
        <v>359080769.1</v>
      </c>
      <c r="N25" s="4">
        <f t="shared" si="3"/>
        <v>-74563134.08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v>18.0</v>
      </c>
      <c r="C26" s="21" t="s">
        <v>38</v>
      </c>
      <c r="D26" s="6">
        <v>1.168435512991E10</v>
      </c>
      <c r="E26" s="6">
        <v>2.2938945577E8</v>
      </c>
      <c r="F26" s="6">
        <f t="shared" si="1"/>
        <v>11454965674</v>
      </c>
      <c r="G26" s="6">
        <v>1.139430824818E10</v>
      </c>
      <c r="H26" s="5">
        <v>55768.0</v>
      </c>
      <c r="I26" s="6">
        <v>4.0070631823E8</v>
      </c>
      <c r="J26" s="4">
        <v>2.3446804678E8</v>
      </c>
      <c r="K26" s="4">
        <f t="shared" si="2"/>
        <v>166238271.5</v>
      </c>
      <c r="L26" s="4">
        <f>I26+Mar!L26</f>
        <v>1326211264</v>
      </c>
      <c r="M26" s="4">
        <f>J26+Mar!M26</f>
        <v>1028590906</v>
      </c>
      <c r="N26" s="4">
        <f t="shared" si="3"/>
        <v>297620358.5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6">
        <v>6.162996571380002E8</v>
      </c>
      <c r="E27" s="6">
        <v>1827281.0127777832</v>
      </c>
      <c r="F27" s="6">
        <f t="shared" si="1"/>
        <v>614472376.1</v>
      </c>
      <c r="G27" s="6">
        <v>5.502937594000003E8</v>
      </c>
      <c r="H27" s="5">
        <v>1307.0</v>
      </c>
      <c r="I27" s="6">
        <v>831472.44</v>
      </c>
      <c r="J27" s="4">
        <v>321301.97</v>
      </c>
      <c r="K27" s="4">
        <f t="shared" si="2"/>
        <v>510170.47</v>
      </c>
      <c r="L27" s="4">
        <f>I27+Mar!L27</f>
        <v>10565849.27</v>
      </c>
      <c r="M27" s="4">
        <f>J27+Mar!M27</f>
        <v>3731732.01</v>
      </c>
      <c r="N27" s="4">
        <f t="shared" si="3"/>
        <v>6834117.26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5"/>
      <c r="I28" s="6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3"/>
      <c r="B29" s="2">
        <v>20.0</v>
      </c>
      <c r="C29" s="3" t="s">
        <v>41</v>
      </c>
      <c r="D29" s="6">
        <v>3.70182975824001E8</v>
      </c>
      <c r="E29" s="6">
        <v>786131.529000001</v>
      </c>
      <c r="F29" s="6">
        <f t="shared" ref="F29:F30" si="4">D29-E29</f>
        <v>369396844.3</v>
      </c>
      <c r="G29" s="6">
        <v>3.1405409292E8</v>
      </c>
      <c r="H29" s="5">
        <v>1475.0</v>
      </c>
      <c r="I29" s="6">
        <v>6278896.68</v>
      </c>
      <c r="J29" s="4">
        <v>512339.96</v>
      </c>
      <c r="K29" s="4">
        <f t="shared" ref="K29:K30" si="5">I29-J29</f>
        <v>5766556.72</v>
      </c>
      <c r="L29" s="4">
        <f>I29+Mar!L29</f>
        <v>56772676.14</v>
      </c>
      <c r="M29" s="4">
        <f>J29+Mar!M29</f>
        <v>9887111.66</v>
      </c>
      <c r="N29" s="4">
        <f t="shared" ref="N29:N30" si="6">L29-M29</f>
        <v>46885564.48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35</v>
      </c>
      <c r="D30" s="6">
        <v>2.8775254433E8</v>
      </c>
      <c r="E30" s="6">
        <v>1290731.94</v>
      </c>
      <c r="F30" s="6">
        <f t="shared" si="4"/>
        <v>286461812.4</v>
      </c>
      <c r="G30" s="6">
        <v>2.81220153E8</v>
      </c>
      <c r="H30" s="5">
        <v>269922.0</v>
      </c>
      <c r="I30" s="6">
        <v>5.134616688E7</v>
      </c>
      <c r="J30" s="4">
        <v>6338777.35</v>
      </c>
      <c r="K30" s="4">
        <f t="shared" si="5"/>
        <v>45007389.53</v>
      </c>
      <c r="L30" s="4">
        <f>I30+Mar!L30</f>
        <v>343303841</v>
      </c>
      <c r="M30" s="4">
        <f>J30+Mar!M30</f>
        <v>33554939.58</v>
      </c>
      <c r="N30" s="4">
        <f t="shared" si="6"/>
        <v>309748901.5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18" t="s">
        <v>42</v>
      </c>
      <c r="B31" s="2"/>
      <c r="C31" s="3"/>
      <c r="D31" s="6"/>
      <c r="E31" s="6"/>
      <c r="F31" s="6"/>
      <c r="G31" s="6"/>
      <c r="H31" s="5"/>
      <c r="I31" s="6"/>
      <c r="J31" s="4"/>
      <c r="K31" s="4"/>
      <c r="L31" s="4"/>
      <c r="M31" s="4"/>
      <c r="N31" s="4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1.25" customHeight="1">
      <c r="A32" s="3"/>
      <c r="B32" s="2">
        <v>22.0</v>
      </c>
      <c r="C32" s="3" t="s">
        <v>43</v>
      </c>
      <c r="D32" s="6">
        <v>2.13949098838E9</v>
      </c>
      <c r="E32" s="6">
        <v>6323546.12</v>
      </c>
      <c r="F32" s="6">
        <f>D32-E32</f>
        <v>2133167442</v>
      </c>
      <c r="G32" s="6">
        <v>2.10944490845E9</v>
      </c>
      <c r="H32" s="5">
        <v>3162.0</v>
      </c>
      <c r="I32" s="6">
        <v>1.9322915E7</v>
      </c>
      <c r="J32" s="4">
        <v>0.0</v>
      </c>
      <c r="K32" s="4">
        <f>I32-J32</f>
        <v>19322915</v>
      </c>
      <c r="L32" s="4">
        <f>I32+Mar!L32</f>
        <v>56604301</v>
      </c>
      <c r="M32" s="4">
        <f>J32+Mar!M32</f>
        <v>4442925</v>
      </c>
      <c r="N32" s="4">
        <f>L32-M32</f>
        <v>52161376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22" t="s">
        <v>44</v>
      </c>
      <c r="B33" s="23"/>
      <c r="C33" s="1"/>
      <c r="D33" s="24">
        <f t="shared" ref="D33:N33" si="7">SUM(D9:D32)</f>
        <v>114191281501</v>
      </c>
      <c r="E33" s="24">
        <f t="shared" si="7"/>
        <v>939746387.8</v>
      </c>
      <c r="F33" s="24">
        <f t="shared" si="7"/>
        <v>113251535113</v>
      </c>
      <c r="G33" s="24">
        <f t="shared" si="7"/>
        <v>107371982344</v>
      </c>
      <c r="H33" s="25">
        <f t="shared" si="7"/>
        <v>556666</v>
      </c>
      <c r="I33" s="24">
        <f t="shared" si="7"/>
        <v>1012469250</v>
      </c>
      <c r="J33" s="26">
        <f t="shared" si="7"/>
        <v>854236379.5</v>
      </c>
      <c r="K33" s="26">
        <f t="shared" si="7"/>
        <v>158232870</v>
      </c>
      <c r="L33" s="26">
        <f t="shared" si="7"/>
        <v>4476312845</v>
      </c>
      <c r="M33" s="26">
        <f t="shared" si="7"/>
        <v>3898453856</v>
      </c>
      <c r="N33" s="26">
        <f t="shared" si="7"/>
        <v>577858988.9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2.0" customHeight="1">
      <c r="A34" s="18" t="s">
        <v>45</v>
      </c>
      <c r="B34" s="2"/>
      <c r="C34" s="3"/>
      <c r="D34" s="6"/>
      <c r="E34" s="6"/>
      <c r="F34" s="6"/>
      <c r="G34" s="6"/>
      <c r="H34" s="5"/>
      <c r="I34" s="6"/>
      <c r="J34" s="4"/>
      <c r="K34" s="4"/>
      <c r="L34" s="4"/>
      <c r="M34" s="4"/>
      <c r="N34" s="4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2.0" customHeight="1">
      <c r="A35" s="3"/>
      <c r="B35" s="2">
        <v>23.0</v>
      </c>
      <c r="C35" s="3" t="s">
        <v>140</v>
      </c>
      <c r="D35" s="6">
        <v>3.9840171001200005E7</v>
      </c>
      <c r="E35" s="6">
        <v>940783.1631</v>
      </c>
      <c r="F35" s="6">
        <f t="shared" ref="F35:F36" si="8">D35-E35</f>
        <v>38899387.84</v>
      </c>
      <c r="G35" s="27">
        <v>0.0</v>
      </c>
      <c r="H35" s="5">
        <v>56.0</v>
      </c>
      <c r="I35" s="6">
        <v>234923.86</v>
      </c>
      <c r="J35" s="4">
        <v>0.0</v>
      </c>
      <c r="K35" s="4">
        <f t="shared" ref="K35:K36" si="9">I35-J35</f>
        <v>234923.86</v>
      </c>
      <c r="L35" s="4">
        <f>I35+Mar!L35</f>
        <v>567379.14</v>
      </c>
      <c r="M35" s="4">
        <f>J35+Mar!M35</f>
        <v>5528236.92</v>
      </c>
      <c r="N35" s="4">
        <f t="shared" ref="N35:N36" si="10">L35-M35</f>
        <v>-4960857.78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47</v>
      </c>
      <c r="D36" s="6">
        <f>52.19*37783866.49</f>
        <v>1971939992</v>
      </c>
      <c r="E36" s="6">
        <f>52.19*319576.01</f>
        <v>16678671.96</v>
      </c>
      <c r="F36" s="6">
        <f t="shared" si="8"/>
        <v>1955261320</v>
      </c>
      <c r="G36" s="6">
        <v>0.0</v>
      </c>
      <c r="H36" s="5">
        <v>2776.0</v>
      </c>
      <c r="I36" s="6">
        <f>52.19*292433.69</f>
        <v>15262114.28</v>
      </c>
      <c r="J36" s="6">
        <f>52.19*329735.99</f>
        <v>17208921.32</v>
      </c>
      <c r="K36" s="4">
        <f t="shared" si="9"/>
        <v>-1946807.037</v>
      </c>
      <c r="L36" s="4">
        <f>I36+Mar!L36</f>
        <v>230622021.7</v>
      </c>
      <c r="M36" s="4">
        <f>J36+Mar!M36</f>
        <v>190485705.9</v>
      </c>
      <c r="N36" s="4">
        <f t="shared" si="10"/>
        <v>40136315.77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22" t="s">
        <v>48</v>
      </c>
      <c r="B37" s="23"/>
      <c r="C37" s="1"/>
      <c r="D37" s="24">
        <f t="shared" ref="D37:N37" si="11">SUM(D35:D36)</f>
        <v>2011780163</v>
      </c>
      <c r="E37" s="24">
        <f t="shared" si="11"/>
        <v>17619455.13</v>
      </c>
      <c r="F37" s="24">
        <f t="shared" si="11"/>
        <v>1994160708</v>
      </c>
      <c r="G37" s="24">
        <f t="shared" si="11"/>
        <v>0</v>
      </c>
      <c r="H37" s="25">
        <f t="shared" si="11"/>
        <v>2832</v>
      </c>
      <c r="I37" s="24">
        <f t="shared" si="11"/>
        <v>15497038.14</v>
      </c>
      <c r="J37" s="26">
        <f t="shared" si="11"/>
        <v>17208921.32</v>
      </c>
      <c r="K37" s="26">
        <f t="shared" si="11"/>
        <v>-1711883.177</v>
      </c>
      <c r="L37" s="26">
        <f t="shared" si="11"/>
        <v>231189400.8</v>
      </c>
      <c r="M37" s="26">
        <f t="shared" si="11"/>
        <v>196013942.8</v>
      </c>
      <c r="N37" s="26">
        <f t="shared" si="11"/>
        <v>35175457.99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2.0" customHeight="1">
      <c r="A38" s="1" t="s">
        <v>49</v>
      </c>
      <c r="B38" s="23"/>
      <c r="C38" s="1"/>
      <c r="D38" s="24">
        <f t="shared" ref="D38:N38" si="12">D33+D37</f>
        <v>116203061664</v>
      </c>
      <c r="E38" s="24">
        <f t="shared" si="12"/>
        <v>957365842.9</v>
      </c>
      <c r="F38" s="24">
        <f t="shared" si="12"/>
        <v>115245695821</v>
      </c>
      <c r="G38" s="24">
        <f t="shared" si="12"/>
        <v>107371982344</v>
      </c>
      <c r="H38" s="25">
        <f t="shared" si="12"/>
        <v>559498</v>
      </c>
      <c r="I38" s="24">
        <f t="shared" si="12"/>
        <v>1027966288</v>
      </c>
      <c r="J38" s="26">
        <f t="shared" si="12"/>
        <v>871445300.8</v>
      </c>
      <c r="K38" s="26">
        <f t="shared" si="12"/>
        <v>156520986.9</v>
      </c>
      <c r="L38" s="26">
        <f t="shared" si="12"/>
        <v>4707502246</v>
      </c>
      <c r="M38" s="26">
        <f t="shared" si="12"/>
        <v>4094467799</v>
      </c>
      <c r="N38" s="26">
        <f t="shared" si="12"/>
        <v>613034446.9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50</v>
      </c>
      <c r="B39" s="2"/>
      <c r="C39" s="3"/>
      <c r="D39" s="6"/>
      <c r="E39" s="6"/>
      <c r="F39" s="6"/>
      <c r="G39" s="6"/>
      <c r="H39" s="5"/>
      <c r="I39" s="6"/>
      <c r="J39" s="4"/>
      <c r="K39" s="4"/>
      <c r="L39" s="4"/>
      <c r="M39" s="4"/>
      <c r="N39" s="4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ht="12.0" customHeight="1">
      <c r="A40" s="18" t="s">
        <v>20</v>
      </c>
      <c r="B40" s="2"/>
      <c r="C40" s="3"/>
      <c r="D40" s="6"/>
      <c r="E40" s="6"/>
      <c r="F40" s="6"/>
      <c r="G40" s="6"/>
      <c r="H40" s="5"/>
      <c r="I40" s="6"/>
      <c r="J40" s="4"/>
      <c r="K40" s="4"/>
      <c r="L40" s="4"/>
      <c r="M40" s="4"/>
      <c r="N40" s="4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/>
      <c r="B41" s="2">
        <v>25.0</v>
      </c>
      <c r="C41" s="3" t="s">
        <v>141</v>
      </c>
      <c r="D41" s="6">
        <v>1.0349471207E8</v>
      </c>
      <c r="E41" s="6">
        <v>819797.76</v>
      </c>
      <c r="F41" s="6">
        <f t="shared" ref="F41:F50" si="13">D41-E41</f>
        <v>102674914.3</v>
      </c>
      <c r="G41" s="6">
        <v>2.40253607E7</v>
      </c>
      <c r="H41" s="5">
        <v>735.0</v>
      </c>
      <c r="I41" s="6">
        <v>2418966.6700000004</v>
      </c>
      <c r="J41" s="4">
        <v>378590.13</v>
      </c>
      <c r="K41" s="4">
        <f t="shared" ref="K41:K50" si="14">I41-J41</f>
        <v>2040376.54</v>
      </c>
      <c r="L41" s="4">
        <f>I41+Mar!L41</f>
        <v>7991064.91</v>
      </c>
      <c r="M41" s="4">
        <f>J41+Mar!M41</f>
        <v>2879753.73</v>
      </c>
      <c r="N41" s="4">
        <f t="shared" ref="N41:N50" si="15">L41-M41</f>
        <v>5111311.18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3"/>
      <c r="B42" s="2">
        <v>26.0</v>
      </c>
      <c r="C42" s="3" t="s">
        <v>142</v>
      </c>
      <c r="D42" s="6">
        <v>6.490271281E8</v>
      </c>
      <c r="E42" s="6">
        <v>4804901.49</v>
      </c>
      <c r="F42" s="6">
        <f t="shared" si="13"/>
        <v>644222226.6</v>
      </c>
      <c r="G42" s="6">
        <v>2.3800127575E8</v>
      </c>
      <c r="H42" s="5">
        <v>2488.0</v>
      </c>
      <c r="I42" s="6">
        <v>958800.7</v>
      </c>
      <c r="J42" s="4">
        <v>2889665.489999999</v>
      </c>
      <c r="K42" s="4">
        <f t="shared" si="14"/>
        <v>-1930864.79</v>
      </c>
      <c r="L42" s="4">
        <f>I42+Mar!L42</f>
        <v>7001569.8</v>
      </c>
      <c r="M42" s="4">
        <f>J42+Mar!M42</f>
        <v>28400017.6</v>
      </c>
      <c r="N42" s="4">
        <f t="shared" si="15"/>
        <v>-21398447.8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53</v>
      </c>
      <c r="D43" s="6">
        <v>1.1449038455900002E9</v>
      </c>
      <c r="E43" s="6">
        <v>2.339448235E7</v>
      </c>
      <c r="F43" s="6">
        <f t="shared" si="13"/>
        <v>1121509363</v>
      </c>
      <c r="G43" s="6">
        <v>5.6427713771E8</v>
      </c>
      <c r="H43" s="5">
        <v>4866.0</v>
      </c>
      <c r="I43" s="6">
        <v>2862232.21</v>
      </c>
      <c r="J43" s="4">
        <v>3.425686579000003E7</v>
      </c>
      <c r="K43" s="4">
        <f t="shared" si="14"/>
        <v>-31394633.58</v>
      </c>
      <c r="L43" s="4">
        <f>I43+Mar!L43</f>
        <v>13129347.28</v>
      </c>
      <c r="M43" s="4">
        <f>J43+Mar!M43</f>
        <v>157648970.8</v>
      </c>
      <c r="N43" s="4">
        <f t="shared" si="15"/>
        <v>-144519623.5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54</v>
      </c>
      <c r="D44" s="6">
        <v>2.7813191612E8</v>
      </c>
      <c r="E44" s="6">
        <v>7874835.97</v>
      </c>
      <c r="F44" s="6">
        <f t="shared" si="13"/>
        <v>270257080.2</v>
      </c>
      <c r="G44" s="6">
        <v>1.6114661446E8</v>
      </c>
      <c r="H44" s="5">
        <v>170.0</v>
      </c>
      <c r="I44" s="6">
        <v>3.52276269E7</v>
      </c>
      <c r="J44" s="4">
        <v>202855.27</v>
      </c>
      <c r="K44" s="4">
        <f t="shared" si="14"/>
        <v>35024771.63</v>
      </c>
      <c r="L44" s="4">
        <f>I44+Mar!L44</f>
        <v>265332390</v>
      </c>
      <c r="M44" s="4">
        <f>J44+Mar!M44</f>
        <v>11584495.79</v>
      </c>
      <c r="N44" s="4">
        <f t="shared" si="15"/>
        <v>253747894.2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55</v>
      </c>
      <c r="D45" s="6">
        <v>3.4656338567E8</v>
      </c>
      <c r="E45" s="6">
        <v>1437574.39</v>
      </c>
      <c r="F45" s="6">
        <f t="shared" si="13"/>
        <v>345125811.3</v>
      </c>
      <c r="G45" s="6">
        <v>1.6190190318E8</v>
      </c>
      <c r="H45" s="5">
        <v>57.0</v>
      </c>
      <c r="I45" s="6">
        <v>0.0</v>
      </c>
      <c r="J45" s="4">
        <v>0.0</v>
      </c>
      <c r="K45" s="4">
        <f t="shared" si="14"/>
        <v>0</v>
      </c>
      <c r="L45" s="4">
        <f>I45+Mar!L45</f>
        <v>0</v>
      </c>
      <c r="M45" s="4">
        <f>J45+Mar!M45</f>
        <v>1017100</v>
      </c>
      <c r="N45" s="4">
        <f t="shared" si="15"/>
        <v>-1017100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56</v>
      </c>
      <c r="D46" s="6">
        <v>6.0552406991E8</v>
      </c>
      <c r="E46" s="6">
        <v>1.2363241E7</v>
      </c>
      <c r="F46" s="6">
        <f t="shared" si="13"/>
        <v>593160828.9</v>
      </c>
      <c r="G46" s="6">
        <v>3.295855445E8</v>
      </c>
      <c r="H46" s="5">
        <v>10239.0</v>
      </c>
      <c r="I46" s="6">
        <v>231515.65</v>
      </c>
      <c r="J46" s="4">
        <v>3766449.7</v>
      </c>
      <c r="K46" s="4">
        <f t="shared" si="14"/>
        <v>-3534934.05</v>
      </c>
      <c r="L46" s="4">
        <f>I46+Mar!L46</f>
        <v>1702848.71</v>
      </c>
      <c r="M46" s="4">
        <f>J46+Mar!M46</f>
        <v>26047677.06</v>
      </c>
      <c r="N46" s="4">
        <f t="shared" si="15"/>
        <v>-24344828.35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57</v>
      </c>
      <c r="D47" s="6">
        <v>1.081639672894E10</v>
      </c>
      <c r="E47" s="6">
        <v>5.432983431E7</v>
      </c>
      <c r="F47" s="6">
        <f t="shared" si="13"/>
        <v>10762066895</v>
      </c>
      <c r="G47" s="6">
        <v>5.919119587E9</v>
      </c>
      <c r="H47" s="5">
        <v>8339.0</v>
      </c>
      <c r="I47" s="6">
        <v>1.485756698E7</v>
      </c>
      <c r="J47" s="4">
        <v>2.487911378E7</v>
      </c>
      <c r="K47" s="4">
        <f t="shared" si="14"/>
        <v>-10021546.8</v>
      </c>
      <c r="L47" s="4">
        <f>I47+Mar!L47</f>
        <v>113593009.3</v>
      </c>
      <c r="M47" s="4">
        <f>J47+Mar!M47</f>
        <v>78801706.09</v>
      </c>
      <c r="N47" s="4">
        <f t="shared" si="15"/>
        <v>34791303.21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1.25" customHeight="1">
      <c r="A48" s="18"/>
      <c r="B48" s="2">
        <v>32.0</v>
      </c>
      <c r="C48" s="3" t="s">
        <v>143</v>
      </c>
      <c r="D48" s="6">
        <v>1.4207604028E8</v>
      </c>
      <c r="E48" s="6">
        <v>587260.94</v>
      </c>
      <c r="F48" s="6">
        <f t="shared" si="13"/>
        <v>141488779.3</v>
      </c>
      <c r="G48" s="6">
        <v>8.5318553E7</v>
      </c>
      <c r="H48" s="5">
        <v>199.0</v>
      </c>
      <c r="I48" s="6">
        <v>33899.76</v>
      </c>
      <c r="J48" s="4">
        <v>0.0</v>
      </c>
      <c r="K48" s="4">
        <f t="shared" si="14"/>
        <v>33899.76</v>
      </c>
      <c r="L48" s="4">
        <f>I48+Mar!L48</f>
        <v>343876.19</v>
      </c>
      <c r="M48" s="4">
        <f>J48+Mar!M48</f>
        <v>3215519.97</v>
      </c>
      <c r="N48" s="4">
        <f t="shared" si="15"/>
        <v>-2871643.78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v>33.0</v>
      </c>
      <c r="C49" s="3" t="s">
        <v>59</v>
      </c>
      <c r="D49" s="6">
        <v>7.73928520775E9</v>
      </c>
      <c r="E49" s="6">
        <v>5.904797853E7</v>
      </c>
      <c r="F49" s="6">
        <f t="shared" si="13"/>
        <v>7680237229</v>
      </c>
      <c r="G49" s="6">
        <v>4.6578436324E9</v>
      </c>
      <c r="H49" s="5">
        <v>53148.0</v>
      </c>
      <c r="I49" s="6">
        <v>1.292574933E7</v>
      </c>
      <c r="J49" s="4">
        <v>5.064338867E7</v>
      </c>
      <c r="K49" s="4">
        <f t="shared" si="14"/>
        <v>-37717639.34</v>
      </c>
      <c r="L49" s="4">
        <f>I49+Mar!L49</f>
        <v>66266312.09</v>
      </c>
      <c r="M49" s="4">
        <f>J49+Mar!M49</f>
        <v>222412689.3</v>
      </c>
      <c r="N49" s="4">
        <f t="shared" si="15"/>
        <v>-156146377.2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60</v>
      </c>
      <c r="D50" s="6">
        <v>1.27283659453E9</v>
      </c>
      <c r="E50" s="6">
        <v>5.428287546E7</v>
      </c>
      <c r="F50" s="6">
        <f t="shared" si="13"/>
        <v>1218553719</v>
      </c>
      <c r="G50" s="6">
        <v>8.607919639E8</v>
      </c>
      <c r="H50" s="5">
        <v>4998.0</v>
      </c>
      <c r="I50" s="6">
        <v>0.0</v>
      </c>
      <c r="J50" s="4">
        <v>2259356.15</v>
      </c>
      <c r="K50" s="4">
        <f t="shared" si="14"/>
        <v>-2259356.15</v>
      </c>
      <c r="L50" s="4">
        <f>I50+Mar!L50</f>
        <v>0</v>
      </c>
      <c r="M50" s="4">
        <f>J50+Mar!M50</f>
        <v>40890684.46</v>
      </c>
      <c r="N50" s="4">
        <f t="shared" si="15"/>
        <v>-40890684.46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18" t="s">
        <v>40</v>
      </c>
      <c r="B51" s="2"/>
      <c r="C51" s="3"/>
      <c r="D51" s="6"/>
      <c r="E51" s="6"/>
      <c r="F51" s="6"/>
      <c r="G51" s="6"/>
      <c r="H51" s="5"/>
      <c r="I51" s="6"/>
      <c r="J51" s="4"/>
      <c r="K51" s="4"/>
      <c r="L51" s="4"/>
      <c r="M51" s="4"/>
      <c r="N51" s="4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v>35.0</v>
      </c>
      <c r="C52" s="3" t="s">
        <v>61</v>
      </c>
      <c r="D52" s="6">
        <v>7.213752807E7</v>
      </c>
      <c r="E52" s="6">
        <v>637265.63</v>
      </c>
      <c r="F52" s="6">
        <f t="shared" ref="F52:F54" si="16">D52-E52</f>
        <v>71500262.44</v>
      </c>
      <c r="G52" s="6">
        <v>2.56150934E7</v>
      </c>
      <c r="H52" s="5">
        <v>924.0</v>
      </c>
      <c r="I52" s="6">
        <v>388416.21</v>
      </c>
      <c r="J52" s="4">
        <v>102677.31</v>
      </c>
      <c r="K52" s="4">
        <f t="shared" ref="K52:K54" si="17">I52-J52</f>
        <v>285738.9</v>
      </c>
      <c r="L52" s="4">
        <f>I52+Mar!L52</f>
        <v>3205784.08</v>
      </c>
      <c r="M52" s="4">
        <f>J52+Mar!M52</f>
        <v>654516.48</v>
      </c>
      <c r="N52" s="4">
        <f t="shared" ref="N52:N54" si="18">L52-M52</f>
        <v>2551267.6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62</v>
      </c>
      <c r="D53" s="6">
        <v>5.602956279E7</v>
      </c>
      <c r="E53" s="6">
        <v>795978.97</v>
      </c>
      <c r="F53" s="6">
        <f t="shared" si="16"/>
        <v>55233583.82</v>
      </c>
      <c r="G53" s="6">
        <v>4.34143316E7</v>
      </c>
      <c r="H53" s="5">
        <v>345.0</v>
      </c>
      <c r="I53" s="6">
        <v>154956.48</v>
      </c>
      <c r="J53" s="4">
        <v>0.0</v>
      </c>
      <c r="K53" s="4">
        <f t="shared" si="17"/>
        <v>154956.48</v>
      </c>
      <c r="L53" s="4">
        <f>I53+Mar!L53</f>
        <v>3646447.6</v>
      </c>
      <c r="M53" s="4">
        <f>J53+Mar!M53</f>
        <v>214571.93</v>
      </c>
      <c r="N53" s="4">
        <f t="shared" si="18"/>
        <v>3431875.67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63</v>
      </c>
      <c r="D54" s="6">
        <v>4.823662119E7</v>
      </c>
      <c r="E54" s="6">
        <v>842984.84</v>
      </c>
      <c r="F54" s="6">
        <f t="shared" si="16"/>
        <v>47393636.35</v>
      </c>
      <c r="G54" s="6">
        <v>4.00679704E7</v>
      </c>
      <c r="H54" s="5">
        <v>163.0</v>
      </c>
      <c r="I54" s="6">
        <v>114500.0</v>
      </c>
      <c r="J54" s="4">
        <v>0.0</v>
      </c>
      <c r="K54" s="4">
        <f t="shared" si="17"/>
        <v>114500</v>
      </c>
      <c r="L54" s="4">
        <f>I54+Mar!L54</f>
        <v>1366185.37</v>
      </c>
      <c r="M54" s="4">
        <f>J54+Mar!M54</f>
        <v>97041.44</v>
      </c>
      <c r="N54" s="4">
        <f t="shared" si="18"/>
        <v>1269143.93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22" t="s">
        <v>44</v>
      </c>
      <c r="B55" s="22"/>
      <c r="C55" s="1"/>
      <c r="D55" s="24">
        <f t="shared" ref="D55:N55" si="19">SUM(D41:D54)</f>
        <v>23274643341</v>
      </c>
      <c r="E55" s="24">
        <f t="shared" si="19"/>
        <v>221219011.6</v>
      </c>
      <c r="F55" s="24">
        <f t="shared" si="19"/>
        <v>23053424329</v>
      </c>
      <c r="G55" s="24">
        <f t="shared" si="19"/>
        <v>13111108968</v>
      </c>
      <c r="H55" s="25">
        <f t="shared" si="19"/>
        <v>86671</v>
      </c>
      <c r="I55" s="24">
        <f t="shared" si="19"/>
        <v>70174230.89</v>
      </c>
      <c r="J55" s="24">
        <f t="shared" si="19"/>
        <v>119378962.3</v>
      </c>
      <c r="K55" s="24">
        <f t="shared" si="19"/>
        <v>-49204731.4</v>
      </c>
      <c r="L55" s="24">
        <f t="shared" si="19"/>
        <v>483578835.3</v>
      </c>
      <c r="M55" s="24">
        <f t="shared" si="19"/>
        <v>573864744.7</v>
      </c>
      <c r="N55" s="24">
        <f t="shared" si="19"/>
        <v>-90285909.33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2.0" customHeight="1">
      <c r="A56" s="18" t="s">
        <v>45</v>
      </c>
      <c r="B56" s="2"/>
      <c r="C56" s="3"/>
      <c r="D56" s="6"/>
      <c r="E56" s="6"/>
      <c r="F56" s="6"/>
      <c r="G56" s="6"/>
      <c r="H56" s="5"/>
      <c r="I56" s="6"/>
      <c r="J56" s="4"/>
      <c r="K56" s="4"/>
      <c r="L56" s="4"/>
      <c r="M56" s="4"/>
      <c r="N56" s="4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18"/>
      <c r="B57" s="2">
        <v>38.0</v>
      </c>
      <c r="C57" s="3" t="s">
        <v>64</v>
      </c>
      <c r="D57" s="6">
        <f>52.19*1355400.81</f>
        <v>70738368.27</v>
      </c>
      <c r="E57" s="6">
        <f>52.19*8232.35</f>
        <v>429646.3465</v>
      </c>
      <c r="F57" s="6">
        <f t="shared" ref="F57:F60" si="20">D57-E57</f>
        <v>70308721.93</v>
      </c>
      <c r="G57" s="6">
        <v>0.0</v>
      </c>
      <c r="H57" s="5">
        <v>55.0</v>
      </c>
      <c r="I57" s="6">
        <v>0.0</v>
      </c>
      <c r="J57" s="6">
        <f>52.19*68102.01</f>
        <v>3554243.902</v>
      </c>
      <c r="K57" s="4">
        <f t="shared" ref="K57:K60" si="21">I57-J57</f>
        <v>-3554243.902</v>
      </c>
      <c r="L57" s="4">
        <f>I57+Mar!L57</f>
        <v>5201914.981</v>
      </c>
      <c r="M57" s="4">
        <f>J57+Mar!M57</f>
        <v>4087392.839</v>
      </c>
      <c r="N57" s="4">
        <f t="shared" ref="N57:N60" si="22">L57-M57</f>
        <v>1114522.142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65</v>
      </c>
      <c r="D58" s="6">
        <f>52.19*6954036.77</f>
        <v>362931179</v>
      </c>
      <c r="E58" s="6">
        <f>52.19*392656.73</f>
        <v>20492754.74</v>
      </c>
      <c r="F58" s="6">
        <f t="shared" si="20"/>
        <v>342438424.3</v>
      </c>
      <c r="G58" s="6">
        <f>52.19*3500288.1</f>
        <v>182680035.9</v>
      </c>
      <c r="H58" s="5">
        <v>276.0</v>
      </c>
      <c r="I58" s="6">
        <v>0.0</v>
      </c>
      <c r="J58" s="6">
        <f>52.19*15284.28</f>
        <v>797686.5732</v>
      </c>
      <c r="K58" s="4">
        <f t="shared" si="21"/>
        <v>-797686.5732</v>
      </c>
      <c r="L58" s="4">
        <f>I58+Mar!L58</f>
        <v>542556.0126</v>
      </c>
      <c r="M58" s="4">
        <f>J58+Mar!M58</f>
        <v>8801479.712</v>
      </c>
      <c r="N58" s="4">
        <f t="shared" si="22"/>
        <v>-8258923.7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3"/>
      <c r="B59" s="2">
        <v>40.0</v>
      </c>
      <c r="C59" s="3" t="s">
        <v>66</v>
      </c>
      <c r="D59" s="6">
        <f>52.19*32024704.14</f>
        <v>1671369309</v>
      </c>
      <c r="E59" s="6">
        <f>52.19*484968.22</f>
        <v>25310491.4</v>
      </c>
      <c r="F59" s="6">
        <f t="shared" si="20"/>
        <v>1646058818</v>
      </c>
      <c r="G59" s="6">
        <v>0.0</v>
      </c>
      <c r="H59" s="5">
        <v>4112.0</v>
      </c>
      <c r="I59" s="6">
        <f>52.19*63503.09</f>
        <v>3314226.267</v>
      </c>
      <c r="J59" s="6">
        <f>52.19*540524.44</f>
        <v>28209970.52</v>
      </c>
      <c r="K59" s="4">
        <f t="shared" si="21"/>
        <v>-24895744.26</v>
      </c>
      <c r="L59" s="4">
        <f>I59+Mar!L59</f>
        <v>56221904.24</v>
      </c>
      <c r="M59" s="4">
        <f>J59+Mar!M59</f>
        <v>124972506.2</v>
      </c>
      <c r="N59" s="4">
        <f t="shared" si="22"/>
        <v>-68750601.98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67</v>
      </c>
      <c r="D60" s="6">
        <f>52.19*6306496.41</f>
        <v>329136047.6</v>
      </c>
      <c r="E60" s="6">
        <f>52.19*84182.19</f>
        <v>4393468.496</v>
      </c>
      <c r="F60" s="6">
        <f t="shared" si="20"/>
        <v>324742579.1</v>
      </c>
      <c r="G60" s="6">
        <v>0.0</v>
      </c>
      <c r="H60" s="5">
        <v>702.0</v>
      </c>
      <c r="I60" s="6">
        <f>52.19*10250</f>
        <v>534947.5</v>
      </c>
      <c r="J60" s="6">
        <f>52.19*45575.93</f>
        <v>2378607.787</v>
      </c>
      <c r="K60" s="4">
        <f t="shared" si="21"/>
        <v>-1843660.287</v>
      </c>
      <c r="L60" s="4">
        <f>I60+Mar!L60</f>
        <v>2319376.551</v>
      </c>
      <c r="M60" s="4">
        <f>J60+Mar!M60</f>
        <v>10917300.59</v>
      </c>
      <c r="N60" s="4">
        <f t="shared" si="22"/>
        <v>-8597924.041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22" t="s">
        <v>48</v>
      </c>
      <c r="B61" s="23"/>
      <c r="C61" s="1"/>
      <c r="D61" s="24">
        <f t="shared" ref="D61:N61" si="23">SUM(D57:D60)</f>
        <v>2434174904</v>
      </c>
      <c r="E61" s="24">
        <f t="shared" si="23"/>
        <v>50626360.98</v>
      </c>
      <c r="F61" s="24">
        <f t="shared" si="23"/>
        <v>2383548543</v>
      </c>
      <c r="G61" s="24">
        <f t="shared" si="23"/>
        <v>182680035.9</v>
      </c>
      <c r="H61" s="25">
        <f t="shared" si="23"/>
        <v>5145</v>
      </c>
      <c r="I61" s="24">
        <f t="shared" si="23"/>
        <v>3849173.767</v>
      </c>
      <c r="J61" s="26">
        <f t="shared" si="23"/>
        <v>34940508.79</v>
      </c>
      <c r="K61" s="26">
        <f t="shared" si="23"/>
        <v>-31091335.02</v>
      </c>
      <c r="L61" s="26">
        <f t="shared" si="23"/>
        <v>64285751.79</v>
      </c>
      <c r="M61" s="26">
        <f t="shared" si="23"/>
        <v>148778679.4</v>
      </c>
      <c r="N61" s="26">
        <f t="shared" si="23"/>
        <v>-84492927.58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2.0" customHeight="1">
      <c r="A62" s="1" t="s">
        <v>68</v>
      </c>
      <c r="B62" s="23"/>
      <c r="C62" s="1"/>
      <c r="D62" s="24">
        <f t="shared" ref="D62:N62" si="24">D55+D61</f>
        <v>25708818245</v>
      </c>
      <c r="E62" s="24">
        <f t="shared" si="24"/>
        <v>271845372.6</v>
      </c>
      <c r="F62" s="24">
        <f t="shared" si="24"/>
        <v>25436972872</v>
      </c>
      <c r="G62" s="24">
        <f t="shared" si="24"/>
        <v>13293789004</v>
      </c>
      <c r="H62" s="25">
        <f t="shared" si="24"/>
        <v>91816</v>
      </c>
      <c r="I62" s="24">
        <f t="shared" si="24"/>
        <v>74023404.66</v>
      </c>
      <c r="J62" s="26">
        <f t="shared" si="24"/>
        <v>154319471.1</v>
      </c>
      <c r="K62" s="26">
        <f t="shared" si="24"/>
        <v>-80296066.42</v>
      </c>
      <c r="L62" s="26">
        <f t="shared" si="24"/>
        <v>547864587.1</v>
      </c>
      <c r="M62" s="26">
        <f t="shared" si="24"/>
        <v>722643424</v>
      </c>
      <c r="N62" s="26">
        <f t="shared" si="24"/>
        <v>-174778836.9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69</v>
      </c>
      <c r="B63" s="2"/>
      <c r="C63" s="3"/>
      <c r="D63" s="6"/>
      <c r="E63" s="6"/>
      <c r="F63" s="6"/>
      <c r="G63" s="6"/>
      <c r="H63" s="5"/>
      <c r="I63" s="6"/>
      <c r="J63" s="4"/>
      <c r="K63" s="4"/>
      <c r="L63" s="4"/>
      <c r="M63" s="4"/>
      <c r="N63" s="4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ht="12.0" customHeight="1">
      <c r="A64" s="18" t="s">
        <v>20</v>
      </c>
      <c r="B64" s="2"/>
      <c r="C64" s="3"/>
      <c r="D64" s="6"/>
      <c r="E64" s="6"/>
      <c r="F64" s="6"/>
      <c r="G64" s="6"/>
      <c r="H64" s="5"/>
      <c r="I64" s="6"/>
      <c r="J64" s="4"/>
      <c r="K64" s="4"/>
      <c r="L64" s="4"/>
      <c r="M64" s="4"/>
      <c r="N64" s="4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3"/>
      <c r="B65" s="2">
        <v>42.0</v>
      </c>
      <c r="C65" s="3" t="s">
        <v>70</v>
      </c>
      <c r="D65" s="6">
        <v>4.296276778369E10</v>
      </c>
      <c r="E65" s="6">
        <v>2.7561308199E8</v>
      </c>
      <c r="F65" s="6">
        <f t="shared" ref="F65:F75" si="25">D65-E65</f>
        <v>42687154702</v>
      </c>
      <c r="G65" s="6">
        <v>1.21059714E9</v>
      </c>
      <c r="H65" s="5">
        <v>26329.0</v>
      </c>
      <c r="I65" s="6">
        <v>2.5396564298E8</v>
      </c>
      <c r="J65" s="4">
        <v>4.7506205784E8</v>
      </c>
      <c r="K65" s="4">
        <f t="shared" ref="K65:K75" si="26">I65-J65</f>
        <v>-221096414.9</v>
      </c>
      <c r="L65" s="4">
        <f>I65+Mar!L65</f>
        <v>1156342519</v>
      </c>
      <c r="M65" s="4">
        <f>J65+Mar!M65</f>
        <v>2470940177</v>
      </c>
      <c r="N65" s="4">
        <f t="shared" ref="N65:N75" si="27">L65-M65</f>
        <v>-1314597658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144</v>
      </c>
      <c r="D66" s="6">
        <v>3.0516125912E8</v>
      </c>
      <c r="E66" s="6">
        <v>1114048.55</v>
      </c>
      <c r="F66" s="6">
        <f t="shared" si="25"/>
        <v>304047210.6</v>
      </c>
      <c r="G66" s="6">
        <v>0.0</v>
      </c>
      <c r="H66" s="5">
        <v>1048.0</v>
      </c>
      <c r="I66" s="6">
        <v>3526721.3899999997</v>
      </c>
      <c r="J66" s="4">
        <v>580032.99</v>
      </c>
      <c r="K66" s="4">
        <f t="shared" si="26"/>
        <v>2946688.4</v>
      </c>
      <c r="L66" s="4">
        <f>I66+Mar!L66</f>
        <v>19923667.19</v>
      </c>
      <c r="M66" s="4">
        <f>J66+Mar!M66</f>
        <v>9065584.52</v>
      </c>
      <c r="N66" s="4">
        <f t="shared" si="27"/>
        <v>10858082.67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72</v>
      </c>
      <c r="D67" s="6">
        <v>1.2934242997600005E9</v>
      </c>
      <c r="E67" s="6">
        <v>1.987368396E7</v>
      </c>
      <c r="F67" s="6">
        <f t="shared" si="25"/>
        <v>1273550616</v>
      </c>
      <c r="G67" s="6">
        <v>0.0</v>
      </c>
      <c r="H67" s="5">
        <v>2076.0</v>
      </c>
      <c r="I67" s="6">
        <v>1813022.5700000064</v>
      </c>
      <c r="J67" s="4">
        <v>3.1526356219999995E7</v>
      </c>
      <c r="K67" s="4">
        <f t="shared" si="26"/>
        <v>-29713333.65</v>
      </c>
      <c r="L67" s="4">
        <f>I67+Mar!L67</f>
        <v>120389893.9</v>
      </c>
      <c r="M67" s="4">
        <f>J67+Mar!M67</f>
        <v>72229581.69</v>
      </c>
      <c r="N67" s="4">
        <f t="shared" si="27"/>
        <v>48160312.2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1"/>
      <c r="B68" s="2">
        <v>45.0</v>
      </c>
      <c r="C68" s="3" t="s">
        <v>73</v>
      </c>
      <c r="D68" s="6">
        <v>2.0018617062E8</v>
      </c>
      <c r="E68" s="6">
        <v>293830.5</v>
      </c>
      <c r="F68" s="6">
        <f t="shared" si="25"/>
        <v>199892340.1</v>
      </c>
      <c r="G68" s="6">
        <v>5050000.0</v>
      </c>
      <c r="H68" s="5">
        <v>145.0</v>
      </c>
      <c r="I68" s="6">
        <v>182392.25</v>
      </c>
      <c r="J68" s="4">
        <v>0.0</v>
      </c>
      <c r="K68" s="4">
        <f t="shared" si="26"/>
        <v>182392.25</v>
      </c>
      <c r="L68" s="4">
        <f>I68+Mar!L68</f>
        <v>1606836.31</v>
      </c>
      <c r="M68" s="4">
        <f>J68+Mar!M68</f>
        <v>1118217.03</v>
      </c>
      <c r="N68" s="4">
        <f t="shared" si="27"/>
        <v>488619.28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v>46.0</v>
      </c>
      <c r="C69" s="3" t="s">
        <v>74</v>
      </c>
      <c r="D69" s="6">
        <v>1.49142511904E9</v>
      </c>
      <c r="E69" s="6">
        <v>9946572.41</v>
      </c>
      <c r="F69" s="6">
        <f t="shared" si="25"/>
        <v>1481478547</v>
      </c>
      <c r="G69" s="6">
        <v>0.0</v>
      </c>
      <c r="H69" s="5">
        <v>1900.0</v>
      </c>
      <c r="I69" s="6">
        <v>1058986.5</v>
      </c>
      <c r="J69" s="4">
        <v>2911951.150000002</v>
      </c>
      <c r="K69" s="4">
        <f t="shared" si="26"/>
        <v>-1852964.65</v>
      </c>
      <c r="L69" s="4">
        <f>I69+Mar!L69</f>
        <v>20366731.22</v>
      </c>
      <c r="M69" s="4">
        <f>J69+Mar!M69</f>
        <v>62149404.82</v>
      </c>
      <c r="N69" s="4">
        <f t="shared" si="27"/>
        <v>-41782673.6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75</v>
      </c>
      <c r="D70" s="6">
        <v>9.748422158E8</v>
      </c>
      <c r="E70" s="6">
        <v>3.648377735E7</v>
      </c>
      <c r="F70" s="6">
        <f t="shared" si="25"/>
        <v>938358438.5</v>
      </c>
      <c r="G70" s="6">
        <v>0.0</v>
      </c>
      <c r="H70" s="5">
        <v>539.0</v>
      </c>
      <c r="I70" s="6">
        <v>945937.83</v>
      </c>
      <c r="J70" s="4">
        <v>1990978.62</v>
      </c>
      <c r="K70" s="4">
        <f t="shared" si="26"/>
        <v>-1045040.79</v>
      </c>
      <c r="L70" s="4">
        <f>I70+Mar!L70</f>
        <v>7938519.74</v>
      </c>
      <c r="M70" s="4">
        <f>J70+Mar!M70</f>
        <v>58737330.52</v>
      </c>
      <c r="N70" s="4">
        <f t="shared" si="27"/>
        <v>-50798810.78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76</v>
      </c>
      <c r="D71" s="6">
        <v>6.5222116283E9</v>
      </c>
      <c r="E71" s="6">
        <v>3.441625188E7</v>
      </c>
      <c r="F71" s="6">
        <f t="shared" si="25"/>
        <v>6487795376</v>
      </c>
      <c r="G71" s="6">
        <v>0.0</v>
      </c>
      <c r="H71" s="5">
        <v>5150.0</v>
      </c>
      <c r="I71" s="6">
        <v>2.815244282E7</v>
      </c>
      <c r="J71" s="4">
        <v>3.697403376E7</v>
      </c>
      <c r="K71" s="4">
        <f t="shared" si="26"/>
        <v>-8821590.94</v>
      </c>
      <c r="L71" s="4">
        <f>I71+Mar!L71</f>
        <v>145825906.4</v>
      </c>
      <c r="M71" s="4">
        <f>J71+Mar!M71</f>
        <v>241929965.9</v>
      </c>
      <c r="N71" s="4">
        <f t="shared" si="27"/>
        <v>-96104059.47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77</v>
      </c>
      <c r="D72" s="6">
        <v>3.16909741578344E8</v>
      </c>
      <c r="E72" s="6">
        <v>526352.736300002</v>
      </c>
      <c r="F72" s="6">
        <f t="shared" si="25"/>
        <v>316383388.8</v>
      </c>
      <c r="G72" s="6">
        <v>1.6972202E7</v>
      </c>
      <c r="H72" s="5">
        <v>4201.0</v>
      </c>
      <c r="I72" s="6">
        <v>870648.26</v>
      </c>
      <c r="J72" s="4">
        <v>602311.44</v>
      </c>
      <c r="K72" s="4">
        <f t="shared" si="26"/>
        <v>268336.82</v>
      </c>
      <c r="L72" s="4">
        <f>I72+Mar!L72</f>
        <v>15805021.79</v>
      </c>
      <c r="M72" s="4">
        <f>J72+Mar!M72</f>
        <v>8535015.68</v>
      </c>
      <c r="N72" s="4">
        <f t="shared" si="27"/>
        <v>7270006.11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78</v>
      </c>
      <c r="D73" s="6">
        <v>9.7517642516E8</v>
      </c>
      <c r="E73" s="28">
        <v>3712052.97</v>
      </c>
      <c r="F73" s="6">
        <f t="shared" si="25"/>
        <v>971464372.2</v>
      </c>
      <c r="G73" s="6">
        <v>0.0</v>
      </c>
      <c r="H73" s="5">
        <v>846.0</v>
      </c>
      <c r="I73" s="6">
        <v>6.515450079999999E7</v>
      </c>
      <c r="J73" s="4">
        <v>1453193.45</v>
      </c>
      <c r="K73" s="4">
        <f t="shared" si="26"/>
        <v>63701307.35</v>
      </c>
      <c r="L73" s="4">
        <f>I73+Mar!L73</f>
        <v>71979814.97</v>
      </c>
      <c r="M73" s="4">
        <f>J73+Mar!M73</f>
        <v>3400867.67</v>
      </c>
      <c r="N73" s="4">
        <f t="shared" si="27"/>
        <v>68578947.3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79</v>
      </c>
      <c r="D74" s="6">
        <v>4.54287719871E9</v>
      </c>
      <c r="E74" s="6">
        <v>9142632.59</v>
      </c>
      <c r="F74" s="6">
        <f t="shared" si="25"/>
        <v>4533734566</v>
      </c>
      <c r="G74" s="6">
        <v>0.0</v>
      </c>
      <c r="H74" s="5">
        <v>16062.0</v>
      </c>
      <c r="I74" s="6">
        <v>3.81374685E7</v>
      </c>
      <c r="J74" s="4">
        <v>9.789689365E7</v>
      </c>
      <c r="K74" s="4">
        <f t="shared" si="26"/>
        <v>-59759425.15</v>
      </c>
      <c r="L74" s="4">
        <f>I74+Mar!L74</f>
        <v>169936334</v>
      </c>
      <c r="M74" s="4">
        <f>J74+Mar!M74</f>
        <v>289382114.8</v>
      </c>
      <c r="N74" s="4">
        <f t="shared" si="27"/>
        <v>-119445780.7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80</v>
      </c>
      <c r="D75" s="6">
        <v>1.5459511658E8</v>
      </c>
      <c r="E75" s="6">
        <v>284317.16</v>
      </c>
      <c r="F75" s="6">
        <f t="shared" si="25"/>
        <v>154310799.4</v>
      </c>
      <c r="G75" s="6">
        <v>0.0</v>
      </c>
      <c r="H75" s="5">
        <v>2557.0</v>
      </c>
      <c r="I75" s="6">
        <v>460454.35</v>
      </c>
      <c r="J75" s="4">
        <v>800670.82</v>
      </c>
      <c r="K75" s="4">
        <f t="shared" si="26"/>
        <v>-340216.47</v>
      </c>
      <c r="L75" s="4">
        <f>I75+Mar!L75</f>
        <v>3535581.5</v>
      </c>
      <c r="M75" s="4">
        <f>J75+Mar!M75</f>
        <v>9694250.67</v>
      </c>
      <c r="N75" s="4">
        <f t="shared" si="27"/>
        <v>-6158669.17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22" t="s">
        <v>44</v>
      </c>
      <c r="B76" s="1"/>
      <c r="C76" s="1"/>
      <c r="D76" s="24">
        <f t="shared" ref="D76:N76" si="28">SUM(D65:D75)</f>
        <v>59739576958</v>
      </c>
      <c r="E76" s="24">
        <f t="shared" si="28"/>
        <v>391406602.1</v>
      </c>
      <c r="F76" s="24">
        <f t="shared" si="28"/>
        <v>59348170356</v>
      </c>
      <c r="G76" s="24">
        <f t="shared" si="28"/>
        <v>1232619342</v>
      </c>
      <c r="H76" s="25">
        <f t="shared" si="28"/>
        <v>60853</v>
      </c>
      <c r="I76" s="24">
        <f t="shared" si="28"/>
        <v>394268218.3</v>
      </c>
      <c r="J76" s="24">
        <f t="shared" si="28"/>
        <v>649798479.9</v>
      </c>
      <c r="K76" s="24">
        <f t="shared" si="28"/>
        <v>-255530261.7</v>
      </c>
      <c r="L76" s="24">
        <f t="shared" si="28"/>
        <v>1733650826</v>
      </c>
      <c r="M76" s="24">
        <f t="shared" si="28"/>
        <v>3227182510</v>
      </c>
      <c r="N76" s="24">
        <f t="shared" si="28"/>
        <v>-1493531684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18" t="s">
        <v>45</v>
      </c>
      <c r="B77" s="2"/>
      <c r="C77" s="3"/>
      <c r="D77" s="6"/>
      <c r="E77" s="6"/>
      <c r="F77" s="6"/>
      <c r="G77" s="6"/>
      <c r="H77" s="5"/>
      <c r="I77" s="6"/>
      <c r="J77" s="4"/>
      <c r="K77" s="4"/>
      <c r="L77" s="4"/>
      <c r="M77" s="4"/>
      <c r="N77" s="4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3"/>
      <c r="B78" s="2">
        <v>53.0</v>
      </c>
      <c r="C78" s="3" t="s">
        <v>81</v>
      </c>
      <c r="D78" s="6">
        <f>52.19*280423542.68</f>
        <v>14635304692</v>
      </c>
      <c r="E78" s="6">
        <f>52.19*1053846.44</f>
        <v>55000245.7</v>
      </c>
      <c r="F78" s="6">
        <f t="shared" ref="F78:F84" si="29">D78-E78</f>
        <v>14580304447</v>
      </c>
      <c r="G78" s="6">
        <v>0.0</v>
      </c>
      <c r="H78" s="5">
        <v>9721.0</v>
      </c>
      <c r="I78" s="6">
        <f>52.19*1697195.86</f>
        <v>88576651.93</v>
      </c>
      <c r="J78" s="4">
        <f>52.19*3591553.81</f>
        <v>187443193.3</v>
      </c>
      <c r="K78" s="4">
        <f t="shared" ref="K78:K84" si="30">I78-J78</f>
        <v>-98866541.41</v>
      </c>
      <c r="L78" s="4">
        <f>I78+Mar!L78</f>
        <v>439412850.1</v>
      </c>
      <c r="M78" s="4">
        <f>J78+Mar!M78</f>
        <v>3527117832</v>
      </c>
      <c r="N78" s="4">
        <f t="shared" ref="N78:N84" si="31">L78-M78</f>
        <v>-3087704981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145</v>
      </c>
      <c r="D79" s="6">
        <v>5.960081935933E8</v>
      </c>
      <c r="E79" s="6">
        <v>2548020.8483</v>
      </c>
      <c r="F79" s="6">
        <f t="shared" si="29"/>
        <v>593460172.7</v>
      </c>
      <c r="G79" s="6">
        <v>0.0</v>
      </c>
      <c r="H79" s="5">
        <v>201.0</v>
      </c>
      <c r="I79" s="6">
        <v>2876794.44</v>
      </c>
      <c r="J79" s="4">
        <v>4199954.09</v>
      </c>
      <c r="K79" s="4">
        <f t="shared" si="30"/>
        <v>-1323159.65</v>
      </c>
      <c r="L79" s="4">
        <f>I79+Mar!L79</f>
        <v>11960890.38</v>
      </c>
      <c r="M79" s="4">
        <f>J79+Mar!M79</f>
        <v>162546892.6</v>
      </c>
      <c r="N79" s="4">
        <f t="shared" si="31"/>
        <v>-150586002.2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83</v>
      </c>
      <c r="D80" s="6">
        <v>7.118669248198E8</v>
      </c>
      <c r="E80" s="6">
        <v>3350385.0648</v>
      </c>
      <c r="F80" s="6">
        <f t="shared" si="29"/>
        <v>708516539.8</v>
      </c>
      <c r="G80" s="6">
        <v>0.0</v>
      </c>
      <c r="H80" s="5">
        <v>155.0</v>
      </c>
      <c r="I80" s="6">
        <v>0.0</v>
      </c>
      <c r="J80" s="4">
        <v>8999278.700166663</v>
      </c>
      <c r="K80" s="4">
        <f t="shared" si="30"/>
        <v>-8999278.7</v>
      </c>
      <c r="L80" s="4">
        <f>I80+Mar!L80</f>
        <v>1051829.088</v>
      </c>
      <c r="M80" s="4">
        <f>J80+Mar!M80</f>
        <v>14565722.33</v>
      </c>
      <c r="N80" s="4">
        <f t="shared" si="31"/>
        <v>-13513893.24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1.25" customHeight="1">
      <c r="A81" s="18"/>
      <c r="B81" s="2">
        <v>56.0</v>
      </c>
      <c r="C81" s="3" t="s">
        <v>84</v>
      </c>
      <c r="D81" s="6">
        <f>52.19*1179601.24</f>
        <v>61563388.72</v>
      </c>
      <c r="E81" s="6">
        <f>52.19*212503.57</f>
        <v>11090561.32</v>
      </c>
      <c r="F81" s="6">
        <f t="shared" si="29"/>
        <v>50472827.4</v>
      </c>
      <c r="G81" s="6">
        <v>0.0</v>
      </c>
      <c r="H81" s="5">
        <v>27.0</v>
      </c>
      <c r="I81" s="6">
        <v>0.0</v>
      </c>
      <c r="J81" s="6">
        <v>0.0</v>
      </c>
      <c r="K81" s="4">
        <f t="shared" si="30"/>
        <v>0</v>
      </c>
      <c r="L81" s="4">
        <f>I81+Mar!L81</f>
        <v>0</v>
      </c>
      <c r="M81" s="4">
        <f>J81+Mar!M81</f>
        <v>361268.4153</v>
      </c>
      <c r="N81" s="4">
        <f t="shared" si="31"/>
        <v>-361268.4153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v>57.0</v>
      </c>
      <c r="C82" s="3" t="s">
        <v>85</v>
      </c>
      <c r="D82" s="6">
        <f>52.19*41480761.4</f>
        <v>2164880937</v>
      </c>
      <c r="E82" s="6">
        <f>52.19*-241452.01</f>
        <v>-12601380.4</v>
      </c>
      <c r="F82" s="6">
        <f t="shared" si="29"/>
        <v>2177482318</v>
      </c>
      <c r="G82" s="6">
        <v>0.0</v>
      </c>
      <c r="H82" s="5">
        <v>2035.0</v>
      </c>
      <c r="I82" s="6">
        <f>52.19*1481.77</f>
        <v>77333.5763</v>
      </c>
      <c r="J82" s="6">
        <f>52.19*474316.88</f>
        <v>24754597.97</v>
      </c>
      <c r="K82" s="4">
        <f t="shared" si="30"/>
        <v>-24677264.39</v>
      </c>
      <c r="L82" s="4">
        <f>I82+Mar!L82</f>
        <v>268011051.7</v>
      </c>
      <c r="M82" s="4">
        <f>J82+Mar!M82</f>
        <v>50216709.03</v>
      </c>
      <c r="N82" s="4">
        <f t="shared" si="31"/>
        <v>217794342.7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86</v>
      </c>
      <c r="D83" s="6">
        <v>2.2523896890615252E8</v>
      </c>
      <c r="E83" s="6">
        <v>703645.8729707715</v>
      </c>
      <c r="F83" s="6">
        <f t="shared" si="29"/>
        <v>224535323</v>
      </c>
      <c r="G83" s="6">
        <v>0.0</v>
      </c>
      <c r="H83" s="5">
        <v>129.0</v>
      </c>
      <c r="I83" s="6">
        <v>130475.0</v>
      </c>
      <c r="J83" s="4">
        <v>0.0</v>
      </c>
      <c r="K83" s="4">
        <f t="shared" si="30"/>
        <v>130475</v>
      </c>
      <c r="L83" s="4">
        <f>I83+Mar!L83</f>
        <v>1149870</v>
      </c>
      <c r="M83" s="4">
        <f>J83+Mar!M83</f>
        <v>1567930.904</v>
      </c>
      <c r="N83" s="4">
        <f t="shared" si="31"/>
        <v>-418060.9037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87</v>
      </c>
      <c r="D84" s="6">
        <f>52.19*9009888.88</f>
        <v>470226100.6</v>
      </c>
      <c r="E84" s="6">
        <f>52.19*98094.53</f>
        <v>5119553.521</v>
      </c>
      <c r="F84" s="6">
        <f t="shared" si="29"/>
        <v>465106547.1</v>
      </c>
      <c r="G84" s="6">
        <v>0.0</v>
      </c>
      <c r="H84" s="5">
        <v>2514.0</v>
      </c>
      <c r="I84" s="6">
        <f>52.19*8947.12</f>
        <v>466950.1928</v>
      </c>
      <c r="J84" s="4">
        <f>52.19*61681.05</f>
        <v>3219134</v>
      </c>
      <c r="K84" s="4">
        <f t="shared" si="30"/>
        <v>-2752183.807</v>
      </c>
      <c r="L84" s="4">
        <f>I84+Mar!L84</f>
        <v>19063054.7</v>
      </c>
      <c r="M84" s="4">
        <f>J84+Mar!M84</f>
        <v>34871194.13</v>
      </c>
      <c r="N84" s="4">
        <f t="shared" si="31"/>
        <v>-15808139.42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22" t="s">
        <v>88</v>
      </c>
      <c r="B85" s="23"/>
      <c r="C85" s="29"/>
      <c r="D85" s="24">
        <f t="shared" ref="D85:N85" si="32">SUM(D78:D84)</f>
        <v>18865089207</v>
      </c>
      <c r="E85" s="24">
        <f t="shared" si="32"/>
        <v>65211031.93</v>
      </c>
      <c r="F85" s="24">
        <f t="shared" si="32"/>
        <v>18799878175</v>
      </c>
      <c r="G85" s="24">
        <f t="shared" si="32"/>
        <v>0</v>
      </c>
      <c r="H85" s="25">
        <f t="shared" si="32"/>
        <v>14782</v>
      </c>
      <c r="I85" s="24">
        <f t="shared" si="32"/>
        <v>92128205.14</v>
      </c>
      <c r="J85" s="26">
        <f t="shared" si="32"/>
        <v>228616158.1</v>
      </c>
      <c r="K85" s="26">
        <f t="shared" si="32"/>
        <v>-136487953</v>
      </c>
      <c r="L85" s="26">
        <f t="shared" si="32"/>
        <v>740649545.9</v>
      </c>
      <c r="M85" s="26">
        <f t="shared" si="32"/>
        <v>3791247549</v>
      </c>
      <c r="N85" s="26">
        <f t="shared" si="32"/>
        <v>-3050598003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v>60.0</v>
      </c>
      <c r="C86" s="3" t="s">
        <v>89</v>
      </c>
      <c r="D86" s="6">
        <f>55.201363*16236923.6</f>
        <v>896300313.6</v>
      </c>
      <c r="E86" s="6">
        <f>55.201363*39211.64</f>
        <v>2164535.973</v>
      </c>
      <c r="F86" s="6">
        <f>D86-E86</f>
        <v>894135777.7</v>
      </c>
      <c r="G86" s="6">
        <v>0.0</v>
      </c>
      <c r="H86" s="5">
        <v>673.0</v>
      </c>
      <c r="I86" s="6">
        <f>55.201363*5803.86</f>
        <v>320380.9827</v>
      </c>
      <c r="J86" s="4">
        <f>55.201363*232575.17</f>
        <v>12838466.38</v>
      </c>
      <c r="K86" s="4">
        <f>I86-J86</f>
        <v>-12518085.4</v>
      </c>
      <c r="L86" s="4">
        <f>I86+Mar!L86</f>
        <v>5526038.71</v>
      </c>
      <c r="M86" s="4">
        <f>J86+Mar!M86</f>
        <v>34688087.97</v>
      </c>
      <c r="N86" s="4">
        <f>L86-M86</f>
        <v>-29162049.26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22" t="s">
        <v>90</v>
      </c>
      <c r="B87" s="29"/>
      <c r="C87" s="1"/>
      <c r="D87" s="24">
        <f t="shared" ref="D87:N87" si="33">SUM(D86)</f>
        <v>896300313.6</v>
      </c>
      <c r="E87" s="24">
        <f t="shared" si="33"/>
        <v>2164535.973</v>
      </c>
      <c r="F87" s="24">
        <f t="shared" si="33"/>
        <v>894135777.7</v>
      </c>
      <c r="G87" s="24">
        <f t="shared" si="33"/>
        <v>0</v>
      </c>
      <c r="H87" s="25">
        <f t="shared" si="33"/>
        <v>673</v>
      </c>
      <c r="I87" s="24">
        <f t="shared" si="33"/>
        <v>320380.9827</v>
      </c>
      <c r="J87" s="26">
        <f t="shared" si="33"/>
        <v>12838466.38</v>
      </c>
      <c r="K87" s="26">
        <f t="shared" si="33"/>
        <v>-12518085.4</v>
      </c>
      <c r="L87" s="26">
        <f t="shared" si="33"/>
        <v>5526038.71</v>
      </c>
      <c r="M87" s="26">
        <f t="shared" si="33"/>
        <v>34688087.97</v>
      </c>
      <c r="N87" s="26">
        <f t="shared" si="33"/>
        <v>-29162049.26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1" t="s">
        <v>91</v>
      </c>
      <c r="B88" s="23"/>
      <c r="C88" s="29"/>
      <c r="D88" s="24">
        <f t="shared" ref="D88:N88" si="34">D76+D85+D87</f>
        <v>79500966479</v>
      </c>
      <c r="E88" s="24">
        <f t="shared" si="34"/>
        <v>458782170</v>
      </c>
      <c r="F88" s="24">
        <f t="shared" si="34"/>
        <v>79042184309</v>
      </c>
      <c r="G88" s="24">
        <f t="shared" si="34"/>
        <v>1232619342</v>
      </c>
      <c r="H88" s="25">
        <f t="shared" si="34"/>
        <v>76308</v>
      </c>
      <c r="I88" s="24">
        <f t="shared" si="34"/>
        <v>486716804.4</v>
      </c>
      <c r="J88" s="26">
        <f t="shared" si="34"/>
        <v>891253104.4</v>
      </c>
      <c r="K88" s="26">
        <f t="shared" si="34"/>
        <v>-404536300</v>
      </c>
      <c r="L88" s="26">
        <f t="shared" si="34"/>
        <v>2479826411</v>
      </c>
      <c r="M88" s="26">
        <f t="shared" si="34"/>
        <v>7053118147</v>
      </c>
      <c r="N88" s="26">
        <f t="shared" si="34"/>
        <v>-4573291736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92</v>
      </c>
      <c r="B89" s="2"/>
      <c r="C89" s="30"/>
      <c r="D89" s="6"/>
      <c r="E89" s="6"/>
      <c r="F89" s="6"/>
      <c r="G89" s="6"/>
      <c r="H89" s="5"/>
      <c r="I89" s="6"/>
      <c r="J89" s="4"/>
      <c r="K89" s="4"/>
      <c r="L89" s="4"/>
      <c r="M89" s="4"/>
      <c r="N89" s="4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8" t="s">
        <v>20</v>
      </c>
      <c r="B90" s="2"/>
      <c r="C90" s="30"/>
      <c r="D90" s="6"/>
      <c r="E90" s="6"/>
      <c r="F90" s="6"/>
      <c r="G90" s="6"/>
      <c r="H90" s="5"/>
      <c r="I90" s="6"/>
      <c r="J90" s="4"/>
      <c r="K90" s="4"/>
      <c r="L90" s="4"/>
      <c r="M90" s="4"/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/>
      <c r="B91" s="2">
        <v>61.0</v>
      </c>
      <c r="C91" s="3" t="s">
        <v>93</v>
      </c>
      <c r="D91" s="6">
        <v>6.052960929131E10</v>
      </c>
      <c r="E91" s="6">
        <v>3.934151786E7</v>
      </c>
      <c r="F91" s="6">
        <f t="shared" ref="F91:F93" si="35">D91-E91</f>
        <v>60490267773</v>
      </c>
      <c r="G91" s="6">
        <v>0.0</v>
      </c>
      <c r="H91" s="5">
        <v>32990.0</v>
      </c>
      <c r="I91" s="6">
        <v>2.73001332598E9</v>
      </c>
      <c r="J91" s="4">
        <v>2.7444220124E9</v>
      </c>
      <c r="K91" s="4">
        <f t="shared" ref="K91:K93" si="36">I91-J91</f>
        <v>-14408686.42</v>
      </c>
      <c r="L91" s="4">
        <f>I91+Mar!L91</f>
        <v>13368428195</v>
      </c>
      <c r="M91" s="4">
        <f>J91+Mar!M91</f>
        <v>11879692109</v>
      </c>
      <c r="N91" s="4">
        <f t="shared" ref="N91:N93" si="37">L91-M91</f>
        <v>1488736086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94</v>
      </c>
      <c r="D92" s="6">
        <v>2.89373218029E9</v>
      </c>
      <c r="E92" s="6">
        <v>1.213677221E7</v>
      </c>
      <c r="F92" s="6">
        <f t="shared" si="35"/>
        <v>2881595408</v>
      </c>
      <c r="G92" s="6">
        <v>0.0</v>
      </c>
      <c r="H92" s="5">
        <v>560.0</v>
      </c>
      <c r="I92" s="6">
        <v>1.0082634741E8</v>
      </c>
      <c r="J92" s="4">
        <v>2.9965211934000003E8</v>
      </c>
      <c r="K92" s="4">
        <f t="shared" si="36"/>
        <v>-198825771.9</v>
      </c>
      <c r="L92" s="4">
        <f>I92+Mar!L92</f>
        <v>946574492.8</v>
      </c>
      <c r="M92" s="4">
        <f>J92+Mar!M92</f>
        <v>846040570.5</v>
      </c>
      <c r="N92" s="4">
        <f t="shared" si="37"/>
        <v>100533922.3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/>
      <c r="B93" s="2">
        <v>63.0</v>
      </c>
      <c r="C93" s="3" t="s">
        <v>95</v>
      </c>
      <c r="D93" s="6">
        <v>1.3100676745695E11</v>
      </c>
      <c r="E93" s="6">
        <v>9.3303337503E8</v>
      </c>
      <c r="F93" s="6">
        <f t="shared" si="35"/>
        <v>130073734082</v>
      </c>
      <c r="G93" s="6">
        <v>0.0</v>
      </c>
      <c r="H93" s="5">
        <v>59586.0</v>
      </c>
      <c r="I93" s="6">
        <v>2.06424808874E10</v>
      </c>
      <c r="J93" s="4">
        <v>1.68602538335E10</v>
      </c>
      <c r="K93" s="4">
        <f t="shared" si="36"/>
        <v>3782227054</v>
      </c>
      <c r="L93" s="4">
        <f>I93+Mar!L93</f>
        <v>71713376920</v>
      </c>
      <c r="M93" s="4">
        <f>J93+Mar!M93</f>
        <v>69381023415</v>
      </c>
      <c r="N93" s="4">
        <f t="shared" si="37"/>
        <v>2332353505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2" t="s">
        <v>44</v>
      </c>
      <c r="B94" s="2"/>
      <c r="C94" s="3"/>
      <c r="D94" s="24">
        <f t="shared" ref="D94:N94" si="38">SUM(D91:D93)</f>
        <v>194430108929</v>
      </c>
      <c r="E94" s="24">
        <f t="shared" si="38"/>
        <v>984511665.1</v>
      </c>
      <c r="F94" s="24">
        <f t="shared" si="38"/>
        <v>193445597263</v>
      </c>
      <c r="G94" s="24">
        <f t="shared" si="38"/>
        <v>0</v>
      </c>
      <c r="H94" s="25">
        <f t="shared" si="38"/>
        <v>93136</v>
      </c>
      <c r="I94" s="24">
        <f t="shared" si="38"/>
        <v>23473320561</v>
      </c>
      <c r="J94" s="24">
        <f t="shared" si="38"/>
        <v>19904327965</v>
      </c>
      <c r="K94" s="24">
        <f t="shared" si="38"/>
        <v>3568992596</v>
      </c>
      <c r="L94" s="24">
        <f t="shared" si="38"/>
        <v>86028379607</v>
      </c>
      <c r="M94" s="24">
        <f t="shared" si="38"/>
        <v>82106756095</v>
      </c>
      <c r="N94" s="24">
        <f t="shared" si="38"/>
        <v>3921623512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45</v>
      </c>
      <c r="B95" s="2"/>
      <c r="C95" s="3"/>
      <c r="D95" s="6"/>
      <c r="E95" s="6"/>
      <c r="F95" s="6"/>
      <c r="G95" s="6"/>
      <c r="H95" s="5"/>
      <c r="I95" s="6"/>
      <c r="J95" s="4"/>
      <c r="K95" s="4"/>
      <c r="L95" s="4"/>
      <c r="M95" s="4"/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64.0</v>
      </c>
      <c r="C96" s="3" t="s">
        <v>96</v>
      </c>
      <c r="D96" s="6">
        <f>52.19*212556948.97</f>
        <v>11093347167</v>
      </c>
      <c r="E96" s="6">
        <f>52.19*1409327.34</f>
        <v>73552793.87</v>
      </c>
      <c r="F96" s="6">
        <f>D96-E96</f>
        <v>11019794373</v>
      </c>
      <c r="G96" s="6">
        <v>0.0</v>
      </c>
      <c r="H96" s="5">
        <v>2851.0</v>
      </c>
      <c r="I96" s="6">
        <f>52.19*40847033.89</f>
        <v>2131806699</v>
      </c>
      <c r="J96" s="6">
        <f>52.19*39996801.99</f>
        <v>2087433096</v>
      </c>
      <c r="K96" s="4">
        <f>I96-J96</f>
        <v>44373602.86</v>
      </c>
      <c r="L96" s="4">
        <f>I96+Mar!L96</f>
        <v>9317232484</v>
      </c>
      <c r="M96" s="4">
        <f>J96+Mar!M96</f>
        <v>8026426882</v>
      </c>
      <c r="N96" s="4">
        <f>L96-M96</f>
        <v>1290805602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2" t="s">
        <v>88</v>
      </c>
      <c r="B97" s="2"/>
      <c r="C97" s="3"/>
      <c r="D97" s="24">
        <f t="shared" ref="D97:N97" si="39">SUM(D96)</f>
        <v>11093347167</v>
      </c>
      <c r="E97" s="24">
        <f t="shared" si="39"/>
        <v>73552793.87</v>
      </c>
      <c r="F97" s="24">
        <f t="shared" si="39"/>
        <v>11019794373</v>
      </c>
      <c r="G97" s="24">
        <f t="shared" si="39"/>
        <v>0</v>
      </c>
      <c r="H97" s="25">
        <f t="shared" si="39"/>
        <v>2851</v>
      </c>
      <c r="I97" s="24">
        <f t="shared" si="39"/>
        <v>2131806699</v>
      </c>
      <c r="J97" s="24">
        <f t="shared" si="39"/>
        <v>2087433096</v>
      </c>
      <c r="K97" s="24">
        <f t="shared" si="39"/>
        <v>44373602.86</v>
      </c>
      <c r="L97" s="24">
        <f t="shared" si="39"/>
        <v>9317232484</v>
      </c>
      <c r="M97" s="24">
        <f t="shared" si="39"/>
        <v>8026426882</v>
      </c>
      <c r="N97" s="24">
        <f t="shared" si="39"/>
        <v>1290805602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 t="s">
        <v>97</v>
      </c>
      <c r="B98" s="2"/>
      <c r="C98" s="3"/>
      <c r="D98" s="24">
        <f t="shared" ref="D98:N98" si="40">D94+D97</f>
        <v>205523456095</v>
      </c>
      <c r="E98" s="24">
        <f t="shared" si="40"/>
        <v>1058064459</v>
      </c>
      <c r="F98" s="24">
        <f t="shared" si="40"/>
        <v>204465391636</v>
      </c>
      <c r="G98" s="24">
        <f t="shared" si="40"/>
        <v>0</v>
      </c>
      <c r="H98" s="25">
        <f t="shared" si="40"/>
        <v>95987</v>
      </c>
      <c r="I98" s="24">
        <f t="shared" si="40"/>
        <v>25605127260</v>
      </c>
      <c r="J98" s="24">
        <f t="shared" si="40"/>
        <v>21991761061</v>
      </c>
      <c r="K98" s="24">
        <f t="shared" si="40"/>
        <v>3613366198</v>
      </c>
      <c r="L98" s="24">
        <f t="shared" si="40"/>
        <v>95345612091</v>
      </c>
      <c r="M98" s="24">
        <f t="shared" si="40"/>
        <v>90133182977</v>
      </c>
      <c r="N98" s="24">
        <f t="shared" si="40"/>
        <v>5212429114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 t="s">
        <v>98</v>
      </c>
      <c r="B99" s="2"/>
      <c r="C99" s="3"/>
      <c r="D99" s="6"/>
      <c r="E99" s="6"/>
      <c r="F99" s="6"/>
      <c r="G99" s="6"/>
      <c r="H99" s="5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8" t="s">
        <v>99</v>
      </c>
      <c r="B100" s="2"/>
      <c r="C100" s="3"/>
      <c r="D100" s="6"/>
      <c r="E100" s="6"/>
      <c r="F100" s="6"/>
      <c r="G100" s="6"/>
      <c r="H100" s="5"/>
      <c r="I100" s="6"/>
      <c r="J100" s="6"/>
      <c r="K100" s="4"/>
      <c r="L100" s="4"/>
      <c r="M100" s="4"/>
      <c r="N100" s="4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8"/>
      <c r="B101" s="2">
        <v>65.0</v>
      </c>
      <c r="C101" s="3" t="s">
        <v>100</v>
      </c>
      <c r="D101" s="6">
        <v>8.99003978468E9</v>
      </c>
      <c r="E101" s="6">
        <v>9.278711817E7</v>
      </c>
      <c r="F101" s="6">
        <f t="shared" ref="F101:F102" si="41">D101-E101</f>
        <v>8897252667</v>
      </c>
      <c r="G101" s="6">
        <v>0.0</v>
      </c>
      <c r="H101" s="5">
        <v>3554.0</v>
      </c>
      <c r="I101" s="6">
        <v>3.5245636407E8</v>
      </c>
      <c r="J101" s="6">
        <v>2.523453485E7</v>
      </c>
      <c r="K101" s="4">
        <f t="shared" ref="K101:K102" si="42">I101-J101</f>
        <v>327221829.2</v>
      </c>
      <c r="L101" s="4">
        <f>I101+Mar!L101</f>
        <v>2155409372</v>
      </c>
      <c r="M101" s="4">
        <f>J101+Mar!M101</f>
        <v>134722212.7</v>
      </c>
      <c r="N101" s="4">
        <f t="shared" ref="N101:N102" si="43">L101-M101</f>
        <v>2020687159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/>
      <c r="B102" s="2">
        <v>66.0</v>
      </c>
      <c r="C102" s="3" t="s">
        <v>101</v>
      </c>
      <c r="D102" s="6">
        <v>3.53084762105E9</v>
      </c>
      <c r="E102" s="6">
        <v>1.556982169E7</v>
      </c>
      <c r="F102" s="6">
        <f t="shared" si="41"/>
        <v>3515277799</v>
      </c>
      <c r="G102" s="6">
        <v>0.0</v>
      </c>
      <c r="H102" s="5">
        <v>5190.0</v>
      </c>
      <c r="I102" s="6">
        <v>1.0357553078E8</v>
      </c>
      <c r="J102" s="6">
        <v>5.219548534E7</v>
      </c>
      <c r="K102" s="4">
        <f t="shared" si="42"/>
        <v>51380045.44</v>
      </c>
      <c r="L102" s="4">
        <f>I102+Mar!L102</f>
        <v>768916126.4</v>
      </c>
      <c r="M102" s="4">
        <f>J102+Mar!M102</f>
        <v>677818986.7</v>
      </c>
      <c r="N102" s="4">
        <f t="shared" si="43"/>
        <v>91097139.76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22" t="s">
        <v>44</v>
      </c>
      <c r="B103" s="2"/>
      <c r="C103" s="3"/>
      <c r="D103" s="24">
        <f t="shared" ref="D103:N103" si="44">D101+D102</f>
        <v>12520887406</v>
      </c>
      <c r="E103" s="24">
        <f t="shared" si="44"/>
        <v>108356939.9</v>
      </c>
      <c r="F103" s="24">
        <f t="shared" si="44"/>
        <v>12412530466</v>
      </c>
      <c r="G103" s="24">
        <f t="shared" si="44"/>
        <v>0</v>
      </c>
      <c r="H103" s="25">
        <f t="shared" si="44"/>
        <v>8744</v>
      </c>
      <c r="I103" s="24">
        <f t="shared" si="44"/>
        <v>456031894.9</v>
      </c>
      <c r="J103" s="24">
        <f t="shared" si="44"/>
        <v>77430020.19</v>
      </c>
      <c r="K103" s="24">
        <f t="shared" si="44"/>
        <v>378601874.7</v>
      </c>
      <c r="L103" s="24">
        <f t="shared" si="44"/>
        <v>2924325498</v>
      </c>
      <c r="M103" s="24">
        <f t="shared" si="44"/>
        <v>812541199.3</v>
      </c>
      <c r="N103" s="24">
        <f t="shared" si="44"/>
        <v>2111784299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 t="s">
        <v>102</v>
      </c>
      <c r="B104" s="2"/>
      <c r="C104" s="3"/>
      <c r="D104" s="6"/>
      <c r="E104" s="6"/>
      <c r="F104" s="6"/>
      <c r="G104" s="6"/>
      <c r="H104" s="5"/>
      <c r="I104" s="6"/>
      <c r="J104" s="6"/>
      <c r="K104" s="4"/>
      <c r="L104" s="4"/>
      <c r="M104" s="4"/>
      <c r="N104" s="4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67.0</v>
      </c>
      <c r="C105" s="3" t="s">
        <v>103</v>
      </c>
      <c r="D105" s="6">
        <f>52.19*195203758.3</f>
        <v>10187684146</v>
      </c>
      <c r="E105" s="6">
        <f>52.19*414386.37</f>
        <v>21626824.65</v>
      </c>
      <c r="F105" s="6">
        <f>D105-E105</f>
        <v>10166057321</v>
      </c>
      <c r="G105" s="6">
        <v>0.0</v>
      </c>
      <c r="H105" s="5">
        <v>8474.0</v>
      </c>
      <c r="I105" s="6">
        <f>52.19*4015378</f>
        <v>209562577.8</v>
      </c>
      <c r="J105" s="6">
        <f>52.19*657223.74</f>
        <v>34300506.99</v>
      </c>
      <c r="K105" s="4">
        <f>I105-J105</f>
        <v>175262070.8</v>
      </c>
      <c r="L105" s="4">
        <f>I105+Mar!L105</f>
        <v>883719739.2</v>
      </c>
      <c r="M105" s="4">
        <f>J105+Mar!M105</f>
        <v>369972765.9</v>
      </c>
      <c r="N105" s="4">
        <f>L105-M105</f>
        <v>513746973.3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2" t="s">
        <v>88</v>
      </c>
      <c r="B106" s="23"/>
      <c r="C106" s="1"/>
      <c r="D106" s="24">
        <f t="shared" ref="D106:N106" si="45">SUM(D105)</f>
        <v>10187684146</v>
      </c>
      <c r="E106" s="24">
        <f t="shared" si="45"/>
        <v>21626824.65</v>
      </c>
      <c r="F106" s="24">
        <f t="shared" si="45"/>
        <v>10166057321</v>
      </c>
      <c r="G106" s="24">
        <f t="shared" si="45"/>
        <v>0</v>
      </c>
      <c r="H106" s="25">
        <f t="shared" si="45"/>
        <v>8474</v>
      </c>
      <c r="I106" s="24">
        <f t="shared" si="45"/>
        <v>209562577.8</v>
      </c>
      <c r="J106" s="24">
        <f t="shared" si="45"/>
        <v>34300506.99</v>
      </c>
      <c r="K106" s="24">
        <f t="shared" si="45"/>
        <v>175262070.8</v>
      </c>
      <c r="L106" s="24">
        <f t="shared" si="45"/>
        <v>883719739.2</v>
      </c>
      <c r="M106" s="24">
        <f t="shared" si="45"/>
        <v>369972765.9</v>
      </c>
      <c r="N106" s="24">
        <f t="shared" si="45"/>
        <v>513746973.3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" t="s">
        <v>104</v>
      </c>
      <c r="B107" s="31"/>
      <c r="C107" s="29"/>
      <c r="D107" s="24">
        <f t="shared" ref="D107:F107" si="46">SUM(D103+D106)</f>
        <v>22708571551</v>
      </c>
      <c r="E107" s="24">
        <f t="shared" si="46"/>
        <v>129983764.5</v>
      </c>
      <c r="F107" s="24">
        <f t="shared" si="46"/>
        <v>22578587787</v>
      </c>
      <c r="G107" s="24">
        <f>SUM(G106)</f>
        <v>0</v>
      </c>
      <c r="H107" s="25">
        <f t="shared" ref="H107:N107" si="47">SUM(H103+H106)</f>
        <v>17218</v>
      </c>
      <c r="I107" s="24">
        <f t="shared" si="47"/>
        <v>665594472.7</v>
      </c>
      <c r="J107" s="24">
        <f t="shared" si="47"/>
        <v>111730527.2</v>
      </c>
      <c r="K107" s="24">
        <f t="shared" si="47"/>
        <v>553863945.5</v>
      </c>
      <c r="L107" s="24">
        <f t="shared" si="47"/>
        <v>3808045237</v>
      </c>
      <c r="M107" s="24">
        <f t="shared" si="47"/>
        <v>1182513965</v>
      </c>
      <c r="N107" s="24">
        <f t="shared" si="47"/>
        <v>2625531272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32" t="s">
        <v>105</v>
      </c>
      <c r="B108" s="33"/>
      <c r="C108" s="34"/>
      <c r="D108" s="35">
        <f t="shared" ref="D108:N108" si="48">D38+D62+D88+D98+D107</f>
        <v>449644874034</v>
      </c>
      <c r="E108" s="35">
        <f t="shared" si="48"/>
        <v>2876041609</v>
      </c>
      <c r="F108" s="35">
        <f t="shared" si="48"/>
        <v>446768832425</v>
      </c>
      <c r="G108" s="35">
        <f t="shared" si="48"/>
        <v>121898390690</v>
      </c>
      <c r="H108" s="35">
        <f t="shared" si="48"/>
        <v>840827</v>
      </c>
      <c r="I108" s="35">
        <f t="shared" si="48"/>
        <v>27859428229</v>
      </c>
      <c r="J108" s="35">
        <f t="shared" si="48"/>
        <v>24020509465</v>
      </c>
      <c r="K108" s="35">
        <f t="shared" si="48"/>
        <v>3838918764</v>
      </c>
      <c r="L108" s="35">
        <f t="shared" si="48"/>
        <v>106888850572</v>
      </c>
      <c r="M108" s="35">
        <f t="shared" si="48"/>
        <v>103185926312</v>
      </c>
      <c r="N108" s="35">
        <f t="shared" si="48"/>
        <v>3702924260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2.0" customHeight="1">
      <c r="A109" s="3"/>
      <c r="B109" s="2"/>
      <c r="C109" s="36"/>
      <c r="D109" s="4"/>
      <c r="E109" s="4"/>
      <c r="F109" s="4"/>
      <c r="G109" s="4"/>
      <c r="H109" s="5"/>
      <c r="I109" s="6"/>
      <c r="J109" s="4"/>
      <c r="K109" s="4"/>
      <c r="L109" s="4"/>
      <c r="M109" s="4"/>
      <c r="N109" s="4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30"/>
      <c r="B110" s="36"/>
      <c r="C110" s="36"/>
      <c r="D110" s="4"/>
      <c r="E110" s="4"/>
      <c r="F110" s="4"/>
      <c r="G110" s="4"/>
      <c r="H110" s="5"/>
      <c r="I110" s="4"/>
      <c r="J110" s="4"/>
      <c r="K110" s="4"/>
      <c r="L110" s="4"/>
      <c r="M110" s="4"/>
      <c r="N110" s="4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6"/>
      <c r="B111" s="36"/>
      <c r="C111" s="36"/>
      <c r="D111" s="4"/>
      <c r="E111" s="4"/>
      <c r="F111" s="4"/>
      <c r="G111" s="4"/>
      <c r="H111" s="5"/>
      <c r="I111" s="6"/>
      <c r="J111" s="4"/>
      <c r="K111" s="4"/>
      <c r="L111" s="4"/>
      <c r="M111" s="4"/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36"/>
      <c r="B112" s="36"/>
      <c r="C112" s="36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6"/>
      <c r="B113" s="36"/>
      <c r="C113" s="36"/>
      <c r="D113" s="4"/>
      <c r="E113" s="4"/>
      <c r="F113" s="4"/>
      <c r="G113" s="4"/>
      <c r="H113" s="5"/>
      <c r="I113" s="6"/>
      <c r="J113" s="4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6"/>
      <c r="B114" s="36"/>
      <c r="C114" s="36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6"/>
      <c r="B115" s="36"/>
      <c r="C115" s="36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6"/>
      <c r="B116" s="36"/>
      <c r="C116" s="36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6"/>
      <c r="B117" s="36"/>
      <c r="C117" s="36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6"/>
      <c r="B118" s="36"/>
      <c r="C118" s="36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6"/>
      <c r="B119" s="36"/>
      <c r="C119" s="36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0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146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5.06630925161E9</v>
      </c>
      <c r="E9" s="6">
        <v>2.066754498E7</v>
      </c>
      <c r="F9" s="6">
        <f t="shared" ref="F9:F27" si="1">D9-E9</f>
        <v>5045641707</v>
      </c>
      <c r="G9" s="6">
        <v>4.569765363E9</v>
      </c>
      <c r="H9" s="5">
        <v>7467.0</v>
      </c>
      <c r="I9" s="6">
        <v>2.153666615E7</v>
      </c>
      <c r="J9" s="4">
        <v>4.532498029E7</v>
      </c>
      <c r="K9" s="4">
        <f t="shared" ref="K9:K27" si="2">I9-J9</f>
        <v>-23788314.14</v>
      </c>
      <c r="L9" s="4">
        <f>I9+Apr!L9</f>
        <v>87587275.43</v>
      </c>
      <c r="M9" s="4">
        <f>J9+Apr!M9</f>
        <v>231156437.2</v>
      </c>
      <c r="N9" s="4">
        <f t="shared" ref="N9:N27" si="3">L9-M9</f>
        <v>-143569161.7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147</v>
      </c>
      <c r="D10" s="6">
        <v>7.6089647049E8</v>
      </c>
      <c r="E10" s="6">
        <v>1923291.39</v>
      </c>
      <c r="F10" s="6">
        <f t="shared" si="1"/>
        <v>758973179.1</v>
      </c>
      <c r="G10" s="6">
        <v>6.7521392138E8</v>
      </c>
      <c r="H10" s="5">
        <v>4295.0</v>
      </c>
      <c r="I10" s="6">
        <v>7952178.5200000005</v>
      </c>
      <c r="J10" s="4">
        <v>1.1459316650000008E7</v>
      </c>
      <c r="K10" s="4">
        <f t="shared" si="2"/>
        <v>-3507138.13</v>
      </c>
      <c r="L10" s="4">
        <f>I10+Apr!L10</f>
        <v>171600154.7</v>
      </c>
      <c r="M10" s="4">
        <f>J10+Apr!M10</f>
        <v>115830096.6</v>
      </c>
      <c r="N10" s="4">
        <f t="shared" si="3"/>
        <v>55770058.06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148</v>
      </c>
      <c r="D11" s="6">
        <v>1.05759829905E9</v>
      </c>
      <c r="E11" s="6">
        <v>2841553.62</v>
      </c>
      <c r="F11" s="6">
        <f t="shared" si="1"/>
        <v>1054756745</v>
      </c>
      <c r="G11" s="6">
        <v>9.9142115533E8</v>
      </c>
      <c r="H11" s="5">
        <v>2776.0</v>
      </c>
      <c r="I11" s="6">
        <v>6538160.679999998</v>
      </c>
      <c r="J11" s="4">
        <v>5612004.040000003</v>
      </c>
      <c r="K11" s="4">
        <f t="shared" si="2"/>
        <v>926156.64</v>
      </c>
      <c r="L11" s="4">
        <f>I11+Apr!L11</f>
        <v>62458436.51</v>
      </c>
      <c r="M11" s="4">
        <f>J11+Apr!M11</f>
        <v>101787149.5</v>
      </c>
      <c r="N11" s="4">
        <f t="shared" si="3"/>
        <v>-39328713.03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6">
        <v>3.6122349983E8</v>
      </c>
      <c r="E12" s="6">
        <v>1.154967493E7</v>
      </c>
      <c r="F12" s="6">
        <f t="shared" si="1"/>
        <v>349673824.9</v>
      </c>
      <c r="G12" s="6">
        <v>1.9944071279E8</v>
      </c>
      <c r="H12" s="5">
        <v>1668.0</v>
      </c>
      <c r="I12" s="6">
        <v>6045012.92</v>
      </c>
      <c r="J12" s="4">
        <v>1488209.01</v>
      </c>
      <c r="K12" s="4">
        <f t="shared" si="2"/>
        <v>4556803.91</v>
      </c>
      <c r="L12" s="4">
        <f>I12+Apr!L12</f>
        <v>17040894.94</v>
      </c>
      <c r="M12" s="4">
        <f>J12+Apr!M12</f>
        <v>8103632.16</v>
      </c>
      <c r="N12" s="4">
        <f t="shared" si="3"/>
        <v>8937262.78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25</v>
      </c>
      <c r="D13" s="6">
        <v>5.3358043692E8</v>
      </c>
      <c r="E13" s="6">
        <v>1.044450566E7</v>
      </c>
      <c r="F13" s="6">
        <f t="shared" si="1"/>
        <v>523135931.3</v>
      </c>
      <c r="G13" s="6">
        <v>2.8813241476E8</v>
      </c>
      <c r="H13" s="5">
        <v>1501.0</v>
      </c>
      <c r="I13" s="6">
        <v>945891.77</v>
      </c>
      <c r="J13" s="4">
        <v>875055.7</v>
      </c>
      <c r="K13" s="4">
        <f t="shared" si="2"/>
        <v>70836.07</v>
      </c>
      <c r="L13" s="4">
        <f>I13+Apr!L13</f>
        <v>21377792.99</v>
      </c>
      <c r="M13" s="4">
        <f>J13+Apr!M13</f>
        <v>11627286.82</v>
      </c>
      <c r="N13" s="4">
        <f t="shared" si="3"/>
        <v>9750506.169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6">
        <v>4.43521282538E9</v>
      </c>
      <c r="E14" s="6">
        <v>1.0911912023E8</v>
      </c>
      <c r="F14" s="6">
        <f t="shared" si="1"/>
        <v>4326093705</v>
      </c>
      <c r="G14" s="6">
        <v>3.75871722335E9</v>
      </c>
      <c r="H14" s="5">
        <v>16518.0</v>
      </c>
      <c r="I14" s="6">
        <v>1.2071827915E8</v>
      </c>
      <c r="J14" s="4">
        <v>1.490224767E7</v>
      </c>
      <c r="K14" s="4">
        <f t="shared" si="2"/>
        <v>105816031.5</v>
      </c>
      <c r="L14" s="4">
        <f>I14+Apr!L14</f>
        <v>432680576.3</v>
      </c>
      <c r="M14" s="4">
        <f>J14+Apr!M14</f>
        <v>301913219.3</v>
      </c>
      <c r="N14" s="4">
        <f t="shared" si="3"/>
        <v>130767357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149</v>
      </c>
      <c r="D15" s="6">
        <v>9.273958053999999E7</v>
      </c>
      <c r="E15" s="6">
        <v>681524.52</v>
      </c>
      <c r="F15" s="6">
        <f t="shared" si="1"/>
        <v>92058056.02</v>
      </c>
      <c r="G15" s="6">
        <v>8.97172181E7</v>
      </c>
      <c r="H15" s="5">
        <v>537.0</v>
      </c>
      <c r="I15" s="6">
        <v>3040101.74</v>
      </c>
      <c r="J15" s="4">
        <v>1690864.27</v>
      </c>
      <c r="K15" s="4">
        <f t="shared" si="2"/>
        <v>1349237.47</v>
      </c>
      <c r="L15" s="4">
        <f>I15+Apr!L15</f>
        <v>10928007.57</v>
      </c>
      <c r="M15" s="4">
        <f>J15+Apr!M15</f>
        <v>6303830.921</v>
      </c>
      <c r="N15" s="4">
        <f t="shared" si="3"/>
        <v>4624176.647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6">
        <v>1.2960905028E8</v>
      </c>
      <c r="E16" s="6">
        <v>1031233.97</v>
      </c>
      <c r="F16" s="6">
        <f t="shared" si="1"/>
        <v>128577816.3</v>
      </c>
      <c r="G16" s="6">
        <v>1.1991045842E8</v>
      </c>
      <c r="H16" s="5">
        <v>51.0</v>
      </c>
      <c r="I16" s="50">
        <v>0.0</v>
      </c>
      <c r="J16" s="51">
        <v>0.0</v>
      </c>
      <c r="K16" s="4">
        <f t="shared" si="2"/>
        <v>0</v>
      </c>
      <c r="L16" s="4">
        <f>I16+Apr!L16</f>
        <v>1600000</v>
      </c>
      <c r="M16" s="4">
        <f>J16+Apr!M16</f>
        <v>950000</v>
      </c>
      <c r="N16" s="4">
        <f t="shared" si="3"/>
        <v>650000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6">
        <v>1.714759471179E10</v>
      </c>
      <c r="E17" s="6">
        <v>1.9676989543E8</v>
      </c>
      <c r="F17" s="6">
        <f t="shared" si="1"/>
        <v>16950824816</v>
      </c>
      <c r="G17" s="6">
        <v>1.684897477563E10</v>
      </c>
      <c r="H17" s="5">
        <v>12428.0</v>
      </c>
      <c r="I17" s="6">
        <v>1.8792179223E8</v>
      </c>
      <c r="J17" s="4">
        <v>1.674178486E7</v>
      </c>
      <c r="K17" s="4">
        <f t="shared" si="2"/>
        <v>171180007.4</v>
      </c>
      <c r="L17" s="4">
        <f>I17+Apr!L17</f>
        <v>1003482556</v>
      </c>
      <c r="M17" s="4">
        <f>J17+Apr!M17</f>
        <v>75433084.69</v>
      </c>
      <c r="N17" s="4">
        <f t="shared" si="3"/>
        <v>928049471.2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6">
        <v>3.40716439774E10</v>
      </c>
      <c r="E18" s="6">
        <v>2.2642635672E8</v>
      </c>
      <c r="F18" s="6">
        <f t="shared" si="1"/>
        <v>33845217621</v>
      </c>
      <c r="G18" s="6">
        <v>3.01204231365E10</v>
      </c>
      <c r="H18" s="5">
        <v>12424.0</v>
      </c>
      <c r="I18" s="6">
        <v>1.0363243573E8</v>
      </c>
      <c r="J18" s="4">
        <v>3.66578177E7</v>
      </c>
      <c r="K18" s="4">
        <f t="shared" si="2"/>
        <v>66974618.03</v>
      </c>
      <c r="L18" s="4">
        <f>I18+Apr!L18</f>
        <v>504361449.7</v>
      </c>
      <c r="M18" s="4">
        <f>J18+Apr!M18</f>
        <v>466631250.9</v>
      </c>
      <c r="N18" s="4">
        <f t="shared" si="3"/>
        <v>37730198.75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6">
        <v>2.31260475203655E9</v>
      </c>
      <c r="E19" s="6">
        <v>1.6508956894E7</v>
      </c>
      <c r="F19" s="6">
        <f t="shared" si="1"/>
        <v>2296095795</v>
      </c>
      <c r="G19" s="6">
        <v>2.01798583871196E9</v>
      </c>
      <c r="H19" s="5">
        <v>5693.0</v>
      </c>
      <c r="I19" s="6">
        <v>1.735120705E7</v>
      </c>
      <c r="J19" s="4">
        <v>2.704152448E7</v>
      </c>
      <c r="K19" s="4">
        <f t="shared" si="2"/>
        <v>-9690317.43</v>
      </c>
      <c r="L19" s="4">
        <f>I19+Apr!L19</f>
        <v>91306648.66</v>
      </c>
      <c r="M19" s="4">
        <f>J19+Apr!M19</f>
        <v>257099478.4</v>
      </c>
      <c r="N19" s="4">
        <f t="shared" si="3"/>
        <v>-165792829.7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6">
        <v>1.02883662073297E10</v>
      </c>
      <c r="E20" s="6">
        <v>6.529034024E7</v>
      </c>
      <c r="F20" s="6">
        <f t="shared" si="1"/>
        <v>10223075867</v>
      </c>
      <c r="G20" s="6">
        <v>9.65117985486E9</v>
      </c>
      <c r="H20" s="5">
        <v>36942.0</v>
      </c>
      <c r="I20" s="6">
        <v>4.770583445E7</v>
      </c>
      <c r="J20" s="4">
        <v>5.650968252E7</v>
      </c>
      <c r="K20" s="4">
        <f t="shared" si="2"/>
        <v>-8803848.07</v>
      </c>
      <c r="L20" s="4">
        <f>I20+Apr!L20</f>
        <v>164277770.5</v>
      </c>
      <c r="M20" s="4">
        <f>J20+Apr!M20</f>
        <v>300464309.4</v>
      </c>
      <c r="N20" s="4">
        <f t="shared" si="3"/>
        <v>-136186538.9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6">
        <v>3.40020281647189E8</v>
      </c>
      <c r="E21" s="6">
        <v>9505988.04</v>
      </c>
      <c r="F21" s="6">
        <f t="shared" si="1"/>
        <v>330514293.6</v>
      </c>
      <c r="G21" s="6">
        <v>3.2797703983E8</v>
      </c>
      <c r="H21" s="5">
        <v>1007.0</v>
      </c>
      <c r="I21" s="6">
        <v>489075.05</v>
      </c>
      <c r="J21" s="4">
        <v>886651.4</v>
      </c>
      <c r="K21" s="4">
        <f t="shared" si="2"/>
        <v>-397576.35</v>
      </c>
      <c r="L21" s="4">
        <f>I21+Apr!L21</f>
        <v>4430182.36</v>
      </c>
      <c r="M21" s="4">
        <f>J21+Apr!M21</f>
        <v>2814050.23</v>
      </c>
      <c r="N21" s="4">
        <f t="shared" si="3"/>
        <v>1616132.13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6">
        <v>3.9126778919736E9</v>
      </c>
      <c r="E22" s="6">
        <v>8.63613573E7</v>
      </c>
      <c r="F22" s="6">
        <f t="shared" si="1"/>
        <v>3826316535</v>
      </c>
      <c r="G22" s="6">
        <v>3.75582868975869E9</v>
      </c>
      <c r="H22" s="5">
        <v>27541.0</v>
      </c>
      <c r="I22" s="6">
        <v>1.2227225999E8</v>
      </c>
      <c r="J22" s="4">
        <v>2.295475071E7</v>
      </c>
      <c r="K22" s="4">
        <f t="shared" si="2"/>
        <v>99317509.28</v>
      </c>
      <c r="L22" s="4">
        <f>I22+Apr!L22</f>
        <v>240068296.3</v>
      </c>
      <c r="M22" s="4">
        <f>J22+Apr!M22</f>
        <v>183374335.2</v>
      </c>
      <c r="N22" s="4">
        <f t="shared" si="3"/>
        <v>56693961.05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6">
        <v>9.83683480261E9</v>
      </c>
      <c r="E23" s="6">
        <v>1.601115099E7</v>
      </c>
      <c r="F23" s="6">
        <f t="shared" si="1"/>
        <v>9820823652</v>
      </c>
      <c r="G23" s="6">
        <v>9.76255649611E9</v>
      </c>
      <c r="H23" s="5">
        <v>9116.0</v>
      </c>
      <c r="I23" s="6">
        <v>9286142.48</v>
      </c>
      <c r="J23" s="4">
        <v>1.2003141354E8</v>
      </c>
      <c r="K23" s="4">
        <f t="shared" si="2"/>
        <v>-110745271.1</v>
      </c>
      <c r="L23" s="4">
        <f>I23+Apr!L23</f>
        <v>35343335.28</v>
      </c>
      <c r="M23" s="4">
        <f>J23+Apr!M23</f>
        <v>748956982.8</v>
      </c>
      <c r="N23" s="4">
        <f t="shared" si="3"/>
        <v>-713613647.5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19" t="s">
        <v>36</v>
      </c>
      <c r="D24" s="6">
        <v>2.61224276251E9</v>
      </c>
      <c r="E24" s="6">
        <v>7129002.25</v>
      </c>
      <c r="F24" s="6">
        <f t="shared" si="1"/>
        <v>2605113760</v>
      </c>
      <c r="G24" s="6">
        <v>2.44709942198E9</v>
      </c>
      <c r="H24" s="5">
        <v>12988.0</v>
      </c>
      <c r="I24" s="6">
        <v>8.707507686000003E7</v>
      </c>
      <c r="J24" s="4">
        <v>2037232.21</v>
      </c>
      <c r="K24" s="4">
        <f t="shared" si="2"/>
        <v>85037844.65</v>
      </c>
      <c r="L24" s="4">
        <f>I24+Apr!L24</f>
        <v>292304015.6</v>
      </c>
      <c r="M24" s="4">
        <f>J24+Apr!M24</f>
        <v>10933863.47</v>
      </c>
      <c r="N24" s="4">
        <f t="shared" si="3"/>
        <v>281370152.1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v>17.0</v>
      </c>
      <c r="C25" s="21" t="s">
        <v>37</v>
      </c>
      <c r="D25" s="6">
        <v>7.65979600727E9</v>
      </c>
      <c r="E25" s="6">
        <v>3.140799804E7</v>
      </c>
      <c r="F25" s="6">
        <f t="shared" si="1"/>
        <v>7628388009</v>
      </c>
      <c r="G25" s="6">
        <v>7.4493632497E9</v>
      </c>
      <c r="H25" s="5">
        <v>65795.0</v>
      </c>
      <c r="I25" s="6">
        <v>3.4115943609E8</v>
      </c>
      <c r="J25" s="4">
        <v>5.193842294E7</v>
      </c>
      <c r="K25" s="4">
        <f t="shared" si="2"/>
        <v>289221013.2</v>
      </c>
      <c r="L25" s="4">
        <f>I25+Apr!L25</f>
        <v>625677071.1</v>
      </c>
      <c r="M25" s="4">
        <f>J25+Apr!M25</f>
        <v>411019192</v>
      </c>
      <c r="N25" s="4">
        <f t="shared" si="3"/>
        <v>214657879.1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v>18.0</v>
      </c>
      <c r="C26" s="21" t="s">
        <v>38</v>
      </c>
      <c r="D26" s="6">
        <v>1.176173680042E10</v>
      </c>
      <c r="E26" s="6">
        <v>5.668399282E7</v>
      </c>
      <c r="F26" s="6">
        <f t="shared" si="1"/>
        <v>11705052808</v>
      </c>
      <c r="G26" s="6">
        <v>1.16624741373E10</v>
      </c>
      <c r="H26" s="5">
        <v>55962.0</v>
      </c>
      <c r="I26" s="6">
        <v>2.3673559477E8</v>
      </c>
      <c r="J26" s="4">
        <v>1.0314768487E8</v>
      </c>
      <c r="K26" s="4">
        <f t="shared" si="2"/>
        <v>133587909.9</v>
      </c>
      <c r="L26" s="4">
        <f>I26+Apr!L26</f>
        <v>1562946859</v>
      </c>
      <c r="M26" s="4">
        <f>J26+Apr!M26</f>
        <v>1131738591</v>
      </c>
      <c r="N26" s="4">
        <f t="shared" si="3"/>
        <v>431208268.4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6">
        <v>6.15557646978E8</v>
      </c>
      <c r="E27" s="6">
        <v>2711557.9</v>
      </c>
      <c r="F27" s="6">
        <f t="shared" si="1"/>
        <v>612846089.1</v>
      </c>
      <c r="G27" s="6">
        <v>5.5541166275E8</v>
      </c>
      <c r="H27" s="5">
        <v>1306.0</v>
      </c>
      <c r="I27" s="6">
        <v>666991.429999998</v>
      </c>
      <c r="J27" s="4">
        <v>3234532.08</v>
      </c>
      <c r="K27" s="4">
        <f t="shared" si="2"/>
        <v>-2567540.65</v>
      </c>
      <c r="L27" s="4">
        <f>I27+Apr!L27</f>
        <v>11232840.7</v>
      </c>
      <c r="M27" s="4">
        <f>J27+Apr!M27</f>
        <v>6966264.09</v>
      </c>
      <c r="N27" s="4">
        <f t="shared" si="3"/>
        <v>4266576.61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5"/>
      <c r="I28" s="6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3"/>
      <c r="B29" s="2">
        <v>20.0</v>
      </c>
      <c r="C29" s="3" t="s">
        <v>41</v>
      </c>
      <c r="D29" s="6">
        <v>3.77991766534001E8</v>
      </c>
      <c r="E29" s="6">
        <v>6640875.419</v>
      </c>
      <c r="F29" s="6">
        <f t="shared" ref="F29:F30" si="4">D29-E29</f>
        <v>371350891.1</v>
      </c>
      <c r="G29" s="6">
        <v>3.1764789493E8</v>
      </c>
      <c r="H29" s="5">
        <v>1479.0</v>
      </c>
      <c r="I29" s="6">
        <v>1.102336152E7</v>
      </c>
      <c r="J29" s="4">
        <v>3495515.03</v>
      </c>
      <c r="K29" s="4">
        <f t="shared" ref="K29:K30" si="5">I29-J29</f>
        <v>7527846.49</v>
      </c>
      <c r="L29" s="4">
        <f>I29+Apr!L29</f>
        <v>67796037.66</v>
      </c>
      <c r="M29" s="4">
        <f>J29+Apr!M29</f>
        <v>13382626.69</v>
      </c>
      <c r="N29" s="4">
        <f t="shared" ref="N29:N30" si="6">L29-M29</f>
        <v>54413410.97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35</v>
      </c>
      <c r="D30" s="6">
        <v>3.3700795344E8</v>
      </c>
      <c r="E30" s="6">
        <v>1.677962546E7</v>
      </c>
      <c r="F30" s="6">
        <f t="shared" si="4"/>
        <v>320228328</v>
      </c>
      <c r="G30" s="6">
        <v>3.182241215E8</v>
      </c>
      <c r="H30" s="5">
        <v>275893.0</v>
      </c>
      <c r="I30" s="6">
        <v>6.511420431E7</v>
      </c>
      <c r="J30" s="4">
        <v>3.427716558E7</v>
      </c>
      <c r="K30" s="4">
        <f t="shared" si="5"/>
        <v>30837038.73</v>
      </c>
      <c r="L30" s="4">
        <f>I30+Apr!L30</f>
        <v>408418045.3</v>
      </c>
      <c r="M30" s="4">
        <f>J30+Apr!M30</f>
        <v>67832105.16</v>
      </c>
      <c r="N30" s="4">
        <f t="shared" si="6"/>
        <v>340585940.2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18" t="s">
        <v>42</v>
      </c>
      <c r="B31" s="2"/>
      <c r="C31" s="3"/>
      <c r="D31" s="6"/>
      <c r="E31" s="6"/>
      <c r="F31" s="6"/>
      <c r="G31" s="6"/>
      <c r="H31" s="5"/>
      <c r="I31" s="6"/>
      <c r="J31" s="4"/>
      <c r="K31" s="4"/>
      <c r="L31" s="4"/>
      <c r="M31" s="4"/>
      <c r="N31" s="4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1.25" customHeight="1">
      <c r="A32" s="3"/>
      <c r="B32" s="2">
        <v>22.0</v>
      </c>
      <c r="C32" s="3" t="s">
        <v>43</v>
      </c>
      <c r="D32" s="6">
        <v>2.1685272731600003E9</v>
      </c>
      <c r="E32" s="6">
        <v>4962134.86</v>
      </c>
      <c r="F32" s="6">
        <f>D32-E32</f>
        <v>2163565138</v>
      </c>
      <c r="G32" s="6">
        <v>2.1597662403E9</v>
      </c>
      <c r="H32" s="5">
        <v>3142.0</v>
      </c>
      <c r="I32" s="6">
        <v>1.9098124E7</v>
      </c>
      <c r="J32" s="4">
        <v>9240460.0</v>
      </c>
      <c r="K32" s="4">
        <f>I32-J32</f>
        <v>9857664</v>
      </c>
      <c r="L32" s="4">
        <f>I32+Apr!L32</f>
        <v>75702425</v>
      </c>
      <c r="M32" s="4">
        <f>J32+Apr!M32</f>
        <v>13683385</v>
      </c>
      <c r="N32" s="4">
        <f>L32-M32</f>
        <v>62019040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22" t="s">
        <v>44</v>
      </c>
      <c r="B33" s="23"/>
      <c r="C33" s="1"/>
      <c r="D33" s="24">
        <f t="shared" ref="D33:N33" si="7">SUM(D9:D32)</f>
        <v>115879772249</v>
      </c>
      <c r="E33" s="24">
        <f t="shared" si="7"/>
        <v>901447681.7</v>
      </c>
      <c r="F33" s="24">
        <f t="shared" si="7"/>
        <v>114978324568</v>
      </c>
      <c r="G33" s="24">
        <f t="shared" si="7"/>
        <v>108087231027</v>
      </c>
      <c r="H33" s="25">
        <f t="shared" si="7"/>
        <v>556529</v>
      </c>
      <c r="I33" s="24">
        <f t="shared" si="7"/>
        <v>1416307827</v>
      </c>
      <c r="J33" s="26">
        <f t="shared" si="7"/>
        <v>569547315.6</v>
      </c>
      <c r="K33" s="26">
        <f t="shared" si="7"/>
        <v>846760511.3</v>
      </c>
      <c r="L33" s="26">
        <f t="shared" si="7"/>
        <v>5892620672</v>
      </c>
      <c r="M33" s="26">
        <f t="shared" si="7"/>
        <v>4468001171</v>
      </c>
      <c r="N33" s="26">
        <f t="shared" si="7"/>
        <v>1424619500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2.0" customHeight="1">
      <c r="A34" s="18" t="s">
        <v>45</v>
      </c>
      <c r="B34" s="2"/>
      <c r="C34" s="3"/>
      <c r="D34" s="6"/>
      <c r="E34" s="6"/>
      <c r="F34" s="6"/>
      <c r="G34" s="6"/>
      <c r="H34" s="5"/>
      <c r="I34" s="6"/>
      <c r="J34" s="4"/>
      <c r="K34" s="4"/>
      <c r="L34" s="4"/>
      <c r="M34" s="4"/>
      <c r="N34" s="4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2.0" customHeight="1">
      <c r="A35" s="3"/>
      <c r="B35" s="2">
        <v>23.0</v>
      </c>
      <c r="C35" s="3" t="s">
        <v>150</v>
      </c>
      <c r="D35" s="6">
        <v>4.04397594551E7</v>
      </c>
      <c r="E35" s="6">
        <v>943443.4551999999</v>
      </c>
      <c r="F35" s="6">
        <f t="shared" ref="F35:F36" si="8">D35-E35</f>
        <v>39496316</v>
      </c>
      <c r="G35" s="27">
        <v>0.0</v>
      </c>
      <c r="H35" s="5">
        <v>57.0</v>
      </c>
      <c r="I35" s="6">
        <v>292627.85</v>
      </c>
      <c r="J35" s="4">
        <v>4725.87</v>
      </c>
      <c r="K35" s="4">
        <f t="shared" ref="K35:K36" si="9">I35-J35</f>
        <v>287901.98</v>
      </c>
      <c r="L35" s="4">
        <f>I35+Apr!L35</f>
        <v>860006.99</v>
      </c>
      <c r="M35" s="4">
        <f>J35+Apr!M35</f>
        <v>5532962.79</v>
      </c>
      <c r="N35" s="4">
        <f t="shared" ref="N35:N36" si="10">L35-M35</f>
        <v>-4672955.8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47</v>
      </c>
      <c r="D36" s="6">
        <f>52.37*37237603.84</f>
        <v>1950133313</v>
      </c>
      <c r="E36" s="6">
        <f>52.37*251879.39</f>
        <v>13190923.65</v>
      </c>
      <c r="F36" s="6">
        <f t="shared" si="8"/>
        <v>1936942389</v>
      </c>
      <c r="G36" s="6">
        <v>0.0</v>
      </c>
      <c r="H36" s="5">
        <v>2797.0</v>
      </c>
      <c r="I36" s="6">
        <f>52.37*270477.02</f>
        <v>14164881.54</v>
      </c>
      <c r="J36" s="6">
        <f>52.37*439889.89</f>
        <v>23037033.54</v>
      </c>
      <c r="K36" s="4">
        <f t="shared" si="9"/>
        <v>-8872152.002</v>
      </c>
      <c r="L36" s="4">
        <f>I36+Apr!L36</f>
        <v>244786903.2</v>
      </c>
      <c r="M36" s="4">
        <f>J36+Apr!M36</f>
        <v>213522739.5</v>
      </c>
      <c r="N36" s="4">
        <f t="shared" si="10"/>
        <v>31264163.77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22" t="s">
        <v>48</v>
      </c>
      <c r="B37" s="23"/>
      <c r="C37" s="1"/>
      <c r="D37" s="24">
        <f t="shared" ref="D37:N37" si="11">SUM(D35:D36)</f>
        <v>1990573073</v>
      </c>
      <c r="E37" s="24">
        <f t="shared" si="11"/>
        <v>14134367.11</v>
      </c>
      <c r="F37" s="24">
        <f t="shared" si="11"/>
        <v>1976438705</v>
      </c>
      <c r="G37" s="24">
        <f t="shared" si="11"/>
        <v>0</v>
      </c>
      <c r="H37" s="25">
        <f t="shared" si="11"/>
        <v>2854</v>
      </c>
      <c r="I37" s="24">
        <f t="shared" si="11"/>
        <v>14457509.39</v>
      </c>
      <c r="J37" s="26">
        <f t="shared" si="11"/>
        <v>23041759.41</v>
      </c>
      <c r="K37" s="26">
        <f t="shared" si="11"/>
        <v>-8584250.022</v>
      </c>
      <c r="L37" s="26">
        <f t="shared" si="11"/>
        <v>245646910.2</v>
      </c>
      <c r="M37" s="26">
        <f t="shared" si="11"/>
        <v>219055702.3</v>
      </c>
      <c r="N37" s="26">
        <f t="shared" si="11"/>
        <v>26591207.97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2.0" customHeight="1">
      <c r="A38" s="1" t="s">
        <v>49</v>
      </c>
      <c r="B38" s="23"/>
      <c r="C38" s="1"/>
      <c r="D38" s="24">
        <f t="shared" ref="D38:N38" si="12">D33+D37</f>
        <v>117870345322</v>
      </c>
      <c r="E38" s="24">
        <f t="shared" si="12"/>
        <v>915582048.8</v>
      </c>
      <c r="F38" s="24">
        <f t="shared" si="12"/>
        <v>116954763273</v>
      </c>
      <c r="G38" s="24">
        <f t="shared" si="12"/>
        <v>108087231027</v>
      </c>
      <c r="H38" s="25">
        <f t="shared" si="12"/>
        <v>559383</v>
      </c>
      <c r="I38" s="24">
        <f t="shared" si="12"/>
        <v>1430765336</v>
      </c>
      <c r="J38" s="26">
        <f t="shared" si="12"/>
        <v>592589075</v>
      </c>
      <c r="K38" s="26">
        <f t="shared" si="12"/>
        <v>838176261.3</v>
      </c>
      <c r="L38" s="26">
        <f t="shared" si="12"/>
        <v>6138267582</v>
      </c>
      <c r="M38" s="26">
        <f t="shared" si="12"/>
        <v>4687056874</v>
      </c>
      <c r="N38" s="26">
        <f t="shared" si="12"/>
        <v>1451210708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50</v>
      </c>
      <c r="B39" s="2"/>
      <c r="C39" s="3"/>
      <c r="D39" s="6"/>
      <c r="E39" s="6"/>
      <c r="F39" s="6"/>
      <c r="G39" s="6"/>
      <c r="H39" s="5"/>
      <c r="I39" s="6"/>
      <c r="J39" s="4"/>
      <c r="K39" s="4"/>
      <c r="L39" s="4"/>
      <c r="M39" s="4"/>
      <c r="N39" s="4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ht="12.0" customHeight="1">
      <c r="A40" s="18" t="s">
        <v>20</v>
      </c>
      <c r="B40" s="2"/>
      <c r="C40" s="3"/>
      <c r="D40" s="6"/>
      <c r="E40" s="6"/>
      <c r="F40" s="6"/>
      <c r="G40" s="6"/>
      <c r="H40" s="5"/>
      <c r="I40" s="6"/>
      <c r="J40" s="4"/>
      <c r="K40" s="4"/>
      <c r="L40" s="4"/>
      <c r="M40" s="4"/>
      <c r="N40" s="4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/>
      <c r="B41" s="2">
        <v>25.0</v>
      </c>
      <c r="C41" s="3" t="s">
        <v>151</v>
      </c>
      <c r="D41" s="6">
        <v>1.2351405960000001E8</v>
      </c>
      <c r="E41" s="6">
        <v>377187.72</v>
      </c>
      <c r="F41" s="6">
        <f t="shared" ref="F41:F50" si="13">D41-E41</f>
        <v>123136871.9</v>
      </c>
      <c r="G41" s="6">
        <v>2.6599529E7</v>
      </c>
      <c r="H41" s="5">
        <v>736.0</v>
      </c>
      <c r="I41" s="6">
        <v>645791.2999999999</v>
      </c>
      <c r="J41" s="4">
        <v>259818.16</v>
      </c>
      <c r="K41" s="4">
        <f t="shared" ref="K41:K50" si="14">I41-J41</f>
        <v>385973.14</v>
      </c>
      <c r="L41" s="4">
        <f>I41+Apr!L41</f>
        <v>8636856.21</v>
      </c>
      <c r="M41" s="4">
        <f>J41+Apr!M41</f>
        <v>3139571.89</v>
      </c>
      <c r="N41" s="4">
        <f t="shared" ref="N41:N50" si="15">L41-M41</f>
        <v>5497284.32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3"/>
      <c r="B42" s="2">
        <v>26.0</v>
      </c>
      <c r="C42" s="3" t="s">
        <v>152</v>
      </c>
      <c r="D42" s="6">
        <v>6.3766837677E8</v>
      </c>
      <c r="E42" s="6">
        <v>1923693.45</v>
      </c>
      <c r="F42" s="6">
        <f t="shared" si="13"/>
        <v>635744683.3</v>
      </c>
      <c r="G42" s="6">
        <v>2.349968937E8</v>
      </c>
      <c r="H42" s="5">
        <v>2479.0</v>
      </c>
      <c r="I42" s="6">
        <v>759091.2799999999</v>
      </c>
      <c r="J42" s="4">
        <v>5529011.680000002</v>
      </c>
      <c r="K42" s="4">
        <f t="shared" si="14"/>
        <v>-4769920.4</v>
      </c>
      <c r="L42" s="4">
        <f>I42+Apr!L42</f>
        <v>7760661.08</v>
      </c>
      <c r="M42" s="4">
        <f>J42+Apr!M42</f>
        <v>33929029.28</v>
      </c>
      <c r="N42" s="4">
        <f t="shared" si="15"/>
        <v>-26168368.2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53</v>
      </c>
      <c r="D43" s="6">
        <v>1.13698792665E9</v>
      </c>
      <c r="E43" s="6">
        <v>1.68320013E7</v>
      </c>
      <c r="F43" s="6">
        <f t="shared" si="13"/>
        <v>1120155925</v>
      </c>
      <c r="G43" s="6">
        <v>5.7741167775E8</v>
      </c>
      <c r="H43" s="5">
        <v>4847.0</v>
      </c>
      <c r="I43" s="6">
        <v>1686071.34</v>
      </c>
      <c r="J43" s="4">
        <v>4333048.08</v>
      </c>
      <c r="K43" s="4">
        <f t="shared" si="14"/>
        <v>-2646976.74</v>
      </c>
      <c r="L43" s="4">
        <f>I43+Apr!L43</f>
        <v>14815418.62</v>
      </c>
      <c r="M43" s="4">
        <f>J43+Apr!M43</f>
        <v>161982018.9</v>
      </c>
      <c r="N43" s="4">
        <f t="shared" si="15"/>
        <v>-147166600.3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54</v>
      </c>
      <c r="D44" s="6">
        <v>2.840179649E8</v>
      </c>
      <c r="E44" s="6">
        <v>4440600.12</v>
      </c>
      <c r="F44" s="6">
        <f t="shared" si="13"/>
        <v>279577364.8</v>
      </c>
      <c r="G44" s="6">
        <v>1.6743062192999998E8</v>
      </c>
      <c r="H44" s="5">
        <v>186.0</v>
      </c>
      <c r="I44" s="6">
        <v>9359995.09</v>
      </c>
      <c r="J44" s="4">
        <v>61205.31</v>
      </c>
      <c r="K44" s="4">
        <f t="shared" si="14"/>
        <v>9298789.78</v>
      </c>
      <c r="L44" s="4">
        <f>I44+Apr!L44</f>
        <v>274692385.1</v>
      </c>
      <c r="M44" s="4">
        <f>J44+Apr!M44</f>
        <v>11645701.1</v>
      </c>
      <c r="N44" s="4">
        <f t="shared" si="15"/>
        <v>263046684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55</v>
      </c>
      <c r="D45" s="6">
        <v>3.4718151702E8</v>
      </c>
      <c r="E45" s="6">
        <v>1751900.62</v>
      </c>
      <c r="F45" s="6">
        <f t="shared" si="13"/>
        <v>345429616.4</v>
      </c>
      <c r="G45" s="6">
        <v>1.6310316035E8</v>
      </c>
      <c r="H45" s="5">
        <v>57.0</v>
      </c>
      <c r="I45" s="6">
        <v>0.0</v>
      </c>
      <c r="J45" s="4">
        <v>0.0</v>
      </c>
      <c r="K45" s="4">
        <f t="shared" si="14"/>
        <v>0</v>
      </c>
      <c r="L45" s="4">
        <f>I45+Apr!L45</f>
        <v>0</v>
      </c>
      <c r="M45" s="4">
        <f>J45+Apr!M45</f>
        <v>1017100</v>
      </c>
      <c r="N45" s="4">
        <f t="shared" si="15"/>
        <v>-1017100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56</v>
      </c>
      <c r="D46" s="6">
        <v>6.0467417786E8</v>
      </c>
      <c r="E46" s="6">
        <v>1.258401369E7</v>
      </c>
      <c r="F46" s="6">
        <f t="shared" si="13"/>
        <v>592090164.2</v>
      </c>
      <c r="G46" s="6">
        <v>3.1221278335E8</v>
      </c>
      <c r="H46" s="5">
        <v>10005.0</v>
      </c>
      <c r="I46" s="6">
        <v>2236451.91</v>
      </c>
      <c r="J46" s="4">
        <v>3894280.65</v>
      </c>
      <c r="K46" s="4">
        <f t="shared" si="14"/>
        <v>-1657828.74</v>
      </c>
      <c r="L46" s="4">
        <f>I46+Apr!L46</f>
        <v>3939300.62</v>
      </c>
      <c r="M46" s="4">
        <f>J46+Apr!M46</f>
        <v>29941957.71</v>
      </c>
      <c r="N46" s="4">
        <f t="shared" si="15"/>
        <v>-26002657.09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57</v>
      </c>
      <c r="D47" s="6">
        <v>1.082783510678E10</v>
      </c>
      <c r="E47" s="6">
        <v>5.491138776E7</v>
      </c>
      <c r="F47" s="6">
        <f t="shared" si="13"/>
        <v>10772923719</v>
      </c>
      <c r="G47" s="6">
        <v>5.6424300085E9</v>
      </c>
      <c r="H47" s="5">
        <v>8195.0</v>
      </c>
      <c r="I47" s="6">
        <v>2.31723131E7</v>
      </c>
      <c r="J47" s="4">
        <v>1.385659221E7</v>
      </c>
      <c r="K47" s="4">
        <f t="shared" si="14"/>
        <v>9315720.89</v>
      </c>
      <c r="L47" s="4">
        <f>I47+Apr!L47</f>
        <v>136765322.4</v>
      </c>
      <c r="M47" s="4">
        <f>J47+Apr!M47</f>
        <v>92658298.3</v>
      </c>
      <c r="N47" s="4">
        <f t="shared" si="15"/>
        <v>44107024.1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1.25" customHeight="1">
      <c r="A48" s="18"/>
      <c r="B48" s="2">
        <v>32.0</v>
      </c>
      <c r="C48" s="3" t="s">
        <v>153</v>
      </c>
      <c r="D48" s="6">
        <v>1.3872776472E8</v>
      </c>
      <c r="E48" s="6">
        <v>332525.88</v>
      </c>
      <c r="F48" s="6">
        <f t="shared" si="13"/>
        <v>138395238.8</v>
      </c>
      <c r="G48" s="6">
        <v>7.4922126E7</v>
      </c>
      <c r="H48" s="5">
        <v>197.0</v>
      </c>
      <c r="I48" s="6">
        <v>8498.02</v>
      </c>
      <c r="J48" s="4">
        <v>3370506.32</v>
      </c>
      <c r="K48" s="4">
        <f t="shared" si="14"/>
        <v>-3362008.3</v>
      </c>
      <c r="L48" s="4">
        <f>I48+Apr!L48</f>
        <v>352374.21</v>
      </c>
      <c r="M48" s="4">
        <f>J48+Apr!M48</f>
        <v>6586026.29</v>
      </c>
      <c r="N48" s="4">
        <f t="shared" si="15"/>
        <v>-6233652.08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v>33.0</v>
      </c>
      <c r="C49" s="3" t="s">
        <v>59</v>
      </c>
      <c r="D49" s="6">
        <v>7.68810709313E9</v>
      </c>
      <c r="E49" s="6">
        <v>3.008903661E7</v>
      </c>
      <c r="F49" s="6">
        <f t="shared" si="13"/>
        <v>7658018057</v>
      </c>
      <c r="G49" s="6">
        <v>4.68040366035E9</v>
      </c>
      <c r="H49" s="5">
        <v>53212.0</v>
      </c>
      <c r="I49" s="6">
        <v>2.231081114E7</v>
      </c>
      <c r="J49" s="4">
        <v>4.33308344E7</v>
      </c>
      <c r="K49" s="4">
        <f t="shared" si="14"/>
        <v>-21020023.26</v>
      </c>
      <c r="L49" s="4">
        <f>I49+Apr!L49</f>
        <v>88577123.23</v>
      </c>
      <c r="M49" s="4">
        <f>J49+Apr!M49</f>
        <v>265743523.7</v>
      </c>
      <c r="N49" s="4">
        <f t="shared" si="15"/>
        <v>-177166400.5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60</v>
      </c>
      <c r="D50" s="6">
        <v>1.24042423722E9</v>
      </c>
      <c r="E50" s="6">
        <v>2.206964389E7</v>
      </c>
      <c r="F50" s="6">
        <f t="shared" si="13"/>
        <v>1218354593</v>
      </c>
      <c r="G50" s="6">
        <v>8.6141197685E8</v>
      </c>
      <c r="H50" s="5">
        <v>4998.0</v>
      </c>
      <c r="I50" s="6">
        <v>0.0</v>
      </c>
      <c r="J50" s="4">
        <v>2417607.12</v>
      </c>
      <c r="K50" s="4">
        <f t="shared" si="14"/>
        <v>-2417607.12</v>
      </c>
      <c r="L50" s="4">
        <f>I50+Apr!L50</f>
        <v>0</v>
      </c>
      <c r="M50" s="4">
        <f>J50+Apr!M50</f>
        <v>43308291.58</v>
      </c>
      <c r="N50" s="4">
        <f t="shared" si="15"/>
        <v>-43308291.58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18" t="s">
        <v>40</v>
      </c>
      <c r="B51" s="2"/>
      <c r="C51" s="3"/>
      <c r="D51" s="6"/>
      <c r="E51" s="6"/>
      <c r="F51" s="6"/>
      <c r="G51" s="6"/>
      <c r="H51" s="5"/>
      <c r="I51" s="6"/>
      <c r="J51" s="4"/>
      <c r="K51" s="4"/>
      <c r="L51" s="4"/>
      <c r="M51" s="4"/>
      <c r="N51" s="4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v>35.0</v>
      </c>
      <c r="C52" s="3" t="s">
        <v>61</v>
      </c>
      <c r="D52" s="6">
        <v>7.170322348E7</v>
      </c>
      <c r="E52" s="6">
        <v>286823.12</v>
      </c>
      <c r="F52" s="6">
        <f t="shared" ref="F52:F54" si="16">D52-E52</f>
        <v>71416400.36</v>
      </c>
      <c r="G52" s="6">
        <v>2.65658285E7</v>
      </c>
      <c r="H52" s="5">
        <v>938.0</v>
      </c>
      <c r="I52" s="6">
        <v>609447.22</v>
      </c>
      <c r="J52" s="4">
        <v>92668.04</v>
      </c>
      <c r="K52" s="4">
        <f t="shared" ref="K52:K54" si="17">I52-J52</f>
        <v>516779.18</v>
      </c>
      <c r="L52" s="4">
        <f>I52+Apr!L52</f>
        <v>3815231.3</v>
      </c>
      <c r="M52" s="4">
        <f>J52+Apr!M52</f>
        <v>747184.52</v>
      </c>
      <c r="N52" s="4">
        <f t="shared" ref="N52:N54" si="18">L52-M52</f>
        <v>3068046.78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62</v>
      </c>
      <c r="D53" s="6">
        <v>5.561780149E7</v>
      </c>
      <c r="E53" s="6">
        <v>252294.69</v>
      </c>
      <c r="F53" s="6">
        <f t="shared" si="16"/>
        <v>55365506.8</v>
      </c>
      <c r="G53" s="6">
        <v>4.3610216E7</v>
      </c>
      <c r="H53" s="5">
        <v>353.0</v>
      </c>
      <c r="I53" s="6">
        <v>284000.0</v>
      </c>
      <c r="J53" s="4">
        <v>13376.79</v>
      </c>
      <c r="K53" s="4">
        <f t="shared" si="17"/>
        <v>270623.21</v>
      </c>
      <c r="L53" s="4">
        <f>I53+Apr!L53</f>
        <v>3930447.6</v>
      </c>
      <c r="M53" s="4">
        <f>J53+Apr!M53</f>
        <v>227948.72</v>
      </c>
      <c r="N53" s="4">
        <f t="shared" si="18"/>
        <v>3702498.88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63</v>
      </c>
      <c r="D54" s="6">
        <v>4.774623207E7</v>
      </c>
      <c r="E54" s="6">
        <v>237937.31</v>
      </c>
      <c r="F54" s="6">
        <f t="shared" si="16"/>
        <v>47508294.76</v>
      </c>
      <c r="G54" s="6">
        <v>4.0350505E7</v>
      </c>
      <c r="H54" s="5">
        <v>166.0</v>
      </c>
      <c r="I54" s="6">
        <v>147581.3</v>
      </c>
      <c r="J54" s="4">
        <v>0.0</v>
      </c>
      <c r="K54" s="4">
        <f t="shared" si="17"/>
        <v>147581.3</v>
      </c>
      <c r="L54" s="4">
        <f>I54+Apr!L54</f>
        <v>1513766.67</v>
      </c>
      <c r="M54" s="4">
        <f>J54+Apr!M54</f>
        <v>97041.44</v>
      </c>
      <c r="N54" s="4">
        <f t="shared" si="18"/>
        <v>1416725.23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22" t="s">
        <v>44</v>
      </c>
      <c r="B55" s="22"/>
      <c r="C55" s="1"/>
      <c r="D55" s="24">
        <f t="shared" ref="D55:N55" si="19">SUM(D41:D54)</f>
        <v>23204205482</v>
      </c>
      <c r="E55" s="24">
        <f t="shared" si="19"/>
        <v>146089046.2</v>
      </c>
      <c r="F55" s="24">
        <f t="shared" si="19"/>
        <v>23058116436</v>
      </c>
      <c r="G55" s="24">
        <f t="shared" si="19"/>
        <v>12851448987</v>
      </c>
      <c r="H55" s="25">
        <f t="shared" si="19"/>
        <v>86369</v>
      </c>
      <c r="I55" s="24">
        <f t="shared" si="19"/>
        <v>61220051.7</v>
      </c>
      <c r="J55" s="24">
        <f t="shared" si="19"/>
        <v>77158948.76</v>
      </c>
      <c r="K55" s="24">
        <f t="shared" si="19"/>
        <v>-15938897.06</v>
      </c>
      <c r="L55" s="24">
        <f t="shared" si="19"/>
        <v>544798887</v>
      </c>
      <c r="M55" s="24">
        <f t="shared" si="19"/>
        <v>651023693.4</v>
      </c>
      <c r="N55" s="24">
        <f t="shared" si="19"/>
        <v>-106224806.4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2.0" customHeight="1">
      <c r="A56" s="18" t="s">
        <v>45</v>
      </c>
      <c r="B56" s="2"/>
      <c r="C56" s="3"/>
      <c r="D56" s="6"/>
      <c r="E56" s="6"/>
      <c r="F56" s="6"/>
      <c r="G56" s="6"/>
      <c r="H56" s="5"/>
      <c r="I56" s="6"/>
      <c r="J56" s="4"/>
      <c r="K56" s="4"/>
      <c r="L56" s="4"/>
      <c r="M56" s="4"/>
      <c r="N56" s="4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18"/>
      <c r="B57" s="2">
        <v>38.0</v>
      </c>
      <c r="C57" s="3" t="s">
        <v>64</v>
      </c>
      <c r="D57" s="6">
        <f>52.37*1364307.62</f>
        <v>71448790.06</v>
      </c>
      <c r="E57" s="6">
        <f>52.37*6629.59</f>
        <v>347191.6283</v>
      </c>
      <c r="F57" s="6">
        <f t="shared" ref="F57:F60" si="20">D57-E57</f>
        <v>71101598.43</v>
      </c>
      <c r="G57" s="6">
        <v>0.0</v>
      </c>
      <c r="H57" s="5">
        <v>55.0</v>
      </c>
      <c r="I57" s="6">
        <v>0.0</v>
      </c>
      <c r="J57" s="6">
        <v>0.0</v>
      </c>
      <c r="K57" s="4">
        <f t="shared" ref="K57:K60" si="21">I57-J57</f>
        <v>0</v>
      </c>
      <c r="L57" s="4">
        <f>I57+Apr!L57</f>
        <v>5201914.981</v>
      </c>
      <c r="M57" s="4">
        <f>J57+Apr!M57</f>
        <v>4087392.839</v>
      </c>
      <c r="N57" s="4">
        <f t="shared" ref="N57:N60" si="22">L57-M57</f>
        <v>1114522.142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65</v>
      </c>
      <c r="D58" s="6">
        <f>52.37*7328674.74</f>
        <v>383802696.1</v>
      </c>
      <c r="E58" s="6">
        <f>52.37*435712.59</f>
        <v>22818268.34</v>
      </c>
      <c r="F58" s="6">
        <f t="shared" si="20"/>
        <v>360984427.8</v>
      </c>
      <c r="G58" s="6">
        <f>52.37*3666097.71</f>
        <v>191993537.1</v>
      </c>
      <c r="H58" s="5">
        <v>253.0</v>
      </c>
      <c r="I58" s="6">
        <f>52.37*400.14</f>
        <v>20955.3318</v>
      </c>
      <c r="J58" s="6">
        <f>52.37*993.16</f>
        <v>52011.7892</v>
      </c>
      <c r="K58" s="4">
        <f t="shared" si="21"/>
        <v>-31056.4574</v>
      </c>
      <c r="L58" s="4">
        <f>I58+Apr!L58</f>
        <v>563511.3444</v>
      </c>
      <c r="M58" s="4">
        <f>J58+Apr!M58</f>
        <v>8853491.501</v>
      </c>
      <c r="N58" s="4">
        <f t="shared" si="22"/>
        <v>-8289980.157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3"/>
      <c r="B59" s="2">
        <v>40.0</v>
      </c>
      <c r="C59" s="3" t="s">
        <v>66</v>
      </c>
      <c r="D59" s="6">
        <f>52.37*31182687.91</f>
        <v>1633037366</v>
      </c>
      <c r="E59" s="6">
        <f>52.37*107543.79</f>
        <v>5632068.282</v>
      </c>
      <c r="F59" s="6">
        <f t="shared" si="20"/>
        <v>1627405298</v>
      </c>
      <c r="G59" s="6">
        <v>0.0</v>
      </c>
      <c r="H59" s="5">
        <v>4118.0</v>
      </c>
      <c r="I59" s="6">
        <f>52.37*29715.74</f>
        <v>1556213.304</v>
      </c>
      <c r="J59" s="6">
        <f>52.37*258950.34</f>
        <v>13561229.31</v>
      </c>
      <c r="K59" s="4">
        <f t="shared" si="21"/>
        <v>-12005016</v>
      </c>
      <c r="L59" s="4">
        <f>I59+Apr!L59</f>
        <v>57778117.55</v>
      </c>
      <c r="M59" s="4">
        <f>J59+Apr!M59</f>
        <v>138533735.5</v>
      </c>
      <c r="N59" s="4">
        <f t="shared" si="22"/>
        <v>-80755617.98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67</v>
      </c>
      <c r="D60" s="6">
        <f>52.37*6257045.48</f>
        <v>327681471.8</v>
      </c>
      <c r="E60" s="6">
        <f>52.37*43884.16</f>
        <v>2298213.459</v>
      </c>
      <c r="F60" s="6">
        <f t="shared" si="20"/>
        <v>325383258.3</v>
      </c>
      <c r="G60" s="6">
        <v>0.0</v>
      </c>
      <c r="H60" s="5">
        <v>703.0</v>
      </c>
      <c r="I60" s="6">
        <f>52.37*134892.08</f>
        <v>7064298.23</v>
      </c>
      <c r="J60" s="6">
        <f>52.37*109392.37</f>
        <v>5728878.417</v>
      </c>
      <c r="K60" s="4">
        <f t="shared" si="21"/>
        <v>1335419.813</v>
      </c>
      <c r="L60" s="4">
        <f>I60+Apr!L60</f>
        <v>9383674.781</v>
      </c>
      <c r="M60" s="4">
        <f>J60+Apr!M60</f>
        <v>16646179.01</v>
      </c>
      <c r="N60" s="4">
        <f t="shared" si="22"/>
        <v>-7262504.228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22" t="s">
        <v>48</v>
      </c>
      <c r="B61" s="23"/>
      <c r="C61" s="1"/>
      <c r="D61" s="24">
        <f t="shared" ref="D61:N61" si="23">SUM(D57:D60)</f>
        <v>2415970324</v>
      </c>
      <c r="E61" s="24">
        <f t="shared" si="23"/>
        <v>31095741.71</v>
      </c>
      <c r="F61" s="24">
        <f t="shared" si="23"/>
        <v>2384874582</v>
      </c>
      <c r="G61" s="24">
        <f t="shared" si="23"/>
        <v>191993537.1</v>
      </c>
      <c r="H61" s="25">
        <f t="shared" si="23"/>
        <v>5129</v>
      </c>
      <c r="I61" s="24">
        <f t="shared" si="23"/>
        <v>8641466.865</v>
      </c>
      <c r="J61" s="26">
        <f t="shared" si="23"/>
        <v>19342119.51</v>
      </c>
      <c r="K61" s="26">
        <f t="shared" si="23"/>
        <v>-10700652.65</v>
      </c>
      <c r="L61" s="26">
        <f t="shared" si="23"/>
        <v>72927218.65</v>
      </c>
      <c r="M61" s="26">
        <f t="shared" si="23"/>
        <v>168120798.9</v>
      </c>
      <c r="N61" s="26">
        <f t="shared" si="23"/>
        <v>-95193580.22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2.0" customHeight="1">
      <c r="A62" s="1" t="s">
        <v>68</v>
      </c>
      <c r="B62" s="23"/>
      <c r="C62" s="1"/>
      <c r="D62" s="24">
        <f t="shared" ref="D62:N62" si="24">D55+D61</f>
        <v>25620175806</v>
      </c>
      <c r="E62" s="24">
        <f t="shared" si="24"/>
        <v>177184787.9</v>
      </c>
      <c r="F62" s="24">
        <f t="shared" si="24"/>
        <v>25442991018</v>
      </c>
      <c r="G62" s="24">
        <f t="shared" si="24"/>
        <v>13043442524</v>
      </c>
      <c r="H62" s="25">
        <f t="shared" si="24"/>
        <v>91498</v>
      </c>
      <c r="I62" s="24">
        <f t="shared" si="24"/>
        <v>69861518.57</v>
      </c>
      <c r="J62" s="26">
        <f t="shared" si="24"/>
        <v>96501068.27</v>
      </c>
      <c r="K62" s="26">
        <f t="shared" si="24"/>
        <v>-26639549.71</v>
      </c>
      <c r="L62" s="26">
        <f t="shared" si="24"/>
        <v>617726105.7</v>
      </c>
      <c r="M62" s="26">
        <f t="shared" si="24"/>
        <v>819144492.3</v>
      </c>
      <c r="N62" s="26">
        <f t="shared" si="24"/>
        <v>-201418386.6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69</v>
      </c>
      <c r="B63" s="2"/>
      <c r="C63" s="3"/>
      <c r="D63" s="6"/>
      <c r="E63" s="6"/>
      <c r="F63" s="6"/>
      <c r="G63" s="6"/>
      <c r="H63" s="5"/>
      <c r="I63" s="6"/>
      <c r="J63" s="4"/>
      <c r="K63" s="4"/>
      <c r="L63" s="4"/>
      <c r="M63" s="4"/>
      <c r="N63" s="4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ht="12.0" customHeight="1">
      <c r="A64" s="18" t="s">
        <v>20</v>
      </c>
      <c r="B64" s="2"/>
      <c r="C64" s="3"/>
      <c r="D64" s="6"/>
      <c r="E64" s="6"/>
      <c r="F64" s="6"/>
      <c r="G64" s="6"/>
      <c r="H64" s="5"/>
      <c r="I64" s="6"/>
      <c r="J64" s="4"/>
      <c r="K64" s="4"/>
      <c r="L64" s="4"/>
      <c r="M64" s="4"/>
      <c r="N64" s="4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3"/>
      <c r="B65" s="2">
        <v>42.0</v>
      </c>
      <c r="C65" s="3" t="s">
        <v>70</v>
      </c>
      <c r="D65" s="6">
        <v>4.23429410791E10</v>
      </c>
      <c r="E65" s="6">
        <v>2.6166669386E8</v>
      </c>
      <c r="F65" s="6">
        <f t="shared" ref="F65:F75" si="25">D65-E65</f>
        <v>42081274385</v>
      </c>
      <c r="G65" s="6">
        <v>1.18373044E9</v>
      </c>
      <c r="H65" s="5">
        <v>26057.0</v>
      </c>
      <c r="I65" s="6">
        <v>2.1430973731E8</v>
      </c>
      <c r="J65" s="4">
        <v>6.8189629435E8</v>
      </c>
      <c r="K65" s="4">
        <f t="shared" ref="K65:K75" si="26">I65-J65</f>
        <v>-467586557</v>
      </c>
      <c r="L65" s="4">
        <f>I65+Apr!L65</f>
        <v>1370652256</v>
      </c>
      <c r="M65" s="4">
        <f>J65+Apr!M65</f>
        <v>3152836471</v>
      </c>
      <c r="N65" s="4">
        <f t="shared" ref="N65:N75" si="27">L65-M65</f>
        <v>-1782184215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154</v>
      </c>
      <c r="D66" s="6">
        <v>3.0462806513E8</v>
      </c>
      <c r="E66" s="6">
        <v>789975.9</v>
      </c>
      <c r="F66" s="6">
        <f t="shared" si="25"/>
        <v>303838089.2</v>
      </c>
      <c r="G66" s="6">
        <v>0.0</v>
      </c>
      <c r="H66" s="5">
        <v>1050.0</v>
      </c>
      <c r="I66" s="6">
        <v>4091568.1200000006</v>
      </c>
      <c r="J66" s="4">
        <v>4700751.339999999</v>
      </c>
      <c r="K66" s="4">
        <f t="shared" si="26"/>
        <v>-609183.22</v>
      </c>
      <c r="L66" s="4">
        <f>I66+Apr!L66</f>
        <v>24015235.31</v>
      </c>
      <c r="M66" s="4">
        <f>J66+Apr!M66</f>
        <v>13766335.86</v>
      </c>
      <c r="N66" s="4">
        <f t="shared" si="27"/>
        <v>10248899.45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72</v>
      </c>
      <c r="D67" s="6">
        <v>1.19507082391E9</v>
      </c>
      <c r="E67" s="6">
        <v>2.430952749E7</v>
      </c>
      <c r="F67" s="6">
        <f t="shared" si="25"/>
        <v>1170761296</v>
      </c>
      <c r="G67" s="6">
        <v>0.0</v>
      </c>
      <c r="H67" s="5">
        <v>2055.0</v>
      </c>
      <c r="I67" s="6">
        <v>2507075.17</v>
      </c>
      <c r="J67" s="4">
        <v>1.0310075858E8</v>
      </c>
      <c r="K67" s="4">
        <f t="shared" si="26"/>
        <v>-100593683.4</v>
      </c>
      <c r="L67" s="4">
        <f>I67+Apr!L67</f>
        <v>122896969.1</v>
      </c>
      <c r="M67" s="4">
        <f>J67+Apr!M67</f>
        <v>175330340.3</v>
      </c>
      <c r="N67" s="4">
        <f t="shared" si="27"/>
        <v>-52433371.21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1"/>
      <c r="B68" s="2">
        <v>45.0</v>
      </c>
      <c r="C68" s="3" t="s">
        <v>73</v>
      </c>
      <c r="D68" s="6">
        <v>1.9688954042E8</v>
      </c>
      <c r="E68" s="6">
        <v>301725.36</v>
      </c>
      <c r="F68" s="6">
        <f t="shared" si="25"/>
        <v>196587815.1</v>
      </c>
      <c r="G68" s="6">
        <v>4975000.0</v>
      </c>
      <c r="H68" s="5">
        <v>147.0</v>
      </c>
      <c r="I68" s="6">
        <v>263983.71</v>
      </c>
      <c r="J68" s="4">
        <v>1174437.75</v>
      </c>
      <c r="K68" s="4">
        <f t="shared" si="26"/>
        <v>-910454.04</v>
      </c>
      <c r="L68" s="4">
        <f>I68+Apr!L68</f>
        <v>1870820.02</v>
      </c>
      <c r="M68" s="4">
        <f>J68+Apr!M68</f>
        <v>2292654.78</v>
      </c>
      <c r="N68" s="4">
        <f t="shared" si="27"/>
        <v>-421834.76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v>46.0</v>
      </c>
      <c r="C69" s="3" t="s">
        <v>74</v>
      </c>
      <c r="D69" s="6">
        <v>1.45697768681E9</v>
      </c>
      <c r="E69" s="6">
        <v>1.067952106E7</v>
      </c>
      <c r="F69" s="6">
        <f t="shared" si="25"/>
        <v>1446298166</v>
      </c>
      <c r="G69" s="6">
        <v>0.0</v>
      </c>
      <c r="H69" s="5">
        <v>1890.0</v>
      </c>
      <c r="I69" s="6">
        <v>3581223.79</v>
      </c>
      <c r="J69" s="4">
        <v>3.539651265E7</v>
      </c>
      <c r="K69" s="4">
        <f t="shared" si="26"/>
        <v>-31815288.86</v>
      </c>
      <c r="L69" s="4">
        <f>I69+Apr!L69</f>
        <v>23947955.01</v>
      </c>
      <c r="M69" s="4">
        <f>J69+Apr!M69</f>
        <v>97545917.47</v>
      </c>
      <c r="N69" s="4">
        <f t="shared" si="27"/>
        <v>-73597962.46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75</v>
      </c>
      <c r="D70" s="6">
        <v>9.7583676144E8</v>
      </c>
      <c r="E70" s="6">
        <v>3.684575671E7</v>
      </c>
      <c r="F70" s="6">
        <f t="shared" si="25"/>
        <v>938991004.7</v>
      </c>
      <c r="G70" s="6">
        <v>0.0</v>
      </c>
      <c r="H70" s="5">
        <v>527.0</v>
      </c>
      <c r="I70" s="6">
        <v>9579416.23</v>
      </c>
      <c r="J70" s="4">
        <v>4543940.85</v>
      </c>
      <c r="K70" s="4">
        <f t="shared" si="26"/>
        <v>5035475.38</v>
      </c>
      <c r="L70" s="4">
        <f>I70+Apr!L70</f>
        <v>17517935.97</v>
      </c>
      <c r="M70" s="4">
        <f>J70+Apr!M70</f>
        <v>63281271.37</v>
      </c>
      <c r="N70" s="4">
        <f t="shared" si="27"/>
        <v>-45763335.4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76</v>
      </c>
      <c r="D71" s="6">
        <v>6.32315959751E9</v>
      </c>
      <c r="E71" s="6">
        <v>2.162464547E7</v>
      </c>
      <c r="F71" s="6">
        <f t="shared" si="25"/>
        <v>6301534952</v>
      </c>
      <c r="G71" s="6">
        <v>0.0</v>
      </c>
      <c r="H71" s="5">
        <v>5032.0</v>
      </c>
      <c r="I71" s="6">
        <v>2.164333821E7</v>
      </c>
      <c r="J71" s="4">
        <v>1.1536075559E8</v>
      </c>
      <c r="K71" s="4">
        <f t="shared" si="26"/>
        <v>-93717417.38</v>
      </c>
      <c r="L71" s="4">
        <f>I71+Apr!L71</f>
        <v>167469244.6</v>
      </c>
      <c r="M71" s="4">
        <f>J71+Apr!M71</f>
        <v>357290721.5</v>
      </c>
      <c r="N71" s="4">
        <f t="shared" si="27"/>
        <v>-189821476.9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77</v>
      </c>
      <c r="D72" s="6">
        <v>3.16199172030344E8</v>
      </c>
      <c r="E72" s="6">
        <v>1402839.88</v>
      </c>
      <c r="F72" s="6">
        <f t="shared" si="25"/>
        <v>314796332.2</v>
      </c>
      <c r="G72" s="6">
        <v>1.685652E7</v>
      </c>
      <c r="H72" s="5">
        <v>4180.0</v>
      </c>
      <c r="I72" s="6">
        <v>1.009489E7</v>
      </c>
      <c r="J72" s="4">
        <v>8446343.71</v>
      </c>
      <c r="K72" s="4">
        <f t="shared" si="26"/>
        <v>1648546.29</v>
      </c>
      <c r="L72" s="4">
        <f>I72+Apr!L72</f>
        <v>25899911.79</v>
      </c>
      <c r="M72" s="4">
        <f>J72+Apr!M72</f>
        <v>16981359.39</v>
      </c>
      <c r="N72" s="4">
        <f t="shared" si="27"/>
        <v>8918552.4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78</v>
      </c>
      <c r="D73" s="6">
        <v>9.9750786014E8</v>
      </c>
      <c r="E73" s="28">
        <v>2545848.09</v>
      </c>
      <c r="F73" s="6">
        <f t="shared" si="25"/>
        <v>994962012.1</v>
      </c>
      <c r="G73" s="6">
        <v>0.0</v>
      </c>
      <c r="H73" s="5">
        <v>846.0</v>
      </c>
      <c r="I73" s="6">
        <v>2.9545376770000003E7</v>
      </c>
      <c r="J73" s="4">
        <v>0.0</v>
      </c>
      <c r="K73" s="4">
        <f t="shared" si="26"/>
        <v>29545376.77</v>
      </c>
      <c r="L73" s="4">
        <f>I73+Apr!L73</f>
        <v>101525191.7</v>
      </c>
      <c r="M73" s="4">
        <f>J73+Apr!M73</f>
        <v>3400867.67</v>
      </c>
      <c r="N73" s="4">
        <f t="shared" si="27"/>
        <v>98124324.07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79</v>
      </c>
      <c r="D74" s="6">
        <v>4.47475793757E9</v>
      </c>
      <c r="E74" s="6">
        <v>1.195892533E7</v>
      </c>
      <c r="F74" s="6">
        <f t="shared" si="25"/>
        <v>4462799012</v>
      </c>
      <c r="G74" s="6">
        <v>0.0</v>
      </c>
      <c r="H74" s="5">
        <v>16110.0</v>
      </c>
      <c r="I74" s="6">
        <v>3.688913153E7</v>
      </c>
      <c r="J74" s="4">
        <v>7.958727387E7</v>
      </c>
      <c r="K74" s="4">
        <f t="shared" si="26"/>
        <v>-42698142.34</v>
      </c>
      <c r="L74" s="4">
        <f>I74+Apr!L74</f>
        <v>206825465.6</v>
      </c>
      <c r="M74" s="4">
        <f>J74+Apr!M74</f>
        <v>368969388.6</v>
      </c>
      <c r="N74" s="4">
        <f t="shared" si="27"/>
        <v>-162143923.1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80</v>
      </c>
      <c r="D75" s="6">
        <v>1.5102370058E8</v>
      </c>
      <c r="E75" s="6">
        <v>1.053428148E7</v>
      </c>
      <c r="F75" s="6">
        <f t="shared" si="25"/>
        <v>140489419.1</v>
      </c>
      <c r="G75" s="6">
        <v>0.0</v>
      </c>
      <c r="H75" s="5">
        <v>2567.0</v>
      </c>
      <c r="I75" s="6">
        <v>450697.5</v>
      </c>
      <c r="J75" s="4">
        <v>1.310537165E7</v>
      </c>
      <c r="K75" s="4">
        <f t="shared" si="26"/>
        <v>-12654674.15</v>
      </c>
      <c r="L75" s="4">
        <f>I75+Apr!L75</f>
        <v>3986279</v>
      </c>
      <c r="M75" s="4">
        <f>J75+Apr!M75</f>
        <v>22799622.32</v>
      </c>
      <c r="N75" s="4">
        <f t="shared" si="27"/>
        <v>-18813343.32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22" t="s">
        <v>44</v>
      </c>
      <c r="B76" s="1"/>
      <c r="C76" s="1"/>
      <c r="D76" s="24">
        <f t="shared" ref="D76:N76" si="28">SUM(D65:D75)</f>
        <v>58734992225</v>
      </c>
      <c r="E76" s="24">
        <f t="shared" si="28"/>
        <v>382659740.6</v>
      </c>
      <c r="F76" s="24">
        <f t="shared" si="28"/>
        <v>58352332484</v>
      </c>
      <c r="G76" s="24">
        <f t="shared" si="28"/>
        <v>1205561960</v>
      </c>
      <c r="H76" s="25">
        <f t="shared" si="28"/>
        <v>60461</v>
      </c>
      <c r="I76" s="24">
        <f t="shared" si="28"/>
        <v>332956438.3</v>
      </c>
      <c r="J76" s="24">
        <f t="shared" si="28"/>
        <v>1047312440</v>
      </c>
      <c r="K76" s="24">
        <f t="shared" si="28"/>
        <v>-714356002</v>
      </c>
      <c r="L76" s="24">
        <f t="shared" si="28"/>
        <v>2066607264</v>
      </c>
      <c r="M76" s="24">
        <f t="shared" si="28"/>
        <v>4274494950</v>
      </c>
      <c r="N76" s="24">
        <f t="shared" si="28"/>
        <v>-2207887686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18" t="s">
        <v>45</v>
      </c>
      <c r="B77" s="2"/>
      <c r="C77" s="3"/>
      <c r="D77" s="6"/>
      <c r="E77" s="6"/>
      <c r="F77" s="6"/>
      <c r="G77" s="6"/>
      <c r="H77" s="5"/>
      <c r="I77" s="6"/>
      <c r="J77" s="4"/>
      <c r="K77" s="4"/>
      <c r="L77" s="4"/>
      <c r="M77" s="4"/>
      <c r="N77" s="4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3"/>
      <c r="B78" s="2">
        <v>53.0</v>
      </c>
      <c r="C78" s="3" t="s">
        <v>81</v>
      </c>
      <c r="D78" s="6">
        <f>52.37*276183086.39</f>
        <v>14463708234</v>
      </c>
      <c r="E78" s="6">
        <f>52.37*1066392.84</f>
        <v>55846993.03</v>
      </c>
      <c r="F78" s="6">
        <f t="shared" ref="F78:F84" si="29">D78-E78</f>
        <v>14407861241</v>
      </c>
      <c r="G78" s="6">
        <v>0.0</v>
      </c>
      <c r="H78" s="5">
        <v>9609.0</v>
      </c>
      <c r="I78" s="6">
        <f>52.37*2199081.76</f>
        <v>115165911.8</v>
      </c>
      <c r="J78" s="4">
        <f>52.37*6794066.01</f>
        <v>355805236.9</v>
      </c>
      <c r="K78" s="4">
        <f t="shared" ref="K78:K84" si="30">I78-J78</f>
        <v>-240639325.2</v>
      </c>
      <c r="L78" s="4">
        <f>I78+Apr!L78</f>
        <v>554578761.8</v>
      </c>
      <c r="M78" s="4">
        <f>J78+Apr!M78</f>
        <v>3882923069</v>
      </c>
      <c r="N78" s="4">
        <f t="shared" ref="N78:N84" si="31">L78-M78</f>
        <v>-3328344307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155</v>
      </c>
      <c r="D79" s="6">
        <v>5.214071340414999E8</v>
      </c>
      <c r="E79" s="6">
        <v>8.03045900525E7</v>
      </c>
      <c r="F79" s="6">
        <f t="shared" si="29"/>
        <v>441102544</v>
      </c>
      <c r="G79" s="6">
        <v>0.0</v>
      </c>
      <c r="H79" s="5">
        <v>200.0</v>
      </c>
      <c r="I79" s="6">
        <v>7004256.02</v>
      </c>
      <c r="J79" s="4">
        <v>1.6296659471E8</v>
      </c>
      <c r="K79" s="4">
        <f t="shared" si="30"/>
        <v>-155962338.7</v>
      </c>
      <c r="L79" s="4">
        <f>I79+Apr!L79</f>
        <v>18965146.4</v>
      </c>
      <c r="M79" s="4">
        <f>J79+Apr!M79</f>
        <v>325513487.3</v>
      </c>
      <c r="N79" s="4">
        <f t="shared" si="31"/>
        <v>-306548340.9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83</v>
      </c>
      <c r="D80" s="6">
        <v>7.11454509743E8</v>
      </c>
      <c r="E80" s="6">
        <v>3257390.9571999996</v>
      </c>
      <c r="F80" s="6">
        <f t="shared" si="29"/>
        <v>708197118.8</v>
      </c>
      <c r="G80" s="6">
        <v>0.0</v>
      </c>
      <c r="H80" s="5">
        <v>157.0</v>
      </c>
      <c r="I80" s="6">
        <v>257465.93</v>
      </c>
      <c r="J80" s="4">
        <v>0.0</v>
      </c>
      <c r="K80" s="4">
        <f t="shared" si="30"/>
        <v>257465.93</v>
      </c>
      <c r="L80" s="4">
        <f>I80+Apr!L80</f>
        <v>1309295.018</v>
      </c>
      <c r="M80" s="4">
        <f>J80+Apr!M80</f>
        <v>14565722.33</v>
      </c>
      <c r="N80" s="4">
        <f t="shared" si="31"/>
        <v>-13256427.31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1.25" customHeight="1">
      <c r="A81" s="18"/>
      <c r="B81" s="2">
        <v>56.0</v>
      </c>
      <c r="C81" s="3" t="s">
        <v>84</v>
      </c>
      <c r="D81" s="6">
        <f>52.37*1174945.72</f>
        <v>61531907.36</v>
      </c>
      <c r="E81" s="6">
        <f>52.37*216758.96</f>
        <v>11351666.74</v>
      </c>
      <c r="F81" s="6">
        <f t="shared" si="29"/>
        <v>50180240.62</v>
      </c>
      <c r="G81" s="6">
        <v>0.0</v>
      </c>
      <c r="H81" s="5">
        <v>22.0</v>
      </c>
      <c r="I81" s="6">
        <f>52.37*13078.29</f>
        <v>684910.0473</v>
      </c>
      <c r="J81" s="6">
        <f>52.37*15794.32</f>
        <v>827148.5384</v>
      </c>
      <c r="K81" s="4">
        <f t="shared" si="30"/>
        <v>-142238.4911</v>
      </c>
      <c r="L81" s="4">
        <f>I81+Apr!L81</f>
        <v>684910.0473</v>
      </c>
      <c r="M81" s="4">
        <f>J81+Apr!M81</f>
        <v>1188416.954</v>
      </c>
      <c r="N81" s="4">
        <f t="shared" si="31"/>
        <v>-503506.9064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v>57.0</v>
      </c>
      <c r="C82" s="3" t="s">
        <v>85</v>
      </c>
      <c r="D82" s="6">
        <f>52.37*41485439.77</f>
        <v>2172592481</v>
      </c>
      <c r="E82" s="6">
        <f>52.37*-243687.12</f>
        <v>-12761894.47</v>
      </c>
      <c r="F82" s="6">
        <f t="shared" si="29"/>
        <v>2185354375</v>
      </c>
      <c r="G82" s="6">
        <v>0.0</v>
      </c>
      <c r="H82" s="5">
        <v>1985.0</v>
      </c>
      <c r="I82" s="6">
        <f>52.37*1488.09</f>
        <v>77931.2733</v>
      </c>
      <c r="J82" s="6">
        <f>52.37*142349.43</f>
        <v>7454839.649</v>
      </c>
      <c r="K82" s="4">
        <f t="shared" si="30"/>
        <v>-7376908.376</v>
      </c>
      <c r="L82" s="4">
        <f>I82+Apr!L82</f>
        <v>268088983</v>
      </c>
      <c r="M82" s="4">
        <f>J82+Apr!M82</f>
        <v>57671548.68</v>
      </c>
      <c r="N82" s="4">
        <f t="shared" si="31"/>
        <v>210417434.3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86</v>
      </c>
      <c r="D83" s="6">
        <v>2.2555242946019998E8</v>
      </c>
      <c r="E83" s="6">
        <v>899844.3827999999</v>
      </c>
      <c r="F83" s="6">
        <f t="shared" si="29"/>
        <v>224652585.1</v>
      </c>
      <c r="G83" s="6">
        <v>0.0</v>
      </c>
      <c r="H83" s="5">
        <v>127.0</v>
      </c>
      <c r="I83" s="6">
        <v>130925.0</v>
      </c>
      <c r="J83" s="4">
        <v>427761.3022</v>
      </c>
      <c r="K83" s="4">
        <f t="shared" si="30"/>
        <v>-296836.3022</v>
      </c>
      <c r="L83" s="4">
        <f>I83+Apr!L83</f>
        <v>1280795</v>
      </c>
      <c r="M83" s="4">
        <f>J83+Apr!M83</f>
        <v>1995692.206</v>
      </c>
      <c r="N83" s="4">
        <f t="shared" si="31"/>
        <v>-714897.2059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87</v>
      </c>
      <c r="D84" s="6">
        <f>52.37*9936774.74</f>
        <v>520388893.1</v>
      </c>
      <c r="E84" s="6">
        <f>52.37*899368.15</f>
        <v>47099910.02</v>
      </c>
      <c r="F84" s="6">
        <f t="shared" si="29"/>
        <v>473288983.1</v>
      </c>
      <c r="G84" s="6">
        <v>0.0</v>
      </c>
      <c r="H84" s="5">
        <v>2514.0</v>
      </c>
      <c r="I84" s="6">
        <v>0.0</v>
      </c>
      <c r="J84" s="4">
        <f>52.37*21327.12</f>
        <v>1116901.274</v>
      </c>
      <c r="K84" s="4">
        <f t="shared" si="30"/>
        <v>-1116901.274</v>
      </c>
      <c r="L84" s="4">
        <f>I84+Apr!L84</f>
        <v>19063054.7</v>
      </c>
      <c r="M84" s="4">
        <f>J84+Apr!M84</f>
        <v>35988095.4</v>
      </c>
      <c r="N84" s="4">
        <f t="shared" si="31"/>
        <v>-16925040.7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22" t="s">
        <v>88</v>
      </c>
      <c r="B85" s="23"/>
      <c r="C85" s="29"/>
      <c r="D85" s="24">
        <f t="shared" ref="D85:N85" si="32">SUM(D78:D84)</f>
        <v>18676635589</v>
      </c>
      <c r="E85" s="24">
        <f t="shared" si="32"/>
        <v>185998500.7</v>
      </c>
      <c r="F85" s="24">
        <f t="shared" si="32"/>
        <v>18490637088</v>
      </c>
      <c r="G85" s="24">
        <f t="shared" si="32"/>
        <v>0</v>
      </c>
      <c r="H85" s="25">
        <f t="shared" si="32"/>
        <v>14614</v>
      </c>
      <c r="I85" s="24">
        <f t="shared" si="32"/>
        <v>123321400</v>
      </c>
      <c r="J85" s="26">
        <f t="shared" si="32"/>
        <v>528598482.4</v>
      </c>
      <c r="K85" s="26">
        <f t="shared" si="32"/>
        <v>-405277082.4</v>
      </c>
      <c r="L85" s="26">
        <f t="shared" si="32"/>
        <v>863970946</v>
      </c>
      <c r="M85" s="26">
        <f t="shared" si="32"/>
        <v>4319846031</v>
      </c>
      <c r="N85" s="26">
        <f t="shared" si="32"/>
        <v>-3455875085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v>60.0</v>
      </c>
      <c r="C86" s="3" t="s">
        <v>89</v>
      </c>
      <c r="D86" s="6">
        <f>56.261091*16158637.49</f>
        <v>909102574.3</v>
      </c>
      <c r="E86" s="6">
        <f>56.261091*50638.96</f>
        <v>2849003.137</v>
      </c>
      <c r="F86" s="6">
        <f>D86-E86</f>
        <v>906253571.1</v>
      </c>
      <c r="G86" s="6">
        <v>0.0</v>
      </c>
      <c r="H86" s="5">
        <v>672.0</v>
      </c>
      <c r="I86" s="6">
        <f>56.261091*114550.26</f>
        <v>6444722.602</v>
      </c>
      <c r="J86" s="4">
        <f>56.261091*155767.37</f>
        <v>8763642.178</v>
      </c>
      <c r="K86" s="4">
        <f>I86-J86</f>
        <v>-2318919.576</v>
      </c>
      <c r="L86" s="4">
        <f>I86+Apr!L86</f>
        <v>11970761.31</v>
      </c>
      <c r="M86" s="4">
        <f>J86+Apr!M86</f>
        <v>43451730.15</v>
      </c>
      <c r="N86" s="4">
        <f>L86-M86</f>
        <v>-31480968.83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22" t="s">
        <v>90</v>
      </c>
      <c r="B87" s="29"/>
      <c r="C87" s="1"/>
      <c r="D87" s="24">
        <f t="shared" ref="D87:N87" si="33">SUM(D86)</f>
        <v>909102574.3</v>
      </c>
      <c r="E87" s="24">
        <f t="shared" si="33"/>
        <v>2849003.137</v>
      </c>
      <c r="F87" s="24">
        <f t="shared" si="33"/>
        <v>906253571.1</v>
      </c>
      <c r="G87" s="24">
        <f t="shared" si="33"/>
        <v>0</v>
      </c>
      <c r="H87" s="25">
        <f t="shared" si="33"/>
        <v>672</v>
      </c>
      <c r="I87" s="24">
        <f t="shared" si="33"/>
        <v>6444722.602</v>
      </c>
      <c r="J87" s="26">
        <f t="shared" si="33"/>
        <v>8763642.178</v>
      </c>
      <c r="K87" s="26">
        <f t="shared" si="33"/>
        <v>-2318919.576</v>
      </c>
      <c r="L87" s="26">
        <f t="shared" si="33"/>
        <v>11970761.31</v>
      </c>
      <c r="M87" s="26">
        <f t="shared" si="33"/>
        <v>43451730.15</v>
      </c>
      <c r="N87" s="26">
        <f t="shared" si="33"/>
        <v>-31480968.83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1" t="s">
        <v>91</v>
      </c>
      <c r="B88" s="23"/>
      <c r="C88" s="29"/>
      <c r="D88" s="24">
        <f t="shared" ref="D88:N88" si="34">D76+D85+D87</f>
        <v>78320730388</v>
      </c>
      <c r="E88" s="24">
        <f t="shared" si="34"/>
        <v>571507244.5</v>
      </c>
      <c r="F88" s="24">
        <f t="shared" si="34"/>
        <v>77749223143</v>
      </c>
      <c r="G88" s="24">
        <f t="shared" si="34"/>
        <v>1205561960</v>
      </c>
      <c r="H88" s="25">
        <f t="shared" si="34"/>
        <v>75747</v>
      </c>
      <c r="I88" s="24">
        <f t="shared" si="34"/>
        <v>462722561</v>
      </c>
      <c r="J88" s="26">
        <f t="shared" si="34"/>
        <v>1584674565</v>
      </c>
      <c r="K88" s="26">
        <f t="shared" si="34"/>
        <v>-1121952004</v>
      </c>
      <c r="L88" s="26">
        <f t="shared" si="34"/>
        <v>2942548972</v>
      </c>
      <c r="M88" s="26">
        <f t="shared" si="34"/>
        <v>8637792712</v>
      </c>
      <c r="N88" s="26">
        <f t="shared" si="34"/>
        <v>-5695243740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92</v>
      </c>
      <c r="B89" s="2"/>
      <c r="C89" s="30"/>
      <c r="D89" s="6"/>
      <c r="E89" s="6"/>
      <c r="F89" s="6"/>
      <c r="G89" s="6"/>
      <c r="H89" s="5"/>
      <c r="I89" s="6"/>
      <c r="J89" s="4"/>
      <c r="K89" s="4"/>
      <c r="L89" s="4"/>
      <c r="M89" s="4"/>
      <c r="N89" s="4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8" t="s">
        <v>20</v>
      </c>
      <c r="B90" s="2"/>
      <c r="C90" s="30"/>
      <c r="D90" s="6"/>
      <c r="E90" s="6"/>
      <c r="F90" s="6"/>
      <c r="G90" s="6"/>
      <c r="H90" s="5"/>
      <c r="I90" s="6"/>
      <c r="J90" s="4"/>
      <c r="K90" s="4"/>
      <c r="L90" s="4"/>
      <c r="M90" s="4"/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/>
      <c r="B91" s="2">
        <v>61.0</v>
      </c>
      <c r="C91" s="3" t="s">
        <v>93</v>
      </c>
      <c r="D91" s="6">
        <v>6.023709484056E10</v>
      </c>
      <c r="E91" s="6">
        <v>3.574058062E7</v>
      </c>
      <c r="F91" s="6">
        <f t="shared" ref="F91:F93" si="35">D91-E91</f>
        <v>60201354260</v>
      </c>
      <c r="G91" s="6">
        <v>0.0</v>
      </c>
      <c r="H91" s="5">
        <v>33158.0</v>
      </c>
      <c r="I91" s="6">
        <v>3.16364210598E9</v>
      </c>
      <c r="J91" s="4">
        <v>3.16958843762E9</v>
      </c>
      <c r="K91" s="4">
        <f t="shared" ref="K91:K93" si="36">I91-J91</f>
        <v>-5946331.64</v>
      </c>
      <c r="L91" s="4">
        <f>I91+Apr!L91</f>
        <v>16532070300</v>
      </c>
      <c r="M91" s="4">
        <f>J91+Apr!M91</f>
        <v>15049280547</v>
      </c>
      <c r="N91" s="4">
        <f t="shared" ref="N91:N93" si="37">L91-M91</f>
        <v>1482789754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94</v>
      </c>
      <c r="D92" s="6">
        <v>2.88342197734E9</v>
      </c>
      <c r="E92" s="6">
        <v>5273544.99</v>
      </c>
      <c r="F92" s="6">
        <f t="shared" si="35"/>
        <v>2878148432</v>
      </c>
      <c r="G92" s="6">
        <v>0.0</v>
      </c>
      <c r="H92" s="5">
        <v>584.0</v>
      </c>
      <c r="I92" s="6">
        <v>1.5736822728E8</v>
      </c>
      <c r="J92" s="4">
        <v>1.6367595403E8</v>
      </c>
      <c r="K92" s="4">
        <f t="shared" si="36"/>
        <v>-6307726.75</v>
      </c>
      <c r="L92" s="4">
        <f>I92+Apr!L92</f>
        <v>1103942720</v>
      </c>
      <c r="M92" s="4">
        <f>J92+Apr!M92</f>
        <v>1009716525</v>
      </c>
      <c r="N92" s="4">
        <f t="shared" si="37"/>
        <v>94226195.55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/>
      <c r="B93" s="2">
        <v>63.0</v>
      </c>
      <c r="C93" s="3" t="s">
        <v>95</v>
      </c>
      <c r="D93" s="6">
        <v>1.3023585699797E11</v>
      </c>
      <c r="E93" s="6">
        <v>1.28184427243E9</v>
      </c>
      <c r="F93" s="6">
        <f t="shared" si="35"/>
        <v>128954012726</v>
      </c>
      <c r="G93" s="6">
        <v>0.0</v>
      </c>
      <c r="H93" s="5">
        <v>60096.0</v>
      </c>
      <c r="I93" s="6">
        <v>1.570632977743E10</v>
      </c>
      <c r="J93" s="4">
        <v>1.699623926332E10</v>
      </c>
      <c r="K93" s="4">
        <f t="shared" si="36"/>
        <v>-1289909486</v>
      </c>
      <c r="L93" s="4">
        <f>I93+Apr!L93</f>
        <v>87419706697</v>
      </c>
      <c r="M93" s="4">
        <f>J93+Apr!M93</f>
        <v>86377262679</v>
      </c>
      <c r="N93" s="4">
        <f t="shared" si="37"/>
        <v>1042444019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2" t="s">
        <v>44</v>
      </c>
      <c r="B94" s="2"/>
      <c r="C94" s="3"/>
      <c r="D94" s="24">
        <f t="shared" ref="D94:N94" si="38">SUM(D91:D93)</f>
        <v>193356373816</v>
      </c>
      <c r="E94" s="24">
        <f t="shared" si="38"/>
        <v>1322858398</v>
      </c>
      <c r="F94" s="24">
        <f t="shared" si="38"/>
        <v>192033515418</v>
      </c>
      <c r="G94" s="24">
        <f t="shared" si="38"/>
        <v>0</v>
      </c>
      <c r="H94" s="25">
        <f t="shared" si="38"/>
        <v>93838</v>
      </c>
      <c r="I94" s="24">
        <f t="shared" si="38"/>
        <v>19027340111</v>
      </c>
      <c r="J94" s="24">
        <f t="shared" si="38"/>
        <v>20329503655</v>
      </c>
      <c r="K94" s="24">
        <f t="shared" si="38"/>
        <v>-1302163544</v>
      </c>
      <c r="L94" s="24">
        <f t="shared" si="38"/>
        <v>105055719718</v>
      </c>
      <c r="M94" s="24">
        <f t="shared" si="38"/>
        <v>102436259750</v>
      </c>
      <c r="N94" s="24">
        <f t="shared" si="38"/>
        <v>2619459968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45</v>
      </c>
      <c r="B95" s="2"/>
      <c r="C95" s="3"/>
      <c r="D95" s="6"/>
      <c r="E95" s="6"/>
      <c r="F95" s="6"/>
      <c r="G95" s="6"/>
      <c r="H95" s="5"/>
      <c r="I95" s="6"/>
      <c r="J95" s="4"/>
      <c r="K95" s="4"/>
      <c r="L95" s="4"/>
      <c r="M95" s="4"/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64.0</v>
      </c>
      <c r="C96" s="3" t="s">
        <v>96</v>
      </c>
      <c r="D96" s="6">
        <f>52.37*255585860.53</f>
        <v>13385031516</v>
      </c>
      <c r="E96" s="6">
        <f>52.37*2267800.56</f>
        <v>118764715.3</v>
      </c>
      <c r="F96" s="6">
        <f>D96-E96</f>
        <v>13266266801</v>
      </c>
      <c r="G96" s="6">
        <v>0.0</v>
      </c>
      <c r="H96" s="5">
        <v>2960.0</v>
      </c>
      <c r="I96" s="6">
        <f>52.37*85640613.96</f>
        <v>4484998953</v>
      </c>
      <c r="J96" s="6">
        <f>52.37*43575610.56</f>
        <v>2282054725</v>
      </c>
      <c r="K96" s="4">
        <f>I96-J96</f>
        <v>2202944228</v>
      </c>
      <c r="L96" s="4">
        <f>I96+Apr!L96</f>
        <v>13802231437</v>
      </c>
      <c r="M96" s="4">
        <f>J96+Apr!M96</f>
        <v>10308481607</v>
      </c>
      <c r="N96" s="4">
        <f>L96-M96</f>
        <v>3493749830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2" t="s">
        <v>88</v>
      </c>
      <c r="B97" s="2"/>
      <c r="C97" s="3"/>
      <c r="D97" s="24">
        <f t="shared" ref="D97:N97" si="39">SUM(D96)</f>
        <v>13385031516</v>
      </c>
      <c r="E97" s="24">
        <f t="shared" si="39"/>
        <v>118764715.3</v>
      </c>
      <c r="F97" s="24">
        <f t="shared" si="39"/>
        <v>13266266801</v>
      </c>
      <c r="G97" s="24">
        <f t="shared" si="39"/>
        <v>0</v>
      </c>
      <c r="H97" s="25">
        <f t="shared" si="39"/>
        <v>2960</v>
      </c>
      <c r="I97" s="24">
        <f t="shared" si="39"/>
        <v>4484998953</v>
      </c>
      <c r="J97" s="24">
        <f t="shared" si="39"/>
        <v>2282054725</v>
      </c>
      <c r="K97" s="24">
        <f t="shared" si="39"/>
        <v>2202944228</v>
      </c>
      <c r="L97" s="24">
        <f t="shared" si="39"/>
        <v>13802231437</v>
      </c>
      <c r="M97" s="24">
        <f t="shared" si="39"/>
        <v>10308481607</v>
      </c>
      <c r="N97" s="24">
        <f t="shared" si="39"/>
        <v>3493749830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 t="s">
        <v>97</v>
      </c>
      <c r="B98" s="2"/>
      <c r="C98" s="3"/>
      <c r="D98" s="24">
        <f t="shared" ref="D98:N98" si="40">D94+D97</f>
        <v>206741405332</v>
      </c>
      <c r="E98" s="24">
        <f t="shared" si="40"/>
        <v>1441623113</v>
      </c>
      <c r="F98" s="24">
        <f t="shared" si="40"/>
        <v>205299782218</v>
      </c>
      <c r="G98" s="24">
        <f t="shared" si="40"/>
        <v>0</v>
      </c>
      <c r="H98" s="25">
        <f t="shared" si="40"/>
        <v>96798</v>
      </c>
      <c r="I98" s="24">
        <f t="shared" si="40"/>
        <v>23512339064</v>
      </c>
      <c r="J98" s="24">
        <f t="shared" si="40"/>
        <v>22611558380</v>
      </c>
      <c r="K98" s="24">
        <f t="shared" si="40"/>
        <v>900780683.8</v>
      </c>
      <c r="L98" s="24">
        <f t="shared" si="40"/>
        <v>118857951155</v>
      </c>
      <c r="M98" s="24">
        <f t="shared" si="40"/>
        <v>112744741357</v>
      </c>
      <c r="N98" s="24">
        <f t="shared" si="40"/>
        <v>6113209798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 t="s">
        <v>98</v>
      </c>
      <c r="B99" s="2"/>
      <c r="C99" s="3"/>
      <c r="D99" s="6"/>
      <c r="E99" s="6"/>
      <c r="F99" s="6"/>
      <c r="G99" s="6"/>
      <c r="H99" s="5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8" t="s">
        <v>99</v>
      </c>
      <c r="B100" s="2"/>
      <c r="C100" s="3"/>
      <c r="D100" s="6"/>
      <c r="E100" s="6"/>
      <c r="F100" s="6"/>
      <c r="G100" s="6"/>
      <c r="H100" s="5"/>
      <c r="I100" s="6"/>
      <c r="J100" s="6"/>
      <c r="K100" s="4"/>
      <c r="L100" s="4"/>
      <c r="M100" s="4"/>
      <c r="N100" s="4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8"/>
      <c r="B101" s="2">
        <v>65.0</v>
      </c>
      <c r="C101" s="3" t="s">
        <v>100</v>
      </c>
      <c r="D101" s="6">
        <v>8.93134105452E9</v>
      </c>
      <c r="E101" s="6">
        <v>6.387756126E7</v>
      </c>
      <c r="F101" s="6">
        <f t="shared" ref="F101:F102" si="41">D101-E101</f>
        <v>8867463493</v>
      </c>
      <c r="G101" s="6">
        <v>0.0</v>
      </c>
      <c r="H101" s="5">
        <v>3585.0</v>
      </c>
      <c r="I101" s="6">
        <v>2.6905759565E8</v>
      </c>
      <c r="J101" s="6">
        <v>1.3668926735E8</v>
      </c>
      <c r="K101" s="4">
        <f t="shared" ref="K101:K102" si="42">I101-J101</f>
        <v>132368328.3</v>
      </c>
      <c r="L101" s="4">
        <f>I101+Apr!L101</f>
        <v>2424466967</v>
      </c>
      <c r="M101" s="4">
        <f>J101+Apr!M101</f>
        <v>271411480</v>
      </c>
      <c r="N101" s="4">
        <f t="shared" ref="N101:N102" si="43">L101-M101</f>
        <v>2153055487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/>
      <c r="B102" s="2">
        <v>66.0</v>
      </c>
      <c r="C102" s="3" t="s">
        <v>101</v>
      </c>
      <c r="D102" s="6">
        <v>3.62986725323E9</v>
      </c>
      <c r="E102" s="6">
        <v>8.190124804E7</v>
      </c>
      <c r="F102" s="6">
        <f t="shared" si="41"/>
        <v>3547966005</v>
      </c>
      <c r="G102" s="6">
        <v>0.0</v>
      </c>
      <c r="H102" s="5">
        <v>5190.0</v>
      </c>
      <c r="I102" s="6">
        <v>5.848869615E7</v>
      </c>
      <c r="J102" s="6">
        <v>4.719846812E7</v>
      </c>
      <c r="K102" s="4">
        <f t="shared" si="42"/>
        <v>11290228.03</v>
      </c>
      <c r="L102" s="4">
        <f>I102+Apr!L102</f>
        <v>827404822.6</v>
      </c>
      <c r="M102" s="4">
        <f>J102+Apr!M102</f>
        <v>725017454.8</v>
      </c>
      <c r="N102" s="4">
        <f t="shared" si="43"/>
        <v>102387367.8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22" t="s">
        <v>44</v>
      </c>
      <c r="B103" s="2"/>
      <c r="C103" s="3"/>
      <c r="D103" s="24">
        <f t="shared" ref="D103:N103" si="44">D101+D102</f>
        <v>12561208308</v>
      </c>
      <c r="E103" s="24">
        <f t="shared" si="44"/>
        <v>145778809.3</v>
      </c>
      <c r="F103" s="24">
        <f t="shared" si="44"/>
        <v>12415429498</v>
      </c>
      <c r="G103" s="24">
        <f t="shared" si="44"/>
        <v>0</v>
      </c>
      <c r="H103" s="25">
        <f t="shared" si="44"/>
        <v>8775</v>
      </c>
      <c r="I103" s="24">
        <f t="shared" si="44"/>
        <v>327546291.8</v>
      </c>
      <c r="J103" s="24">
        <f t="shared" si="44"/>
        <v>183887735.5</v>
      </c>
      <c r="K103" s="24">
        <f t="shared" si="44"/>
        <v>143658556.3</v>
      </c>
      <c r="L103" s="24">
        <f t="shared" si="44"/>
        <v>3251871790</v>
      </c>
      <c r="M103" s="24">
        <f t="shared" si="44"/>
        <v>996428934.8</v>
      </c>
      <c r="N103" s="24">
        <f t="shared" si="44"/>
        <v>2255442855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 t="s">
        <v>102</v>
      </c>
      <c r="B104" s="2"/>
      <c r="C104" s="3"/>
      <c r="D104" s="6"/>
      <c r="E104" s="6"/>
      <c r="F104" s="6"/>
      <c r="G104" s="6"/>
      <c r="H104" s="5"/>
      <c r="I104" s="6"/>
      <c r="J104" s="6"/>
      <c r="K104" s="4"/>
      <c r="L104" s="4"/>
      <c r="M104" s="4"/>
      <c r="N104" s="4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67.0</v>
      </c>
      <c r="C105" s="3" t="s">
        <v>103</v>
      </c>
      <c r="D105" s="6">
        <f>52.37*195353968.99</f>
        <v>10230687356</v>
      </c>
      <c r="E105" s="6">
        <f>52.37*2736499.42</f>
        <v>143310474.6</v>
      </c>
      <c r="F105" s="6">
        <f>D105-E105</f>
        <v>10087376881</v>
      </c>
      <c r="G105" s="6">
        <v>0.0</v>
      </c>
      <c r="H105" s="5">
        <v>8439.0</v>
      </c>
      <c r="I105" s="6">
        <f>52.37*4679781.73</f>
        <v>245080169.2</v>
      </c>
      <c r="J105" s="6">
        <f>52.37*2441109.07</f>
        <v>127840882</v>
      </c>
      <c r="K105" s="4">
        <f>I105-J105</f>
        <v>117239287.2</v>
      </c>
      <c r="L105" s="4">
        <f>I105+Apr!L105</f>
        <v>1128799908</v>
      </c>
      <c r="M105" s="4">
        <f>J105+Apr!M105</f>
        <v>497813647.9</v>
      </c>
      <c r="N105" s="4">
        <f>L105-M105</f>
        <v>630986260.5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2" t="s">
        <v>88</v>
      </c>
      <c r="B106" s="23"/>
      <c r="C106" s="1"/>
      <c r="D106" s="24">
        <f t="shared" ref="D106:N106" si="45">SUM(D105)</f>
        <v>10230687356</v>
      </c>
      <c r="E106" s="24">
        <f t="shared" si="45"/>
        <v>143310474.6</v>
      </c>
      <c r="F106" s="24">
        <f t="shared" si="45"/>
        <v>10087376881</v>
      </c>
      <c r="G106" s="24">
        <f t="shared" si="45"/>
        <v>0</v>
      </c>
      <c r="H106" s="25">
        <f t="shared" si="45"/>
        <v>8439</v>
      </c>
      <c r="I106" s="24">
        <f t="shared" si="45"/>
        <v>245080169.2</v>
      </c>
      <c r="J106" s="24">
        <f t="shared" si="45"/>
        <v>127840882</v>
      </c>
      <c r="K106" s="24">
        <f t="shared" si="45"/>
        <v>117239287.2</v>
      </c>
      <c r="L106" s="24">
        <f t="shared" si="45"/>
        <v>1128799908</v>
      </c>
      <c r="M106" s="24">
        <f t="shared" si="45"/>
        <v>497813647.9</v>
      </c>
      <c r="N106" s="24">
        <f t="shared" si="45"/>
        <v>630986260.5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" t="s">
        <v>104</v>
      </c>
      <c r="B107" s="31"/>
      <c r="C107" s="29"/>
      <c r="D107" s="24">
        <f t="shared" ref="D107:F107" si="46">SUM(D103+D106)</f>
        <v>22791895664</v>
      </c>
      <c r="E107" s="24">
        <f t="shared" si="46"/>
        <v>289089283.9</v>
      </c>
      <c r="F107" s="24">
        <f t="shared" si="46"/>
        <v>22502806380</v>
      </c>
      <c r="G107" s="24">
        <f>SUM(G106)</f>
        <v>0</v>
      </c>
      <c r="H107" s="25">
        <f t="shared" ref="H107:N107" si="47">SUM(H103+H106)</f>
        <v>17214</v>
      </c>
      <c r="I107" s="24">
        <f t="shared" si="47"/>
        <v>572626461</v>
      </c>
      <c r="J107" s="24">
        <f t="shared" si="47"/>
        <v>311728617.5</v>
      </c>
      <c r="K107" s="24">
        <f t="shared" si="47"/>
        <v>260897843.5</v>
      </c>
      <c r="L107" s="24">
        <f t="shared" si="47"/>
        <v>4380671698</v>
      </c>
      <c r="M107" s="24">
        <f t="shared" si="47"/>
        <v>1494242583</v>
      </c>
      <c r="N107" s="24">
        <f t="shared" si="47"/>
        <v>2886429116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32" t="s">
        <v>105</v>
      </c>
      <c r="B108" s="33"/>
      <c r="C108" s="34"/>
      <c r="D108" s="35">
        <f t="shared" ref="D108:N108" si="48">D38+D62+D88+D98+D107</f>
        <v>451344552510</v>
      </c>
      <c r="E108" s="35">
        <f t="shared" si="48"/>
        <v>3394986478</v>
      </c>
      <c r="F108" s="35">
        <f t="shared" si="48"/>
        <v>447949566032</v>
      </c>
      <c r="G108" s="35">
        <f t="shared" si="48"/>
        <v>122336235511</v>
      </c>
      <c r="H108" s="35">
        <f t="shared" si="48"/>
        <v>840640</v>
      </c>
      <c r="I108" s="35">
        <f t="shared" si="48"/>
        <v>26048314941</v>
      </c>
      <c r="J108" s="35">
        <f t="shared" si="48"/>
        <v>25197051706</v>
      </c>
      <c r="K108" s="35">
        <f t="shared" si="48"/>
        <v>851263235</v>
      </c>
      <c r="L108" s="35">
        <f t="shared" si="48"/>
        <v>132937165512</v>
      </c>
      <c r="M108" s="35">
        <f t="shared" si="48"/>
        <v>128382978018</v>
      </c>
      <c r="N108" s="35">
        <f t="shared" si="48"/>
        <v>4554187495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2.0" customHeight="1">
      <c r="A109" s="3"/>
      <c r="B109" s="2"/>
      <c r="C109" s="36"/>
      <c r="D109" s="4"/>
      <c r="E109" s="4"/>
      <c r="F109" s="4"/>
      <c r="G109" s="4"/>
      <c r="H109" s="5"/>
      <c r="I109" s="6"/>
      <c r="J109" s="4"/>
      <c r="K109" s="4"/>
      <c r="L109" s="4"/>
      <c r="M109" s="4"/>
      <c r="N109" s="4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30"/>
      <c r="B110" s="36"/>
      <c r="C110" s="36"/>
      <c r="D110" s="4"/>
      <c r="E110" s="4"/>
      <c r="F110" s="4"/>
      <c r="G110" s="4"/>
      <c r="H110" s="5"/>
      <c r="I110" s="4"/>
      <c r="J110" s="4"/>
      <c r="K110" s="4"/>
      <c r="L110" s="4"/>
      <c r="M110" s="4"/>
      <c r="N110" s="4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6"/>
      <c r="B111" s="36"/>
      <c r="C111" s="36"/>
      <c r="D111" s="4"/>
      <c r="E111" s="4"/>
      <c r="F111" s="4"/>
      <c r="G111" s="4"/>
      <c r="H111" s="5"/>
      <c r="I111" s="6"/>
      <c r="J111" s="4"/>
      <c r="K111" s="4"/>
      <c r="L111" s="4"/>
      <c r="M111" s="4"/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36"/>
      <c r="B112" s="36"/>
      <c r="C112" s="36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6"/>
      <c r="B113" s="36"/>
      <c r="C113" s="36"/>
      <c r="D113" s="4"/>
      <c r="E113" s="4"/>
      <c r="F113" s="4"/>
      <c r="G113" s="4"/>
      <c r="H113" s="5"/>
      <c r="I113" s="6"/>
      <c r="J113" s="4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6"/>
      <c r="B114" s="36"/>
      <c r="C114" s="36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6"/>
      <c r="B115" s="36"/>
      <c r="C115" s="36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6"/>
      <c r="B116" s="36"/>
      <c r="C116" s="36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6"/>
      <c r="B117" s="36"/>
      <c r="C117" s="36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6"/>
      <c r="B118" s="36"/>
      <c r="C118" s="36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6"/>
      <c r="B119" s="36"/>
      <c r="C119" s="36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3734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0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156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4.58035656252E9</v>
      </c>
      <c r="E9" s="6">
        <v>2.378545561E7</v>
      </c>
      <c r="F9" s="6">
        <f t="shared" ref="F9:F27" si="1">D9-E9</f>
        <v>4556571107</v>
      </c>
      <c r="G9" s="6">
        <v>4.0897857701E9</v>
      </c>
      <c r="H9" s="5">
        <v>7497.0</v>
      </c>
      <c r="I9" s="6">
        <v>1.48028243E7</v>
      </c>
      <c r="J9" s="4">
        <v>2.684882283E7</v>
      </c>
      <c r="K9" s="4">
        <f t="shared" ref="K9:K27" si="2">I9-J9</f>
        <v>-12045998.53</v>
      </c>
      <c r="L9" s="4">
        <f>I9+May!L9</f>
        <v>102390099.7</v>
      </c>
      <c r="M9" s="4">
        <f>J9+May!M9</f>
        <v>258005260</v>
      </c>
      <c r="N9" s="4">
        <f t="shared" ref="N9:N27" si="3">L9-M9</f>
        <v>-155615160.3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157</v>
      </c>
      <c r="D10" s="6">
        <v>7.0908327787E8</v>
      </c>
      <c r="E10" s="6">
        <v>2072831.36</v>
      </c>
      <c r="F10" s="6">
        <f t="shared" si="1"/>
        <v>707010446.5</v>
      </c>
      <c r="G10" s="6">
        <v>6.048486013E8</v>
      </c>
      <c r="H10" s="5">
        <v>4285.0</v>
      </c>
      <c r="I10" s="6">
        <v>9288046.76</v>
      </c>
      <c r="J10" s="4">
        <v>7843672.359999998</v>
      </c>
      <c r="K10" s="4">
        <f t="shared" si="2"/>
        <v>1444374.4</v>
      </c>
      <c r="L10" s="4">
        <f>I10+May!L10</f>
        <v>180888201.4</v>
      </c>
      <c r="M10" s="4">
        <f>J10+May!M10</f>
        <v>123673769</v>
      </c>
      <c r="N10" s="4">
        <f t="shared" si="3"/>
        <v>57214432.46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158</v>
      </c>
      <c r="D11" s="6">
        <v>9.521822727199999E8</v>
      </c>
      <c r="E11" s="6">
        <v>2599216.66</v>
      </c>
      <c r="F11" s="6">
        <f t="shared" si="1"/>
        <v>949583056.1</v>
      </c>
      <c r="G11" s="6">
        <v>8.5539510916E8</v>
      </c>
      <c r="H11" s="5">
        <v>2771.0</v>
      </c>
      <c r="I11" s="6">
        <v>1.1847676199999997E7</v>
      </c>
      <c r="J11" s="4">
        <v>1.2853522420000002E7</v>
      </c>
      <c r="K11" s="4">
        <f t="shared" si="2"/>
        <v>-1005846.22</v>
      </c>
      <c r="L11" s="4">
        <f>I11+May!L11</f>
        <v>74306112.71</v>
      </c>
      <c r="M11" s="4">
        <f>J11+May!M11</f>
        <v>114640672</v>
      </c>
      <c r="N11" s="4">
        <f t="shared" si="3"/>
        <v>-40334559.25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6">
        <v>3.3719980779E8</v>
      </c>
      <c r="E12" s="6">
        <v>4004739.28</v>
      </c>
      <c r="F12" s="6">
        <f t="shared" si="1"/>
        <v>333195068.5</v>
      </c>
      <c r="G12" s="6">
        <v>2.0678088685E8</v>
      </c>
      <c r="H12" s="5">
        <v>1652.0</v>
      </c>
      <c r="I12" s="6">
        <v>3410015.83</v>
      </c>
      <c r="J12" s="4">
        <v>2008534.58</v>
      </c>
      <c r="K12" s="4">
        <f t="shared" si="2"/>
        <v>1401481.25</v>
      </c>
      <c r="L12" s="4">
        <f>I12+May!L12</f>
        <v>20450910.77</v>
      </c>
      <c r="M12" s="4">
        <f>J12+May!M12</f>
        <v>10112166.74</v>
      </c>
      <c r="N12" s="4">
        <f t="shared" si="3"/>
        <v>10338744.03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25</v>
      </c>
      <c r="D13" s="6">
        <v>5.0399340365999997E8</v>
      </c>
      <c r="E13" s="6">
        <v>1736315.9</v>
      </c>
      <c r="F13" s="6">
        <f t="shared" si="1"/>
        <v>502257087.8</v>
      </c>
      <c r="G13" s="6">
        <v>2.3069466577E8</v>
      </c>
      <c r="H13" s="5">
        <v>1492.0</v>
      </c>
      <c r="I13" s="6">
        <v>866737.92</v>
      </c>
      <c r="J13" s="4">
        <v>2381109.669999999</v>
      </c>
      <c r="K13" s="4">
        <f t="shared" si="2"/>
        <v>-1514371.75</v>
      </c>
      <c r="L13" s="4">
        <f>I13+May!L13</f>
        <v>22244530.91</v>
      </c>
      <c r="M13" s="4">
        <f>J13+May!M13</f>
        <v>14008396.49</v>
      </c>
      <c r="N13" s="4">
        <f t="shared" si="3"/>
        <v>8236134.419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6">
        <v>4.1100849689500003E9</v>
      </c>
      <c r="E14" s="6">
        <v>9.995318777E7</v>
      </c>
      <c r="F14" s="6">
        <f t="shared" si="1"/>
        <v>4010131781</v>
      </c>
      <c r="G14" s="6">
        <v>2.96687587778E9</v>
      </c>
      <c r="H14" s="5">
        <v>16497.0</v>
      </c>
      <c r="I14" s="6">
        <v>6.6089718440000005E7</v>
      </c>
      <c r="J14" s="4">
        <v>1.5666841649999997E7</v>
      </c>
      <c r="K14" s="4">
        <f t="shared" si="2"/>
        <v>50422876.79</v>
      </c>
      <c r="L14" s="4">
        <f>I14+May!L14</f>
        <v>498770294.8</v>
      </c>
      <c r="M14" s="4">
        <f>J14+May!M14</f>
        <v>317580061</v>
      </c>
      <c r="N14" s="4">
        <f t="shared" si="3"/>
        <v>181190233.8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159</v>
      </c>
      <c r="D15" s="6">
        <v>8.788000463E7</v>
      </c>
      <c r="E15" s="6">
        <v>676406.51</v>
      </c>
      <c r="F15" s="6">
        <f t="shared" si="1"/>
        <v>87203598.12</v>
      </c>
      <c r="G15" s="6">
        <v>8.151197451E7</v>
      </c>
      <c r="H15" s="5">
        <v>554.0</v>
      </c>
      <c r="I15" s="6">
        <v>3748480.915</v>
      </c>
      <c r="J15" s="4">
        <v>125575.99999999999</v>
      </c>
      <c r="K15" s="4">
        <f t="shared" si="2"/>
        <v>3622904.915</v>
      </c>
      <c r="L15" s="4">
        <f>I15+May!L15</f>
        <v>14676488.48</v>
      </c>
      <c r="M15" s="4">
        <f>J15+May!M15</f>
        <v>6429406.921</v>
      </c>
      <c r="N15" s="4">
        <f t="shared" si="3"/>
        <v>8247081.562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6">
        <v>1.2681865852E8</v>
      </c>
      <c r="E16" s="6">
        <v>8244887.16</v>
      </c>
      <c r="F16" s="6">
        <f t="shared" si="1"/>
        <v>118573771.4</v>
      </c>
      <c r="G16" s="6">
        <v>1.12058432E8</v>
      </c>
      <c r="H16" s="5">
        <v>51.0</v>
      </c>
      <c r="I16" s="50">
        <v>0.0</v>
      </c>
      <c r="J16" s="51">
        <v>6470778.83</v>
      </c>
      <c r="K16" s="4">
        <f t="shared" si="2"/>
        <v>-6470778.83</v>
      </c>
      <c r="L16" s="4">
        <f>I16+May!L16</f>
        <v>1600000</v>
      </c>
      <c r="M16" s="4">
        <f>J16+May!M16</f>
        <v>7420778.83</v>
      </c>
      <c r="N16" s="4">
        <f t="shared" si="3"/>
        <v>-5820778.83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6">
        <v>1.569767611405E10</v>
      </c>
      <c r="E17" s="6">
        <v>1.3185221579E8</v>
      </c>
      <c r="F17" s="6">
        <f t="shared" si="1"/>
        <v>15565823898</v>
      </c>
      <c r="G17" s="6">
        <v>1.548478108133E10</v>
      </c>
      <c r="H17" s="5">
        <v>12626.0</v>
      </c>
      <c r="I17" s="6">
        <v>1.9043018187E8</v>
      </c>
      <c r="J17" s="4">
        <v>7081494.39</v>
      </c>
      <c r="K17" s="4">
        <f t="shared" si="2"/>
        <v>183348687.5</v>
      </c>
      <c r="L17" s="4">
        <f>I17+May!L17</f>
        <v>1193912738</v>
      </c>
      <c r="M17" s="4">
        <f>J17+May!M17</f>
        <v>82514579.08</v>
      </c>
      <c r="N17" s="4">
        <f t="shared" si="3"/>
        <v>1111398159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6">
        <v>3.099908345518E10</v>
      </c>
      <c r="E18" s="6">
        <v>2.3316963966E8</v>
      </c>
      <c r="F18" s="6">
        <f t="shared" si="1"/>
        <v>30765913816</v>
      </c>
      <c r="G18" s="6">
        <v>2.70165093019E10</v>
      </c>
      <c r="H18" s="5">
        <v>12524.0</v>
      </c>
      <c r="I18" s="6">
        <v>1.1106146725E8</v>
      </c>
      <c r="J18" s="4">
        <v>2.923197725E7</v>
      </c>
      <c r="K18" s="4">
        <f t="shared" si="2"/>
        <v>81829490</v>
      </c>
      <c r="L18" s="4">
        <f>I18+May!L18</f>
        <v>615422916.9</v>
      </c>
      <c r="M18" s="4">
        <f>J18+May!M18</f>
        <v>495863228.2</v>
      </c>
      <c r="N18" s="4">
        <f t="shared" si="3"/>
        <v>119559688.8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6">
        <v>2.10781070804255E9</v>
      </c>
      <c r="E19" s="6">
        <v>3294490.98400001</v>
      </c>
      <c r="F19" s="6">
        <f t="shared" si="1"/>
        <v>2104516217</v>
      </c>
      <c r="G19" s="6">
        <v>1.87616790380196E9</v>
      </c>
      <c r="H19" s="5">
        <v>5694.0</v>
      </c>
      <c r="I19" s="6">
        <v>6681157.83</v>
      </c>
      <c r="J19" s="4">
        <v>7895348.72</v>
      </c>
      <c r="K19" s="4">
        <f t="shared" si="2"/>
        <v>-1214190.89</v>
      </c>
      <c r="L19" s="4">
        <f>I19+May!L19</f>
        <v>97987806.49</v>
      </c>
      <c r="M19" s="4">
        <f>J19+May!M19</f>
        <v>264994827.1</v>
      </c>
      <c r="N19" s="4">
        <f t="shared" si="3"/>
        <v>-167007020.6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6">
        <v>9.2939300511717E9</v>
      </c>
      <c r="E20" s="6">
        <v>5.86780278594998E7</v>
      </c>
      <c r="F20" s="6">
        <f t="shared" si="1"/>
        <v>9235252023</v>
      </c>
      <c r="G20" s="6">
        <v>8.50400678092E9</v>
      </c>
      <c r="H20" s="5">
        <v>36879.0</v>
      </c>
      <c r="I20" s="6">
        <v>2.155715427E7</v>
      </c>
      <c r="J20" s="4">
        <v>2.71191099E7</v>
      </c>
      <c r="K20" s="4">
        <f t="shared" si="2"/>
        <v>-5561955.63</v>
      </c>
      <c r="L20" s="4">
        <f>I20+May!L20</f>
        <v>185834924.8</v>
      </c>
      <c r="M20" s="4">
        <f>J20+May!M20</f>
        <v>327583419.3</v>
      </c>
      <c r="N20" s="4">
        <f t="shared" si="3"/>
        <v>-141748494.5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6">
        <v>3.00107360607189E8</v>
      </c>
      <c r="E21" s="6">
        <v>583092.79000011</v>
      </c>
      <c r="F21" s="6">
        <f t="shared" si="1"/>
        <v>299524267.8</v>
      </c>
      <c r="G21" s="6">
        <v>2.9712892523E8</v>
      </c>
      <c r="H21" s="5">
        <v>1013.0</v>
      </c>
      <c r="I21" s="6">
        <v>538796.0</v>
      </c>
      <c r="J21" s="4">
        <v>657887.76</v>
      </c>
      <c r="K21" s="4">
        <f t="shared" si="2"/>
        <v>-119091.76</v>
      </c>
      <c r="L21" s="4">
        <f>I21+May!L21</f>
        <v>4968978.36</v>
      </c>
      <c r="M21" s="4">
        <f>J21+May!M21</f>
        <v>3471937.99</v>
      </c>
      <c r="N21" s="4">
        <f t="shared" si="3"/>
        <v>1497040.37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6">
        <v>3.5352302465816E9</v>
      </c>
      <c r="E22" s="6">
        <v>9713155.76679989</v>
      </c>
      <c r="F22" s="6">
        <f t="shared" si="1"/>
        <v>3525517091</v>
      </c>
      <c r="G22" s="6">
        <v>3.46358664061869E9</v>
      </c>
      <c r="H22" s="5">
        <v>27575.0</v>
      </c>
      <c r="I22" s="6">
        <v>6.615726766E7</v>
      </c>
      <c r="J22" s="4">
        <v>1.741486257E7</v>
      </c>
      <c r="K22" s="4">
        <f t="shared" si="2"/>
        <v>48742405.09</v>
      </c>
      <c r="L22" s="4">
        <f>I22+May!L22</f>
        <v>306225563.9</v>
      </c>
      <c r="M22" s="4">
        <f>J22+May!M22</f>
        <v>200789197.8</v>
      </c>
      <c r="N22" s="4">
        <f t="shared" si="3"/>
        <v>105436366.1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6">
        <v>8.87229739231E9</v>
      </c>
      <c r="E23" s="6">
        <v>1.54883115E7</v>
      </c>
      <c r="F23" s="6">
        <f t="shared" si="1"/>
        <v>8856809081</v>
      </c>
      <c r="G23" s="6">
        <v>8.81876290217E9</v>
      </c>
      <c r="H23" s="5">
        <v>17304.0</v>
      </c>
      <c r="I23" s="6">
        <v>3022156.58</v>
      </c>
      <c r="J23" s="4">
        <v>6.922357749E7</v>
      </c>
      <c r="K23" s="4">
        <f t="shared" si="2"/>
        <v>-66201420.91</v>
      </c>
      <c r="L23" s="4">
        <f>I23+May!L23</f>
        <v>38365491.86</v>
      </c>
      <c r="M23" s="4">
        <f>J23+May!M23</f>
        <v>818180560.3</v>
      </c>
      <c r="N23" s="4">
        <f t="shared" si="3"/>
        <v>-779815068.4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19" t="s">
        <v>36</v>
      </c>
      <c r="D24" s="6">
        <v>2.47367066269E9</v>
      </c>
      <c r="E24" s="6">
        <v>2.22915901E7</v>
      </c>
      <c r="F24" s="6">
        <f t="shared" si="1"/>
        <v>2451379073</v>
      </c>
      <c r="G24" s="6">
        <v>2.19970618806E9</v>
      </c>
      <c r="H24" s="5">
        <v>12948.0</v>
      </c>
      <c r="I24" s="6">
        <v>1.1306600394E8</v>
      </c>
      <c r="J24" s="4">
        <v>1722348.0699999998</v>
      </c>
      <c r="K24" s="4">
        <f t="shared" si="2"/>
        <v>111343655.9</v>
      </c>
      <c r="L24" s="4">
        <f>I24+May!L24</f>
        <v>405370019.5</v>
      </c>
      <c r="M24" s="4">
        <f>J24+May!M24</f>
        <v>12656211.54</v>
      </c>
      <c r="N24" s="4">
        <f t="shared" si="3"/>
        <v>392713808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v>17.0</v>
      </c>
      <c r="C25" s="21" t="s">
        <v>37</v>
      </c>
      <c r="D25" s="6">
        <v>6.98636849217E9</v>
      </c>
      <c r="E25" s="6">
        <v>5.556168453E7</v>
      </c>
      <c r="F25" s="6">
        <f t="shared" si="1"/>
        <v>6930806808</v>
      </c>
      <c r="G25" s="6">
        <v>6.7318811318E9</v>
      </c>
      <c r="H25" s="5">
        <v>65880.0</v>
      </c>
      <c r="I25" s="6">
        <v>6.551774292E7</v>
      </c>
      <c r="J25" s="4">
        <v>4.279764744E7</v>
      </c>
      <c r="K25" s="4">
        <f t="shared" si="2"/>
        <v>22720095.48</v>
      </c>
      <c r="L25" s="4">
        <f>I25+May!L25</f>
        <v>691194814</v>
      </c>
      <c r="M25" s="4">
        <f>J25+May!M25</f>
        <v>453816839.5</v>
      </c>
      <c r="N25" s="4">
        <f t="shared" si="3"/>
        <v>237377974.6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v>18.0</v>
      </c>
      <c r="C26" s="21" t="s">
        <v>38</v>
      </c>
      <c r="D26" s="6">
        <v>1.071606147439E10</v>
      </c>
      <c r="E26" s="6">
        <v>4.114109046E7</v>
      </c>
      <c r="F26" s="6">
        <f t="shared" si="1"/>
        <v>10674920384</v>
      </c>
      <c r="G26" s="6">
        <v>1.062443178776E10</v>
      </c>
      <c r="H26" s="5">
        <v>56123.0</v>
      </c>
      <c r="I26" s="6">
        <v>1.4377700474E8</v>
      </c>
      <c r="J26" s="4">
        <v>9.911917352E7</v>
      </c>
      <c r="K26" s="4">
        <f t="shared" si="2"/>
        <v>44657831.22</v>
      </c>
      <c r="L26" s="4">
        <f>I26+May!L26</f>
        <v>1706723864</v>
      </c>
      <c r="M26" s="4">
        <f>J26+May!M26</f>
        <v>1230857764</v>
      </c>
      <c r="N26" s="4">
        <f t="shared" si="3"/>
        <v>475866099.6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6">
        <v>5.68459900558E8</v>
      </c>
      <c r="E27" s="6">
        <v>2614322.08</v>
      </c>
      <c r="F27" s="6">
        <f t="shared" si="1"/>
        <v>565845578.5</v>
      </c>
      <c r="G27" s="6">
        <v>5.087357515E8</v>
      </c>
      <c r="H27" s="5">
        <v>1307.0</v>
      </c>
      <c r="I27" s="6">
        <v>1530588.85</v>
      </c>
      <c r="J27" s="4">
        <v>220703.76</v>
      </c>
      <c r="K27" s="4">
        <f t="shared" si="2"/>
        <v>1309885.09</v>
      </c>
      <c r="L27" s="4">
        <f>I27+May!L27</f>
        <v>12763429.55</v>
      </c>
      <c r="M27" s="4">
        <f>J27+May!M27</f>
        <v>7186967.85</v>
      </c>
      <c r="N27" s="4">
        <f t="shared" si="3"/>
        <v>5576461.7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5"/>
      <c r="I28" s="6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3"/>
      <c r="B29" s="2">
        <v>20.0</v>
      </c>
      <c r="C29" s="3" t="s">
        <v>41</v>
      </c>
      <c r="D29" s="6">
        <v>3.29032979464001E8</v>
      </c>
      <c r="E29" s="6">
        <v>1748543.359</v>
      </c>
      <c r="F29" s="6">
        <f t="shared" ref="F29:F30" si="4">D29-E29</f>
        <v>327284436.1</v>
      </c>
      <c r="G29" s="6">
        <v>2.7560445893E8</v>
      </c>
      <c r="H29" s="5">
        <v>1462.0</v>
      </c>
      <c r="I29" s="6">
        <v>5745438.61</v>
      </c>
      <c r="J29" s="4">
        <v>1.252235761E7</v>
      </c>
      <c r="K29" s="4">
        <f t="shared" ref="K29:K30" si="5">I29-J29</f>
        <v>-6776919</v>
      </c>
      <c r="L29" s="4">
        <f>I29+May!L29</f>
        <v>73541476.27</v>
      </c>
      <c r="M29" s="4">
        <f>J29+May!M29</f>
        <v>25904984.3</v>
      </c>
      <c r="N29" s="4">
        <f t="shared" ref="N29:N30" si="6">L29-M29</f>
        <v>47636491.97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35</v>
      </c>
      <c r="D30" s="6">
        <v>3.596818673E8</v>
      </c>
      <c r="E30" s="6">
        <v>1.525966405E7</v>
      </c>
      <c r="F30" s="6">
        <f t="shared" si="4"/>
        <v>344422203.3</v>
      </c>
      <c r="G30" s="6">
        <v>3.405119146E8</v>
      </c>
      <c r="H30" s="5">
        <v>284367.0</v>
      </c>
      <c r="I30" s="6">
        <v>6.493554274E7</v>
      </c>
      <c r="J30" s="4">
        <v>8915103.12</v>
      </c>
      <c r="K30" s="4">
        <f t="shared" si="5"/>
        <v>56020439.62</v>
      </c>
      <c r="L30" s="4">
        <f>I30+May!L30</f>
        <v>473353588.1</v>
      </c>
      <c r="M30" s="4">
        <f>J30+May!M30</f>
        <v>76747208.28</v>
      </c>
      <c r="N30" s="4">
        <f t="shared" si="6"/>
        <v>396606379.8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18" t="s">
        <v>42</v>
      </c>
      <c r="B31" s="2"/>
      <c r="C31" s="3"/>
      <c r="D31" s="6"/>
      <c r="E31" s="6"/>
      <c r="F31" s="6"/>
      <c r="G31" s="6"/>
      <c r="H31" s="5"/>
      <c r="I31" s="6"/>
      <c r="J31" s="4"/>
      <c r="K31" s="4"/>
      <c r="L31" s="4"/>
      <c r="M31" s="4"/>
      <c r="N31" s="4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1.25" customHeight="1">
      <c r="A32" s="3"/>
      <c r="B32" s="2">
        <v>22.0</v>
      </c>
      <c r="C32" s="3" t="s">
        <v>43</v>
      </c>
      <c r="D32" s="6">
        <v>2.0012374460500002E9</v>
      </c>
      <c r="E32" s="6">
        <v>6100193.7</v>
      </c>
      <c r="F32" s="6">
        <f>D32-E32</f>
        <v>1995137252</v>
      </c>
      <c r="G32" s="6">
        <v>1.99292269394E9</v>
      </c>
      <c r="H32" s="5">
        <v>3213.0</v>
      </c>
      <c r="I32" s="6">
        <v>3.137114E7</v>
      </c>
      <c r="J32" s="4">
        <v>0.0</v>
      </c>
      <c r="K32" s="4">
        <f>I32-J32</f>
        <v>31371140</v>
      </c>
      <c r="L32" s="4">
        <f>I32+May!L32</f>
        <v>107073565</v>
      </c>
      <c r="M32" s="4">
        <f>J32+May!M32</f>
        <v>13683385</v>
      </c>
      <c r="N32" s="4">
        <f>L32-M32</f>
        <v>93390180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22" t="s">
        <v>44</v>
      </c>
      <c r="B33" s="23"/>
      <c r="C33" s="1"/>
      <c r="D33" s="24">
        <f t="shared" ref="D33:N33" si="7">SUM(D9:D32)</f>
        <v>105648247107</v>
      </c>
      <c r="E33" s="24">
        <f t="shared" si="7"/>
        <v>740569062.9</v>
      </c>
      <c r="F33" s="24">
        <f t="shared" si="7"/>
        <v>104907678044</v>
      </c>
      <c r="G33" s="24">
        <f t="shared" si="7"/>
        <v>97282688780</v>
      </c>
      <c r="H33" s="25">
        <f t="shared" si="7"/>
        <v>573714</v>
      </c>
      <c r="I33" s="24">
        <f t="shared" si="7"/>
        <v>935445143.6</v>
      </c>
      <c r="J33" s="26">
        <f t="shared" si="7"/>
        <v>398120449.9</v>
      </c>
      <c r="K33" s="26">
        <f t="shared" si="7"/>
        <v>537324693.7</v>
      </c>
      <c r="L33" s="26">
        <f t="shared" si="7"/>
        <v>6828065815</v>
      </c>
      <c r="M33" s="26">
        <f t="shared" si="7"/>
        <v>4866121621</v>
      </c>
      <c r="N33" s="26">
        <f t="shared" si="7"/>
        <v>1961944194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2.0" customHeight="1">
      <c r="A34" s="18" t="s">
        <v>45</v>
      </c>
      <c r="B34" s="2"/>
      <c r="C34" s="3"/>
      <c r="D34" s="6"/>
      <c r="E34" s="6"/>
      <c r="F34" s="6"/>
      <c r="G34" s="6"/>
      <c r="H34" s="5"/>
      <c r="I34" s="6"/>
      <c r="J34" s="4"/>
      <c r="K34" s="4"/>
      <c r="L34" s="4"/>
      <c r="M34" s="4"/>
      <c r="N34" s="4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2.0" customHeight="1">
      <c r="A35" s="3"/>
      <c r="B35" s="2">
        <v>23.0</v>
      </c>
      <c r="C35" s="3" t="s">
        <v>160</v>
      </c>
      <c r="D35" s="6">
        <v>4.116491331675E7</v>
      </c>
      <c r="E35" s="6">
        <v>927726.76425</v>
      </c>
      <c r="F35" s="6">
        <f t="shared" ref="F35:F36" si="8">D35-E35</f>
        <v>40237186.55</v>
      </c>
      <c r="G35" s="27">
        <v>0.0</v>
      </c>
      <c r="H35" s="5">
        <v>57.0</v>
      </c>
      <c r="I35" s="6">
        <v>68596.71</v>
      </c>
      <c r="J35" s="4">
        <v>7245.16</v>
      </c>
      <c r="K35" s="4">
        <f t="shared" ref="K35:K36" si="9">I35-J35</f>
        <v>61351.55</v>
      </c>
      <c r="L35" s="4">
        <f>I35+May!L35</f>
        <v>928603.7</v>
      </c>
      <c r="M35" s="4">
        <f>J35+May!M35</f>
        <v>5540207.95</v>
      </c>
      <c r="N35" s="4">
        <f t="shared" ref="N35:N36" si="10">L35-M35</f>
        <v>-4611604.25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47</v>
      </c>
      <c r="D36" s="6">
        <f>54.975*34495275.92</f>
        <v>1896377794</v>
      </c>
      <c r="E36" s="6">
        <f>54.975*127473.32</f>
        <v>7007845.767</v>
      </c>
      <c r="F36" s="6">
        <f t="shared" si="8"/>
        <v>1889369948</v>
      </c>
      <c r="G36" s="6">
        <v>0.0</v>
      </c>
      <c r="H36" s="5">
        <v>2809.0</v>
      </c>
      <c r="I36" s="6">
        <f>54.975*118144.34</f>
        <v>6494985.092</v>
      </c>
      <c r="J36" s="6">
        <f>54.975*143712.12</f>
        <v>7900573.797</v>
      </c>
      <c r="K36" s="4">
        <f t="shared" si="9"/>
        <v>-1405588.706</v>
      </c>
      <c r="L36" s="4">
        <f>I36+May!L36</f>
        <v>251281888.3</v>
      </c>
      <c r="M36" s="4">
        <f>J36+May!M36</f>
        <v>221423313.3</v>
      </c>
      <c r="N36" s="4">
        <f t="shared" si="10"/>
        <v>29858575.06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22" t="s">
        <v>48</v>
      </c>
      <c r="B37" s="23"/>
      <c r="C37" s="1"/>
      <c r="D37" s="24">
        <f t="shared" ref="D37:N37" si="11">SUM(D35:D36)</f>
        <v>1937542707</v>
      </c>
      <c r="E37" s="24">
        <f t="shared" si="11"/>
        <v>7935572.531</v>
      </c>
      <c r="F37" s="24">
        <f t="shared" si="11"/>
        <v>1929607134</v>
      </c>
      <c r="G37" s="24">
        <f t="shared" si="11"/>
        <v>0</v>
      </c>
      <c r="H37" s="25">
        <f t="shared" si="11"/>
        <v>2866</v>
      </c>
      <c r="I37" s="24">
        <f t="shared" si="11"/>
        <v>6563581.802</v>
      </c>
      <c r="J37" s="26">
        <f t="shared" si="11"/>
        <v>7907818.957</v>
      </c>
      <c r="K37" s="26">
        <f t="shared" si="11"/>
        <v>-1344237.156</v>
      </c>
      <c r="L37" s="26">
        <f t="shared" si="11"/>
        <v>252210492</v>
      </c>
      <c r="M37" s="26">
        <f t="shared" si="11"/>
        <v>226963521.2</v>
      </c>
      <c r="N37" s="26">
        <f t="shared" si="11"/>
        <v>25246970.81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2.0" customHeight="1">
      <c r="A38" s="1" t="s">
        <v>49</v>
      </c>
      <c r="B38" s="23"/>
      <c r="C38" s="1"/>
      <c r="D38" s="24">
        <f t="shared" ref="D38:N38" si="12">D33+D37</f>
        <v>107585789814</v>
      </c>
      <c r="E38" s="24">
        <f t="shared" si="12"/>
        <v>748504635.4</v>
      </c>
      <c r="F38" s="24">
        <f t="shared" si="12"/>
        <v>106837285179</v>
      </c>
      <c r="G38" s="24">
        <f t="shared" si="12"/>
        <v>97282688780</v>
      </c>
      <c r="H38" s="25">
        <f t="shared" si="12"/>
        <v>576580</v>
      </c>
      <c r="I38" s="24">
        <f t="shared" si="12"/>
        <v>942008725.4</v>
      </c>
      <c r="J38" s="26">
        <f t="shared" si="12"/>
        <v>406028268.9</v>
      </c>
      <c r="K38" s="26">
        <f t="shared" si="12"/>
        <v>535980456.5</v>
      </c>
      <c r="L38" s="26">
        <f t="shared" si="12"/>
        <v>7080276307</v>
      </c>
      <c r="M38" s="26">
        <f t="shared" si="12"/>
        <v>5093085142</v>
      </c>
      <c r="N38" s="26">
        <f t="shared" si="12"/>
        <v>1987191165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50</v>
      </c>
      <c r="B39" s="2"/>
      <c r="C39" s="3"/>
      <c r="D39" s="6"/>
      <c r="E39" s="6"/>
      <c r="F39" s="6"/>
      <c r="G39" s="6"/>
      <c r="H39" s="5"/>
      <c r="I39" s="6"/>
      <c r="J39" s="4"/>
      <c r="K39" s="4"/>
      <c r="L39" s="4"/>
      <c r="M39" s="4"/>
      <c r="N39" s="4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ht="12.0" customHeight="1">
      <c r="A40" s="18" t="s">
        <v>20</v>
      </c>
      <c r="B40" s="2"/>
      <c r="C40" s="3"/>
      <c r="D40" s="6"/>
      <c r="E40" s="6"/>
      <c r="F40" s="6"/>
      <c r="G40" s="6"/>
      <c r="H40" s="5"/>
      <c r="I40" s="6"/>
      <c r="J40" s="4"/>
      <c r="K40" s="4"/>
      <c r="L40" s="4"/>
      <c r="M40" s="4"/>
      <c r="N40" s="4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/>
      <c r="B41" s="2">
        <v>25.0</v>
      </c>
      <c r="C41" s="3" t="s">
        <v>161</v>
      </c>
      <c r="D41" s="6">
        <v>1.2190368675000001E8</v>
      </c>
      <c r="E41" s="6">
        <v>2674350.48</v>
      </c>
      <c r="F41" s="6">
        <f t="shared" ref="F41:F50" si="13">D41-E41</f>
        <v>119229336.3</v>
      </c>
      <c r="G41" s="6">
        <v>2.23735506E7</v>
      </c>
      <c r="H41" s="5">
        <v>733.0</v>
      </c>
      <c r="I41" s="6">
        <v>429125.86</v>
      </c>
      <c r="J41" s="4">
        <v>484552.0699999999</v>
      </c>
      <c r="K41" s="4">
        <f t="shared" ref="K41:K50" si="14">I41-J41</f>
        <v>-55426.21</v>
      </c>
      <c r="L41" s="4">
        <f>I41+May!L41</f>
        <v>9065982.07</v>
      </c>
      <c r="M41" s="4">
        <f>J41+May!M41</f>
        <v>3624123.96</v>
      </c>
      <c r="N41" s="4">
        <f t="shared" ref="N41:N50" si="15">L41-M41</f>
        <v>5441858.11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3"/>
      <c r="B42" s="2">
        <v>26.0</v>
      </c>
      <c r="C42" s="3" t="s">
        <v>162</v>
      </c>
      <c r="D42" s="6">
        <v>6.1022260353E8</v>
      </c>
      <c r="E42" s="6">
        <v>1556261.18</v>
      </c>
      <c r="F42" s="6">
        <f t="shared" si="13"/>
        <v>608666342.4</v>
      </c>
      <c r="G42" s="6">
        <v>2.084679856E8</v>
      </c>
      <c r="H42" s="5">
        <v>2474.0</v>
      </c>
      <c r="I42" s="6">
        <v>3049905.4099999997</v>
      </c>
      <c r="J42" s="4">
        <v>1749546.4400000004</v>
      </c>
      <c r="K42" s="4">
        <f t="shared" si="14"/>
        <v>1300358.97</v>
      </c>
      <c r="L42" s="4">
        <f>I42+May!L42</f>
        <v>10810566.49</v>
      </c>
      <c r="M42" s="4">
        <f>J42+May!M42</f>
        <v>35678575.72</v>
      </c>
      <c r="N42" s="4">
        <f t="shared" si="15"/>
        <v>-24868009.23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53</v>
      </c>
      <c r="D43" s="6">
        <v>1.08617595871E9</v>
      </c>
      <c r="E43" s="6">
        <v>2.113395886E7</v>
      </c>
      <c r="F43" s="6">
        <f t="shared" si="13"/>
        <v>1065042000</v>
      </c>
      <c r="G43" s="6">
        <v>4.2547135787E8</v>
      </c>
      <c r="H43" s="5">
        <v>4832.0</v>
      </c>
      <c r="I43" s="6">
        <v>2627147.5920000006</v>
      </c>
      <c r="J43" s="4">
        <v>2630987.67</v>
      </c>
      <c r="K43" s="4">
        <f t="shared" si="14"/>
        <v>-3840.078</v>
      </c>
      <c r="L43" s="4">
        <f>I43+May!L43</f>
        <v>17442566.21</v>
      </c>
      <c r="M43" s="4">
        <f>J43+May!M43</f>
        <v>164613006.5</v>
      </c>
      <c r="N43" s="4">
        <f t="shared" si="15"/>
        <v>-147170440.3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54</v>
      </c>
      <c r="D44" s="6">
        <v>2.883893363E8</v>
      </c>
      <c r="E44" s="6">
        <v>4240304.59</v>
      </c>
      <c r="F44" s="6">
        <f t="shared" si="13"/>
        <v>284149031.7</v>
      </c>
      <c r="G44" s="6">
        <v>1.1273864431999998E8</v>
      </c>
      <c r="H44" s="5">
        <v>206.0</v>
      </c>
      <c r="I44" s="6">
        <v>2.241279271E7</v>
      </c>
      <c r="J44" s="4">
        <v>2391805.43</v>
      </c>
      <c r="K44" s="4">
        <f t="shared" si="14"/>
        <v>20020987.28</v>
      </c>
      <c r="L44" s="4">
        <f>I44+May!L44</f>
        <v>297105177.8</v>
      </c>
      <c r="M44" s="4">
        <f>J44+May!M44</f>
        <v>14037506.53</v>
      </c>
      <c r="N44" s="4">
        <f t="shared" si="15"/>
        <v>283067671.3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55</v>
      </c>
      <c r="D45" s="6">
        <v>3.2962474665E8</v>
      </c>
      <c r="E45" s="6">
        <v>1622636.37</v>
      </c>
      <c r="F45" s="6">
        <f t="shared" si="13"/>
        <v>328002110.3</v>
      </c>
      <c r="G45" s="6">
        <v>1.4839280947E8</v>
      </c>
      <c r="H45" s="5">
        <v>56.0</v>
      </c>
      <c r="I45" s="6">
        <v>0.0</v>
      </c>
      <c r="J45" s="4">
        <v>1772670.37</v>
      </c>
      <c r="K45" s="4">
        <f t="shared" si="14"/>
        <v>-1772670.37</v>
      </c>
      <c r="L45" s="4">
        <f>I45+May!L45</f>
        <v>0</v>
      </c>
      <c r="M45" s="4">
        <f>J45+May!M45</f>
        <v>2789770.37</v>
      </c>
      <c r="N45" s="4">
        <f t="shared" si="15"/>
        <v>-2789770.37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56</v>
      </c>
      <c r="D46" s="6">
        <v>5.6958432895E8</v>
      </c>
      <c r="E46" s="6">
        <v>1.352918103E7</v>
      </c>
      <c r="F46" s="6">
        <f t="shared" si="13"/>
        <v>556055147.9</v>
      </c>
      <c r="G46" s="6">
        <v>2.6722364422E8</v>
      </c>
      <c r="H46" s="5">
        <v>10209.0</v>
      </c>
      <c r="I46" s="6">
        <v>374150.28</v>
      </c>
      <c r="J46" s="4">
        <v>3423050.0</v>
      </c>
      <c r="K46" s="4">
        <f t="shared" si="14"/>
        <v>-3048899.72</v>
      </c>
      <c r="L46" s="4">
        <f>I46+May!L46</f>
        <v>4313450.9</v>
      </c>
      <c r="M46" s="4">
        <f>J46+May!M46</f>
        <v>33365007.71</v>
      </c>
      <c r="N46" s="4">
        <f t="shared" si="15"/>
        <v>-29051556.81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57</v>
      </c>
      <c r="D47" s="6">
        <v>1.025735362939E10</v>
      </c>
      <c r="E47" s="6">
        <v>8.029841558E7</v>
      </c>
      <c r="F47" s="6">
        <f t="shared" si="13"/>
        <v>10177055214</v>
      </c>
      <c r="G47" s="6">
        <v>4.8476033602E9</v>
      </c>
      <c r="H47" s="5">
        <v>8325.0</v>
      </c>
      <c r="I47" s="6">
        <v>2.770331208E7</v>
      </c>
      <c r="J47" s="4">
        <v>2.080006971E7</v>
      </c>
      <c r="K47" s="4">
        <f t="shared" si="14"/>
        <v>6903242.37</v>
      </c>
      <c r="L47" s="4">
        <f>I47+May!L47</f>
        <v>164468634.5</v>
      </c>
      <c r="M47" s="4">
        <f>J47+May!M47</f>
        <v>113458368</v>
      </c>
      <c r="N47" s="4">
        <f t="shared" si="15"/>
        <v>51010266.47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1.25" customHeight="1">
      <c r="A48" s="18"/>
      <c r="B48" s="2">
        <v>32.0</v>
      </c>
      <c r="C48" s="3" t="s">
        <v>163</v>
      </c>
      <c r="D48" s="6">
        <v>1.3407847222E8</v>
      </c>
      <c r="E48" s="6">
        <v>328317.24</v>
      </c>
      <c r="F48" s="6">
        <f t="shared" si="13"/>
        <v>133750155</v>
      </c>
      <c r="G48" s="6">
        <v>6.85394232E7</v>
      </c>
      <c r="H48" s="5">
        <v>196.0</v>
      </c>
      <c r="I48" s="6">
        <v>3020495.05</v>
      </c>
      <c r="J48" s="4">
        <v>44793.9</v>
      </c>
      <c r="K48" s="4">
        <f t="shared" si="14"/>
        <v>2975701.15</v>
      </c>
      <c r="L48" s="4">
        <f>I48+May!L48</f>
        <v>3372869.26</v>
      </c>
      <c r="M48" s="4">
        <f>J48+May!M48</f>
        <v>6630820.19</v>
      </c>
      <c r="N48" s="4">
        <f t="shared" si="15"/>
        <v>-3257950.93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v>33.0</v>
      </c>
      <c r="C49" s="3" t="s">
        <v>59</v>
      </c>
      <c r="D49" s="6">
        <v>7.22302464022E9</v>
      </c>
      <c r="E49" s="6">
        <v>4.302478298E7</v>
      </c>
      <c r="F49" s="6">
        <f t="shared" si="13"/>
        <v>7179999857</v>
      </c>
      <c r="G49" s="6">
        <v>3.86083746956E9</v>
      </c>
      <c r="H49" s="5">
        <v>53270.0</v>
      </c>
      <c r="I49" s="6">
        <v>1.085308955E7</v>
      </c>
      <c r="J49" s="4">
        <v>3.182171643E7</v>
      </c>
      <c r="K49" s="4">
        <f t="shared" si="14"/>
        <v>-20968626.88</v>
      </c>
      <c r="L49" s="4">
        <f>I49+May!L49</f>
        <v>99430212.78</v>
      </c>
      <c r="M49" s="4">
        <f>J49+May!M49</f>
        <v>297565240.2</v>
      </c>
      <c r="N49" s="4">
        <f t="shared" si="15"/>
        <v>-198135027.4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60</v>
      </c>
      <c r="D50" s="6">
        <v>1.13265224585E9</v>
      </c>
      <c r="E50" s="6">
        <v>9482363.2</v>
      </c>
      <c r="F50" s="6">
        <f t="shared" si="13"/>
        <v>1123169883</v>
      </c>
      <c r="G50" s="6">
        <v>7.002512972E8</v>
      </c>
      <c r="H50" s="5">
        <v>4998.0</v>
      </c>
      <c r="I50" s="6">
        <v>0.0</v>
      </c>
      <c r="J50" s="4">
        <v>1.043686583E7</v>
      </c>
      <c r="K50" s="4">
        <f t="shared" si="14"/>
        <v>-10436865.83</v>
      </c>
      <c r="L50" s="4">
        <f>I50+May!L50</f>
        <v>0</v>
      </c>
      <c r="M50" s="4">
        <f>J50+May!M50</f>
        <v>53745157.41</v>
      </c>
      <c r="N50" s="4">
        <f t="shared" si="15"/>
        <v>-53745157.41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18" t="s">
        <v>40</v>
      </c>
      <c r="B51" s="2"/>
      <c r="C51" s="3"/>
      <c r="D51" s="6"/>
      <c r="E51" s="6"/>
      <c r="F51" s="6"/>
      <c r="G51" s="6"/>
      <c r="H51" s="5"/>
      <c r="I51" s="6"/>
      <c r="J51" s="4"/>
      <c r="K51" s="4"/>
      <c r="L51" s="4"/>
      <c r="M51" s="4"/>
      <c r="N51" s="4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v>35.0</v>
      </c>
      <c r="C52" s="3" t="s">
        <v>61</v>
      </c>
      <c r="D52" s="6">
        <v>6.914763217E7</v>
      </c>
      <c r="E52" s="6">
        <v>345820.35</v>
      </c>
      <c r="F52" s="6">
        <f t="shared" ref="F52:F54" si="16">D52-E52</f>
        <v>68801811.82</v>
      </c>
      <c r="G52" s="6">
        <v>2.47718554E7</v>
      </c>
      <c r="H52" s="5">
        <v>949.0</v>
      </c>
      <c r="I52" s="6">
        <v>557124.48</v>
      </c>
      <c r="J52" s="4">
        <v>404505.84</v>
      </c>
      <c r="K52" s="4">
        <f t="shared" ref="K52:K54" si="17">I52-J52</f>
        <v>152618.64</v>
      </c>
      <c r="L52" s="4">
        <f>I52+May!L52</f>
        <v>4372355.78</v>
      </c>
      <c r="M52" s="4">
        <f>J52+May!M52</f>
        <v>1151690.36</v>
      </c>
      <c r="N52" s="4">
        <f t="shared" ref="N52:N54" si="18">L52-M52</f>
        <v>3220665.42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62</v>
      </c>
      <c r="D53" s="6">
        <v>5.18459954E7</v>
      </c>
      <c r="E53" s="6">
        <v>321199.18</v>
      </c>
      <c r="F53" s="6">
        <f t="shared" si="16"/>
        <v>51524796.22</v>
      </c>
      <c r="G53" s="6">
        <v>4.05070539E7</v>
      </c>
      <c r="H53" s="5">
        <v>363.0</v>
      </c>
      <c r="I53" s="6">
        <v>571740.94</v>
      </c>
      <c r="J53" s="4">
        <v>142391.09</v>
      </c>
      <c r="K53" s="4">
        <f t="shared" si="17"/>
        <v>429349.85</v>
      </c>
      <c r="L53" s="4">
        <f>I53+May!L53</f>
        <v>4502188.54</v>
      </c>
      <c r="M53" s="4">
        <f>J53+May!M53</f>
        <v>370339.81</v>
      </c>
      <c r="N53" s="4">
        <f t="shared" si="18"/>
        <v>4131848.73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63</v>
      </c>
      <c r="D54" s="6">
        <v>4.394359735E7</v>
      </c>
      <c r="E54" s="6">
        <v>293751.84</v>
      </c>
      <c r="F54" s="6">
        <f t="shared" si="16"/>
        <v>43649845.51</v>
      </c>
      <c r="G54" s="6">
        <v>3.70730943E7</v>
      </c>
      <c r="H54" s="5">
        <v>170.0</v>
      </c>
      <c r="I54" s="6">
        <v>104000.0</v>
      </c>
      <c r="J54" s="4">
        <v>61571.83</v>
      </c>
      <c r="K54" s="4">
        <f t="shared" si="17"/>
        <v>42428.17</v>
      </c>
      <c r="L54" s="4">
        <f>I54+May!L54</f>
        <v>1617766.67</v>
      </c>
      <c r="M54" s="4">
        <f>J54+May!M54</f>
        <v>158613.27</v>
      </c>
      <c r="N54" s="4">
        <f t="shared" si="18"/>
        <v>1459153.4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22" t="s">
        <v>44</v>
      </c>
      <c r="B55" s="22"/>
      <c r="C55" s="1"/>
      <c r="D55" s="24">
        <f t="shared" ref="D55:N55" si="19">SUM(D41:D54)</f>
        <v>21917946873</v>
      </c>
      <c r="E55" s="24">
        <f t="shared" si="19"/>
        <v>178851342.9</v>
      </c>
      <c r="F55" s="24">
        <f t="shared" si="19"/>
        <v>21739095531</v>
      </c>
      <c r="G55" s="24">
        <f t="shared" si="19"/>
        <v>10764251546</v>
      </c>
      <c r="H55" s="25">
        <f t="shared" si="19"/>
        <v>86781</v>
      </c>
      <c r="I55" s="24">
        <f t="shared" si="19"/>
        <v>71702883.95</v>
      </c>
      <c r="J55" s="24">
        <f t="shared" si="19"/>
        <v>76164526.61</v>
      </c>
      <c r="K55" s="24">
        <f t="shared" si="19"/>
        <v>-4461642.658</v>
      </c>
      <c r="L55" s="24">
        <f t="shared" si="19"/>
        <v>616501771</v>
      </c>
      <c r="M55" s="24">
        <f t="shared" si="19"/>
        <v>727188220</v>
      </c>
      <c r="N55" s="24">
        <f t="shared" si="19"/>
        <v>-110686449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2.0" customHeight="1">
      <c r="A56" s="18" t="s">
        <v>45</v>
      </c>
      <c r="B56" s="2"/>
      <c r="C56" s="3"/>
      <c r="D56" s="6"/>
      <c r="E56" s="6"/>
      <c r="F56" s="6"/>
      <c r="G56" s="6"/>
      <c r="H56" s="5"/>
      <c r="I56" s="6"/>
      <c r="J56" s="4"/>
      <c r="K56" s="4"/>
      <c r="L56" s="4"/>
      <c r="M56" s="4"/>
      <c r="N56" s="4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18"/>
      <c r="B57" s="2">
        <v>38.0</v>
      </c>
      <c r="C57" s="3" t="s">
        <v>64</v>
      </c>
      <c r="D57" s="6">
        <f>54.975*1315496.84</f>
        <v>72319438.78</v>
      </c>
      <c r="E57" s="6">
        <f>54.975*6816.93</f>
        <v>374760.7268</v>
      </c>
      <c r="F57" s="6">
        <f t="shared" ref="F57:F60" si="20">D57-E57</f>
        <v>71944678.05</v>
      </c>
      <c r="G57" s="6">
        <v>0.0</v>
      </c>
      <c r="H57" s="5">
        <v>55.0</v>
      </c>
      <c r="I57" s="6">
        <v>0.0</v>
      </c>
      <c r="J57" s="6">
        <v>0.0</v>
      </c>
      <c r="K57" s="4">
        <f t="shared" ref="K57:K60" si="21">I57-J57</f>
        <v>0</v>
      </c>
      <c r="L57" s="4">
        <f>I57+May!L57</f>
        <v>5201914.981</v>
      </c>
      <c r="M57" s="4">
        <f>J57+May!M57</f>
        <v>4087392.839</v>
      </c>
      <c r="N57" s="4">
        <f t="shared" ref="N57:N60" si="22">L57-M57</f>
        <v>1114522.142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65</v>
      </c>
      <c r="D58" s="6">
        <f>54.975*6609844.89</f>
        <v>363376222.8</v>
      </c>
      <c r="E58" s="6">
        <f>54.975*432437.04</f>
        <v>23773226.27</v>
      </c>
      <c r="F58" s="6">
        <f t="shared" si="20"/>
        <v>339602996.6</v>
      </c>
      <c r="G58" s="6">
        <f>54.975*3248297.47</f>
        <v>178575153.4</v>
      </c>
      <c r="H58" s="5">
        <v>274.0</v>
      </c>
      <c r="I58" s="6">
        <v>0.0</v>
      </c>
      <c r="J58" s="6">
        <f>54.975*61485.55</f>
        <v>3380168.111</v>
      </c>
      <c r="K58" s="4">
        <f t="shared" si="21"/>
        <v>-3380168.111</v>
      </c>
      <c r="L58" s="4">
        <f>I58+May!L58</f>
        <v>563511.3444</v>
      </c>
      <c r="M58" s="4">
        <f>J58+May!M58</f>
        <v>12233659.61</v>
      </c>
      <c r="N58" s="4">
        <f t="shared" si="22"/>
        <v>-11670148.27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3"/>
      <c r="B59" s="2">
        <v>40.0</v>
      </c>
      <c r="C59" s="3" t="s">
        <v>66</v>
      </c>
      <c r="D59" s="6">
        <f>54.975*29431606.62</f>
        <v>1618002574</v>
      </c>
      <c r="E59" s="6">
        <f>54.975*94971.62</f>
        <v>5221064.81</v>
      </c>
      <c r="F59" s="6">
        <f t="shared" si="20"/>
        <v>1612781509</v>
      </c>
      <c r="G59" s="6">
        <v>0.0</v>
      </c>
      <c r="H59" s="5">
        <v>4120.0</v>
      </c>
      <c r="I59" s="6">
        <f>54.975*6139.44</f>
        <v>337515.714</v>
      </c>
      <c r="J59" s="6">
        <f>54.975*77587.72</f>
        <v>4265384.907</v>
      </c>
      <c r="K59" s="4">
        <f t="shared" si="21"/>
        <v>-3927869.193</v>
      </c>
      <c r="L59" s="4">
        <f>I59+May!L59</f>
        <v>58115633.26</v>
      </c>
      <c r="M59" s="4">
        <f>J59+May!M59</f>
        <v>142799120.4</v>
      </c>
      <c r="N59" s="4">
        <f t="shared" si="22"/>
        <v>-84683487.17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67</v>
      </c>
      <c r="D60" s="6">
        <f>54.975*5962282.82</f>
        <v>327776498</v>
      </c>
      <c r="E60" s="6">
        <f>54.975*24652.67</f>
        <v>1355280.533</v>
      </c>
      <c r="F60" s="6">
        <f t="shared" si="20"/>
        <v>326421217.5</v>
      </c>
      <c r="G60" s="6">
        <v>0.0</v>
      </c>
      <c r="H60" s="5">
        <v>705.0</v>
      </c>
      <c r="I60" s="6">
        <f>54.975*10400</f>
        <v>571740</v>
      </c>
      <c r="J60" s="6">
        <f>54.975*14491.51</f>
        <v>796670.7623</v>
      </c>
      <c r="K60" s="4">
        <f t="shared" si="21"/>
        <v>-224930.7623</v>
      </c>
      <c r="L60" s="4">
        <f>I60+May!L60</f>
        <v>9955414.781</v>
      </c>
      <c r="M60" s="4">
        <f>J60+May!M60</f>
        <v>17442849.77</v>
      </c>
      <c r="N60" s="4">
        <f t="shared" si="22"/>
        <v>-7487434.99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22" t="s">
        <v>48</v>
      </c>
      <c r="B61" s="23"/>
      <c r="C61" s="1"/>
      <c r="D61" s="24">
        <f t="shared" ref="D61:N61" si="23">SUM(D57:D60)</f>
        <v>2381474734</v>
      </c>
      <c r="E61" s="24">
        <f t="shared" si="23"/>
        <v>30724332.34</v>
      </c>
      <c r="F61" s="24">
        <f t="shared" si="23"/>
        <v>2350750401</v>
      </c>
      <c r="G61" s="24">
        <f t="shared" si="23"/>
        <v>178575153.4</v>
      </c>
      <c r="H61" s="25">
        <f t="shared" si="23"/>
        <v>5154</v>
      </c>
      <c r="I61" s="24">
        <f t="shared" si="23"/>
        <v>909255.714</v>
      </c>
      <c r="J61" s="26">
        <f t="shared" si="23"/>
        <v>8442223.781</v>
      </c>
      <c r="K61" s="26">
        <f t="shared" si="23"/>
        <v>-7532968.067</v>
      </c>
      <c r="L61" s="26">
        <f t="shared" si="23"/>
        <v>73836474.37</v>
      </c>
      <c r="M61" s="26">
        <f t="shared" si="23"/>
        <v>176563022.7</v>
      </c>
      <c r="N61" s="26">
        <f t="shared" si="23"/>
        <v>-102726548.3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2.0" customHeight="1">
      <c r="A62" s="1" t="s">
        <v>68</v>
      </c>
      <c r="B62" s="23"/>
      <c r="C62" s="1"/>
      <c r="D62" s="24">
        <f t="shared" ref="D62:N62" si="24">D55+D61</f>
        <v>24299421607</v>
      </c>
      <c r="E62" s="24">
        <f t="shared" si="24"/>
        <v>209575675.2</v>
      </c>
      <c r="F62" s="24">
        <f t="shared" si="24"/>
        <v>24089845932</v>
      </c>
      <c r="G62" s="24">
        <f t="shared" si="24"/>
        <v>10942826699</v>
      </c>
      <c r="H62" s="25">
        <f t="shared" si="24"/>
        <v>91935</v>
      </c>
      <c r="I62" s="24">
        <f t="shared" si="24"/>
        <v>72612139.67</v>
      </c>
      <c r="J62" s="26">
        <f t="shared" si="24"/>
        <v>84606750.39</v>
      </c>
      <c r="K62" s="26">
        <f t="shared" si="24"/>
        <v>-11994610.72</v>
      </c>
      <c r="L62" s="26">
        <f t="shared" si="24"/>
        <v>690338245.4</v>
      </c>
      <c r="M62" s="26">
        <f t="shared" si="24"/>
        <v>903751242.7</v>
      </c>
      <c r="N62" s="26">
        <f t="shared" si="24"/>
        <v>-213412997.3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69</v>
      </c>
      <c r="B63" s="2"/>
      <c r="C63" s="3"/>
      <c r="D63" s="6"/>
      <c r="E63" s="6"/>
      <c r="F63" s="6"/>
      <c r="G63" s="6"/>
      <c r="H63" s="5"/>
      <c r="I63" s="6"/>
      <c r="J63" s="4"/>
      <c r="K63" s="4"/>
      <c r="L63" s="4"/>
      <c r="M63" s="4"/>
      <c r="N63" s="4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ht="12.0" customHeight="1">
      <c r="A64" s="18" t="s">
        <v>20</v>
      </c>
      <c r="B64" s="2"/>
      <c r="C64" s="3"/>
      <c r="D64" s="6"/>
      <c r="E64" s="6"/>
      <c r="F64" s="6"/>
      <c r="G64" s="6"/>
      <c r="H64" s="5"/>
      <c r="I64" s="6"/>
      <c r="J64" s="4"/>
      <c r="K64" s="4"/>
      <c r="L64" s="4"/>
      <c r="M64" s="4"/>
      <c r="N64" s="4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3"/>
      <c r="B65" s="2">
        <v>42.0</v>
      </c>
      <c r="C65" s="3" t="s">
        <v>70</v>
      </c>
      <c r="D65" s="6">
        <v>4.184606156677E10</v>
      </c>
      <c r="E65" s="6">
        <v>2.8485591496E8</v>
      </c>
      <c r="F65" s="6">
        <f t="shared" ref="F65:F75" si="25">D65-E65</f>
        <v>41561205652</v>
      </c>
      <c r="G65" s="6">
        <v>1.16317572E9</v>
      </c>
      <c r="H65" s="5">
        <v>26216.0</v>
      </c>
      <c r="I65" s="6">
        <v>2.3187153404E8</v>
      </c>
      <c r="J65" s="4">
        <v>8.3122331384E8</v>
      </c>
      <c r="K65" s="4">
        <f t="shared" ref="K65:K75" si="26">I65-J65</f>
        <v>-599351779.8</v>
      </c>
      <c r="L65" s="4">
        <f>I65+May!L65</f>
        <v>1602523790</v>
      </c>
      <c r="M65" s="4">
        <f>J65+May!M65</f>
        <v>3984059785</v>
      </c>
      <c r="N65" s="4">
        <f t="shared" ref="N65:N75" si="27">L65-M65</f>
        <v>-2381535995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164</v>
      </c>
      <c r="D66" s="6">
        <v>3.0362448044000006E8</v>
      </c>
      <c r="E66" s="6">
        <v>639973.64</v>
      </c>
      <c r="F66" s="6">
        <f t="shared" si="25"/>
        <v>302984506.8</v>
      </c>
      <c r="G66" s="6">
        <v>0.0</v>
      </c>
      <c r="H66" s="5">
        <v>1046.0</v>
      </c>
      <c r="I66" s="6">
        <v>381404.7800000001</v>
      </c>
      <c r="J66" s="4">
        <v>1263361.11</v>
      </c>
      <c r="K66" s="4">
        <f t="shared" si="26"/>
        <v>-881956.33</v>
      </c>
      <c r="L66" s="4">
        <f>I66+May!L66</f>
        <v>24396640.09</v>
      </c>
      <c r="M66" s="4">
        <f>J66+May!M66</f>
        <v>15029696.97</v>
      </c>
      <c r="N66" s="4">
        <f t="shared" si="27"/>
        <v>9366943.12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72</v>
      </c>
      <c r="D67" s="6">
        <v>1.1882459052799997E9</v>
      </c>
      <c r="E67" s="6">
        <v>2.349733631E7</v>
      </c>
      <c r="F67" s="6">
        <f t="shared" si="25"/>
        <v>1164748569</v>
      </c>
      <c r="G67" s="6">
        <v>0.0</v>
      </c>
      <c r="H67" s="5">
        <v>2055.0</v>
      </c>
      <c r="I67" s="6">
        <v>1507788.520000017</v>
      </c>
      <c r="J67" s="4">
        <v>4281729.150000004</v>
      </c>
      <c r="K67" s="4">
        <f t="shared" si="26"/>
        <v>-2773940.63</v>
      </c>
      <c r="L67" s="4">
        <f>I67+May!L67</f>
        <v>124404757.6</v>
      </c>
      <c r="M67" s="4">
        <f>J67+May!M67</f>
        <v>179612069.4</v>
      </c>
      <c r="N67" s="4">
        <f t="shared" si="27"/>
        <v>-55207311.84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1"/>
      <c r="B68" s="2">
        <v>45.0</v>
      </c>
      <c r="C68" s="3" t="s">
        <v>73</v>
      </c>
      <c r="D68" s="6">
        <v>1.9522176678E8</v>
      </c>
      <c r="E68" s="6">
        <v>287743.47</v>
      </c>
      <c r="F68" s="6">
        <f t="shared" si="25"/>
        <v>194934023.3</v>
      </c>
      <c r="G68" s="6">
        <v>4800000.0</v>
      </c>
      <c r="H68" s="5">
        <v>151.0</v>
      </c>
      <c r="I68" s="6">
        <v>166478.46</v>
      </c>
      <c r="J68" s="4">
        <v>544886.71</v>
      </c>
      <c r="K68" s="4">
        <f t="shared" si="26"/>
        <v>-378408.25</v>
      </c>
      <c r="L68" s="4">
        <f>I68+May!L68</f>
        <v>2037298.48</v>
      </c>
      <c r="M68" s="4">
        <f>J68+May!M68</f>
        <v>2837541.49</v>
      </c>
      <c r="N68" s="4">
        <f t="shared" si="27"/>
        <v>-800243.01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v>46.0</v>
      </c>
      <c r="C69" s="3" t="s">
        <v>74</v>
      </c>
      <c r="D69" s="6">
        <v>1.38156678952E9</v>
      </c>
      <c r="E69" s="6">
        <v>3189231.4</v>
      </c>
      <c r="F69" s="6">
        <f t="shared" si="25"/>
        <v>1378377558</v>
      </c>
      <c r="G69" s="6">
        <v>0.0</v>
      </c>
      <c r="H69" s="5">
        <v>1875.0</v>
      </c>
      <c r="I69" s="6">
        <v>2585636.4</v>
      </c>
      <c r="J69" s="4">
        <v>6.258593884E7</v>
      </c>
      <c r="K69" s="4">
        <f t="shared" si="26"/>
        <v>-60000302.44</v>
      </c>
      <c r="L69" s="4">
        <f>I69+May!L69</f>
        <v>26533591.41</v>
      </c>
      <c r="M69" s="4">
        <f>J69+May!M69</f>
        <v>160131856.3</v>
      </c>
      <c r="N69" s="4">
        <f t="shared" si="27"/>
        <v>-133598264.9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75</v>
      </c>
      <c r="D70" s="6">
        <v>9.804779873E8</v>
      </c>
      <c r="E70" s="6">
        <v>3.613971605E7</v>
      </c>
      <c r="F70" s="6">
        <f t="shared" si="25"/>
        <v>944338271.3</v>
      </c>
      <c r="G70" s="6">
        <v>0.0</v>
      </c>
      <c r="H70" s="5">
        <v>536.0</v>
      </c>
      <c r="I70" s="6">
        <v>3042410.56</v>
      </c>
      <c r="J70" s="4">
        <v>4481728.72</v>
      </c>
      <c r="K70" s="4">
        <f t="shared" si="26"/>
        <v>-1439318.16</v>
      </c>
      <c r="L70" s="4">
        <f>I70+May!L70</f>
        <v>20560346.53</v>
      </c>
      <c r="M70" s="4">
        <f>J70+May!M70</f>
        <v>67763000.09</v>
      </c>
      <c r="N70" s="4">
        <f t="shared" si="27"/>
        <v>-47202653.56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76</v>
      </c>
      <c r="D71" s="6">
        <v>6.278649452E9</v>
      </c>
      <c r="E71" s="6">
        <v>3.84181959E7</v>
      </c>
      <c r="F71" s="6">
        <f t="shared" si="25"/>
        <v>6240231256</v>
      </c>
      <c r="G71" s="6">
        <v>0.0</v>
      </c>
      <c r="H71" s="5">
        <v>5122.0</v>
      </c>
      <c r="I71" s="6">
        <v>2.240696623E7</v>
      </c>
      <c r="J71" s="4">
        <v>3.921668302E7</v>
      </c>
      <c r="K71" s="4">
        <f t="shared" si="26"/>
        <v>-16809716.79</v>
      </c>
      <c r="L71" s="4">
        <f>I71+May!L71</f>
        <v>189876210.8</v>
      </c>
      <c r="M71" s="4">
        <f>J71+May!M71</f>
        <v>396507404.5</v>
      </c>
      <c r="N71" s="4">
        <f t="shared" si="27"/>
        <v>-206631193.6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77</v>
      </c>
      <c r="D72" s="6">
        <v>3.16986490590344E8</v>
      </c>
      <c r="E72" s="6">
        <v>468658.776300002</v>
      </c>
      <c r="F72" s="6">
        <f t="shared" si="25"/>
        <v>316517831.8</v>
      </c>
      <c r="G72" s="6">
        <v>1.644337E7</v>
      </c>
      <c r="H72" s="5">
        <v>4180.0</v>
      </c>
      <c r="I72" s="6">
        <v>3117097.4</v>
      </c>
      <c r="J72" s="4">
        <v>1110162.11</v>
      </c>
      <c r="K72" s="4">
        <f t="shared" si="26"/>
        <v>2006935.29</v>
      </c>
      <c r="L72" s="4">
        <f>I72+May!L72</f>
        <v>29017009.19</v>
      </c>
      <c r="M72" s="4">
        <f>J72+May!M72</f>
        <v>18091521.5</v>
      </c>
      <c r="N72" s="4">
        <f t="shared" si="27"/>
        <v>10925487.69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78</v>
      </c>
      <c r="D73" s="6">
        <v>1.0018751626099999E9</v>
      </c>
      <c r="E73" s="28">
        <v>2495402.02</v>
      </c>
      <c r="F73" s="6">
        <f t="shared" si="25"/>
        <v>999379760.6</v>
      </c>
      <c r="G73" s="6">
        <v>0.0</v>
      </c>
      <c r="H73" s="5">
        <v>842.0</v>
      </c>
      <c r="I73" s="6">
        <v>4614966.8</v>
      </c>
      <c r="J73" s="4">
        <v>569140.95</v>
      </c>
      <c r="K73" s="4">
        <f t="shared" si="26"/>
        <v>4045825.85</v>
      </c>
      <c r="L73" s="4">
        <f>I73+May!L73</f>
        <v>106140158.5</v>
      </c>
      <c r="M73" s="4">
        <f>J73+May!M73</f>
        <v>3970008.62</v>
      </c>
      <c r="N73" s="4">
        <f t="shared" si="27"/>
        <v>102170149.9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79</v>
      </c>
      <c r="D74" s="6">
        <v>4.39111493314E9</v>
      </c>
      <c r="E74" s="6">
        <v>1.194636783E7</v>
      </c>
      <c r="F74" s="6">
        <f t="shared" si="25"/>
        <v>4379168565</v>
      </c>
      <c r="G74" s="6">
        <v>0.0</v>
      </c>
      <c r="H74" s="5">
        <v>16151.0</v>
      </c>
      <c r="I74" s="6">
        <v>3.428058341E7</v>
      </c>
      <c r="J74" s="4">
        <v>1.0209860579E8</v>
      </c>
      <c r="K74" s="4">
        <f t="shared" si="26"/>
        <v>-67818022.38</v>
      </c>
      <c r="L74" s="4">
        <f>I74+May!L74</f>
        <v>241106049</v>
      </c>
      <c r="M74" s="4">
        <f>J74+May!M74</f>
        <v>471067994.4</v>
      </c>
      <c r="N74" s="4">
        <f t="shared" si="27"/>
        <v>-229961945.5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80</v>
      </c>
      <c r="D75" s="6">
        <v>1.4041297911E8</v>
      </c>
      <c r="E75" s="6">
        <v>407889.82</v>
      </c>
      <c r="F75" s="6">
        <f t="shared" si="25"/>
        <v>140005089.3</v>
      </c>
      <c r="G75" s="6">
        <v>0.0</v>
      </c>
      <c r="H75" s="5">
        <v>2576.0</v>
      </c>
      <c r="I75" s="6">
        <v>561064.81</v>
      </c>
      <c r="J75" s="4">
        <v>547170.74</v>
      </c>
      <c r="K75" s="4">
        <f t="shared" si="26"/>
        <v>13894.07</v>
      </c>
      <c r="L75" s="4">
        <f>I75+May!L75</f>
        <v>4547343.81</v>
      </c>
      <c r="M75" s="4">
        <f>J75+May!M75</f>
        <v>23346793.06</v>
      </c>
      <c r="N75" s="4">
        <f t="shared" si="27"/>
        <v>-18799449.25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22" t="s">
        <v>44</v>
      </c>
      <c r="B76" s="1"/>
      <c r="C76" s="1"/>
      <c r="D76" s="24">
        <f t="shared" ref="D76:N76" si="28">SUM(D65:D75)</f>
        <v>58024237514</v>
      </c>
      <c r="E76" s="24">
        <f t="shared" si="28"/>
        <v>402346430.2</v>
      </c>
      <c r="F76" s="24">
        <f t="shared" si="28"/>
        <v>57621891083</v>
      </c>
      <c r="G76" s="24">
        <f t="shared" si="28"/>
        <v>1184419090</v>
      </c>
      <c r="H76" s="25">
        <f t="shared" si="28"/>
        <v>60750</v>
      </c>
      <c r="I76" s="24">
        <f t="shared" si="28"/>
        <v>304535931.4</v>
      </c>
      <c r="J76" s="24">
        <f t="shared" si="28"/>
        <v>1047922721</v>
      </c>
      <c r="K76" s="24">
        <f t="shared" si="28"/>
        <v>-743386789.6</v>
      </c>
      <c r="L76" s="24">
        <f t="shared" si="28"/>
        <v>2371143196</v>
      </c>
      <c r="M76" s="24">
        <f t="shared" si="28"/>
        <v>5322417671</v>
      </c>
      <c r="N76" s="24">
        <f t="shared" si="28"/>
        <v>-2951274476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18" t="s">
        <v>45</v>
      </c>
      <c r="B77" s="2"/>
      <c r="C77" s="3"/>
      <c r="D77" s="6"/>
      <c r="E77" s="6"/>
      <c r="F77" s="6"/>
      <c r="G77" s="6"/>
      <c r="H77" s="5"/>
      <c r="I77" s="6"/>
      <c r="J77" s="4"/>
      <c r="K77" s="4"/>
      <c r="L77" s="4"/>
      <c r="M77" s="4"/>
      <c r="N77" s="4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3"/>
      <c r="B78" s="2">
        <v>53.0</v>
      </c>
      <c r="C78" s="3" t="s">
        <v>81</v>
      </c>
      <c r="D78" s="6">
        <f>54.975*270943301.93</f>
        <v>14895108024</v>
      </c>
      <c r="E78" s="6">
        <f>54.975*784537.12</f>
        <v>43129928.17</v>
      </c>
      <c r="F78" s="6">
        <f t="shared" ref="F78:F84" si="29">D78-E78</f>
        <v>14851978095</v>
      </c>
      <c r="G78" s="6">
        <v>0.0</v>
      </c>
      <c r="H78" s="5">
        <v>9547.0</v>
      </c>
      <c r="I78" s="6">
        <f>54.975*1738116.03</f>
        <v>95552928.75</v>
      </c>
      <c r="J78" s="4">
        <f>54.975*5765242.5</f>
        <v>316944206.4</v>
      </c>
      <c r="K78" s="4">
        <f t="shared" ref="K78:K84" si="30">I78-J78</f>
        <v>-221391277.7</v>
      </c>
      <c r="L78" s="4">
        <f>I78+May!L78</f>
        <v>650131690.6</v>
      </c>
      <c r="M78" s="4">
        <f>J78+May!M78</f>
        <v>4199867275</v>
      </c>
      <c r="N78" s="4">
        <f t="shared" ref="N78:N84" si="31">L78-M78</f>
        <v>-3549735584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165</v>
      </c>
      <c r="D79" s="6">
        <v>5.7955619431875E8</v>
      </c>
      <c r="E79" s="6">
        <v>1.7804221366875002E8</v>
      </c>
      <c r="F79" s="6">
        <f t="shared" si="29"/>
        <v>401513980.7</v>
      </c>
      <c r="G79" s="6">
        <v>0.0</v>
      </c>
      <c r="H79" s="5">
        <v>198.0</v>
      </c>
      <c r="I79" s="6">
        <v>0.0</v>
      </c>
      <c r="J79" s="4">
        <v>5.6924524E7</v>
      </c>
      <c r="K79" s="4">
        <f t="shared" si="30"/>
        <v>-56924524</v>
      </c>
      <c r="L79" s="4">
        <f>I79+May!L79</f>
        <v>18965146.4</v>
      </c>
      <c r="M79" s="4">
        <f>J79+May!M79</f>
        <v>382438011.3</v>
      </c>
      <c r="N79" s="4">
        <f t="shared" si="31"/>
        <v>-363472864.9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83</v>
      </c>
      <c r="D80" s="6">
        <v>7.3901231320425E8</v>
      </c>
      <c r="E80" s="6">
        <v>3392875.0327500002</v>
      </c>
      <c r="F80" s="6">
        <f t="shared" si="29"/>
        <v>735619438.2</v>
      </c>
      <c r="G80" s="6">
        <v>0.0</v>
      </c>
      <c r="H80" s="5">
        <v>157.0</v>
      </c>
      <c r="I80" s="6">
        <v>2.09</v>
      </c>
      <c r="J80" s="4">
        <v>2.09</v>
      </c>
      <c r="K80" s="4">
        <f t="shared" si="30"/>
        <v>0</v>
      </c>
      <c r="L80" s="4">
        <f>I80+May!L80</f>
        <v>1309297.108</v>
      </c>
      <c r="M80" s="4">
        <f>J80+May!M80</f>
        <v>14565724.42</v>
      </c>
      <c r="N80" s="4">
        <f t="shared" si="31"/>
        <v>-13256427.31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1.25" customHeight="1">
      <c r="A81" s="18"/>
      <c r="B81" s="2">
        <v>56.0</v>
      </c>
      <c r="C81" s="3" t="s">
        <v>84</v>
      </c>
      <c r="D81" s="6">
        <f>54.975*1156107.86</f>
        <v>63557029.6</v>
      </c>
      <c r="E81" s="6">
        <f>54.975*220963.59</f>
        <v>12147473.36</v>
      </c>
      <c r="F81" s="6">
        <f t="shared" si="29"/>
        <v>51409556.24</v>
      </c>
      <c r="G81" s="6">
        <v>0.0</v>
      </c>
      <c r="H81" s="5">
        <v>26.0</v>
      </c>
      <c r="I81" s="6">
        <v>0.0</v>
      </c>
      <c r="J81" s="6">
        <v>0.0</v>
      </c>
      <c r="K81" s="4">
        <f t="shared" si="30"/>
        <v>0</v>
      </c>
      <c r="L81" s="4">
        <f>I81+May!L81</f>
        <v>684910.0473</v>
      </c>
      <c r="M81" s="4">
        <f>J81+May!M81</f>
        <v>1188416.954</v>
      </c>
      <c r="N81" s="4">
        <f t="shared" si="31"/>
        <v>-503506.9064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v>57.0</v>
      </c>
      <c r="C82" s="3" t="s">
        <v>85</v>
      </c>
      <c r="D82" s="6">
        <f>54.975*40139041.8</f>
        <v>2206643823</v>
      </c>
      <c r="E82" s="6">
        <f>54.975*-211994.07</f>
        <v>-11654374</v>
      </c>
      <c r="F82" s="6">
        <f t="shared" si="29"/>
        <v>2218298197</v>
      </c>
      <c r="G82" s="6">
        <v>0.0</v>
      </c>
      <c r="H82" s="5">
        <v>2019.0</v>
      </c>
      <c r="I82" s="6">
        <f>54.975*1184.48</f>
        <v>65116.788</v>
      </c>
      <c r="J82" s="6">
        <f>54.975*241500.65</f>
        <v>13276498.23</v>
      </c>
      <c r="K82" s="4">
        <f t="shared" si="30"/>
        <v>-13211381.45</v>
      </c>
      <c r="L82" s="4">
        <f>I82+May!L82</f>
        <v>268154099.8</v>
      </c>
      <c r="M82" s="4">
        <f>J82+May!M82</f>
        <v>70948046.91</v>
      </c>
      <c r="N82" s="4">
        <f t="shared" si="31"/>
        <v>197206052.9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86</v>
      </c>
      <c r="D83" s="6">
        <v>2.357407564176208E8</v>
      </c>
      <c r="E83" s="6">
        <v>567039.57310875</v>
      </c>
      <c r="F83" s="6">
        <f t="shared" si="29"/>
        <v>235173716.8</v>
      </c>
      <c r="G83" s="6">
        <v>0.0</v>
      </c>
      <c r="H83" s="5">
        <v>127.0</v>
      </c>
      <c r="I83" s="6">
        <v>0.0</v>
      </c>
      <c r="J83" s="4">
        <v>0.0</v>
      </c>
      <c r="K83" s="4">
        <f t="shared" si="30"/>
        <v>0</v>
      </c>
      <c r="L83" s="4">
        <f>I83+May!L83</f>
        <v>1280795</v>
      </c>
      <c r="M83" s="4">
        <f>J83+May!M83</f>
        <v>1995692.206</v>
      </c>
      <c r="N83" s="4">
        <f t="shared" si="31"/>
        <v>-714897.2059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87</v>
      </c>
      <c r="D84" s="6">
        <f>54.975*9042762.56</f>
        <v>497125871.7</v>
      </c>
      <c r="E84" s="6">
        <f>54.975*407647.78</f>
        <v>22410436.71</v>
      </c>
      <c r="F84" s="6">
        <f t="shared" si="29"/>
        <v>474715435</v>
      </c>
      <c r="G84" s="6">
        <v>0.0</v>
      </c>
      <c r="H84" s="5">
        <v>2514.0</v>
      </c>
      <c r="I84" s="6">
        <f>54.975*4500</f>
        <v>247387.5</v>
      </c>
      <c r="J84" s="4">
        <f>54.975*101360.86</f>
        <v>5572313.279</v>
      </c>
      <c r="K84" s="4">
        <f t="shared" si="30"/>
        <v>-5324925.779</v>
      </c>
      <c r="L84" s="4">
        <f>I84+May!L84</f>
        <v>19310442.2</v>
      </c>
      <c r="M84" s="4">
        <f>J84+May!M84</f>
        <v>41560408.68</v>
      </c>
      <c r="N84" s="4">
        <f t="shared" si="31"/>
        <v>-22249966.48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22" t="s">
        <v>88</v>
      </c>
      <c r="B85" s="23"/>
      <c r="C85" s="29"/>
      <c r="D85" s="24">
        <f t="shared" ref="D85:N85" si="32">SUM(D78:D84)</f>
        <v>19216744012</v>
      </c>
      <c r="E85" s="24">
        <f t="shared" si="32"/>
        <v>248035592.5</v>
      </c>
      <c r="F85" s="24">
        <f t="shared" si="32"/>
        <v>18968708419</v>
      </c>
      <c r="G85" s="24">
        <f t="shared" si="32"/>
        <v>0</v>
      </c>
      <c r="H85" s="25">
        <f t="shared" si="32"/>
        <v>14588</v>
      </c>
      <c r="I85" s="24">
        <f t="shared" si="32"/>
        <v>95865435.13</v>
      </c>
      <c r="J85" s="26">
        <f t="shared" si="32"/>
        <v>392717544</v>
      </c>
      <c r="K85" s="26">
        <f t="shared" si="32"/>
        <v>-296852108.9</v>
      </c>
      <c r="L85" s="26">
        <f t="shared" si="32"/>
        <v>959836381.1</v>
      </c>
      <c r="M85" s="26">
        <f t="shared" si="32"/>
        <v>4712563575</v>
      </c>
      <c r="N85" s="26">
        <f t="shared" si="32"/>
        <v>-3752727194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v>60.0</v>
      </c>
      <c r="C86" s="3" t="s">
        <v>89</v>
      </c>
      <c r="D86" s="6">
        <f>57.4103925*15690542.49</f>
        <v>900800202.9</v>
      </c>
      <c r="E86" s="6">
        <f>57.4103925*12305.08</f>
        <v>706439.4725</v>
      </c>
      <c r="F86" s="6">
        <f>D86-E86</f>
        <v>900093763.4</v>
      </c>
      <c r="G86" s="6">
        <v>0.0</v>
      </c>
      <c r="H86" s="5">
        <v>676.0</v>
      </c>
      <c r="I86" s="6">
        <f>57.4103925*129296.71</f>
        <v>7422974.87</v>
      </c>
      <c r="J86" s="4">
        <f>57.4103925*351214.57</f>
        <v>20163366.32</v>
      </c>
      <c r="K86" s="4">
        <f>I86-J86</f>
        <v>-12740391.45</v>
      </c>
      <c r="L86" s="4">
        <f>I86+May!L86</f>
        <v>19393736.18</v>
      </c>
      <c r="M86" s="4">
        <f>J86+May!M86</f>
        <v>63615096.46</v>
      </c>
      <c r="N86" s="4">
        <f>L86-M86</f>
        <v>-44221360.28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22" t="s">
        <v>90</v>
      </c>
      <c r="B87" s="29"/>
      <c r="C87" s="1"/>
      <c r="D87" s="24">
        <f t="shared" ref="D87:N87" si="33">SUM(D86)</f>
        <v>900800202.9</v>
      </c>
      <c r="E87" s="24">
        <f t="shared" si="33"/>
        <v>706439.4725</v>
      </c>
      <c r="F87" s="24">
        <f t="shared" si="33"/>
        <v>900093763.4</v>
      </c>
      <c r="G87" s="24">
        <f t="shared" si="33"/>
        <v>0</v>
      </c>
      <c r="H87" s="25">
        <f t="shared" si="33"/>
        <v>676</v>
      </c>
      <c r="I87" s="24">
        <f t="shared" si="33"/>
        <v>7422974.87</v>
      </c>
      <c r="J87" s="26">
        <f t="shared" si="33"/>
        <v>20163366.32</v>
      </c>
      <c r="K87" s="26">
        <f t="shared" si="33"/>
        <v>-12740391.45</v>
      </c>
      <c r="L87" s="26">
        <f t="shared" si="33"/>
        <v>19393736.18</v>
      </c>
      <c r="M87" s="26">
        <f t="shared" si="33"/>
        <v>63615096.46</v>
      </c>
      <c r="N87" s="26">
        <f t="shared" si="33"/>
        <v>-44221360.28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1" t="s">
        <v>91</v>
      </c>
      <c r="B88" s="23"/>
      <c r="C88" s="29"/>
      <c r="D88" s="24">
        <f t="shared" ref="D88:N88" si="34">D76+D85+D87</f>
        <v>78141781728</v>
      </c>
      <c r="E88" s="24">
        <f t="shared" si="34"/>
        <v>651088462.2</v>
      </c>
      <c r="F88" s="24">
        <f t="shared" si="34"/>
        <v>77490693266</v>
      </c>
      <c r="G88" s="24">
        <f t="shared" si="34"/>
        <v>1184419090</v>
      </c>
      <c r="H88" s="25">
        <f t="shared" si="34"/>
        <v>76014</v>
      </c>
      <c r="I88" s="24">
        <f t="shared" si="34"/>
        <v>407824341.4</v>
      </c>
      <c r="J88" s="26">
        <f t="shared" si="34"/>
        <v>1460803631</v>
      </c>
      <c r="K88" s="26">
        <f t="shared" si="34"/>
        <v>-1052979290</v>
      </c>
      <c r="L88" s="26">
        <f t="shared" si="34"/>
        <v>3350373313</v>
      </c>
      <c r="M88" s="26">
        <f t="shared" si="34"/>
        <v>10098596343</v>
      </c>
      <c r="N88" s="26">
        <f t="shared" si="34"/>
        <v>-6748223030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92</v>
      </c>
      <c r="B89" s="2"/>
      <c r="C89" s="30"/>
      <c r="D89" s="6"/>
      <c r="E89" s="6"/>
      <c r="F89" s="6"/>
      <c r="G89" s="6"/>
      <c r="H89" s="5"/>
      <c r="I89" s="6"/>
      <c r="J89" s="4"/>
      <c r="K89" s="4"/>
      <c r="L89" s="4"/>
      <c r="M89" s="4"/>
      <c r="N89" s="4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8" t="s">
        <v>20</v>
      </c>
      <c r="B90" s="2"/>
      <c r="C90" s="30"/>
      <c r="D90" s="6"/>
      <c r="E90" s="6"/>
      <c r="F90" s="6"/>
      <c r="G90" s="6"/>
      <c r="H90" s="5"/>
      <c r="I90" s="6"/>
      <c r="J90" s="4"/>
      <c r="K90" s="4"/>
      <c r="L90" s="4"/>
      <c r="M90" s="4"/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/>
      <c r="B91" s="2">
        <v>61.0</v>
      </c>
      <c r="C91" s="3" t="s">
        <v>93</v>
      </c>
      <c r="D91" s="6">
        <v>6.081647809606E10</v>
      </c>
      <c r="E91" s="6">
        <v>3.834249726E7</v>
      </c>
      <c r="F91" s="6">
        <f t="shared" ref="F91:F93" si="35">D91-E91</f>
        <v>60778135599</v>
      </c>
      <c r="G91" s="6">
        <v>0.0</v>
      </c>
      <c r="H91" s="5">
        <v>33756.0</v>
      </c>
      <c r="I91" s="6">
        <v>2.77941265787E9</v>
      </c>
      <c r="J91" s="4">
        <v>2.79508419143E9</v>
      </c>
      <c r="K91" s="4">
        <f t="shared" ref="K91:K93" si="36">I91-J91</f>
        <v>-15671533.56</v>
      </c>
      <c r="L91" s="4">
        <f>I91+May!L91</f>
        <v>19311482958</v>
      </c>
      <c r="M91" s="4">
        <f>J91+May!M91</f>
        <v>17844364738</v>
      </c>
      <c r="N91" s="4">
        <f t="shared" ref="N91:N93" si="37">L91-M91</f>
        <v>1467118220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94</v>
      </c>
      <c r="D92" s="6">
        <v>2.7413650647E9</v>
      </c>
      <c r="E92" s="6">
        <v>2674853.78</v>
      </c>
      <c r="F92" s="6">
        <f t="shared" si="35"/>
        <v>2738690211</v>
      </c>
      <c r="G92" s="6">
        <v>0.0</v>
      </c>
      <c r="H92" s="5">
        <v>608.0</v>
      </c>
      <c r="I92" s="6">
        <v>2.1216779258000004E8</v>
      </c>
      <c r="J92" s="4">
        <v>3.543728528900001E8</v>
      </c>
      <c r="K92" s="4">
        <f t="shared" si="36"/>
        <v>-142205060.3</v>
      </c>
      <c r="L92" s="4">
        <f>I92+May!L92</f>
        <v>1316110513</v>
      </c>
      <c r="M92" s="4">
        <f>J92+May!M92</f>
        <v>1364089377</v>
      </c>
      <c r="N92" s="4">
        <f t="shared" si="37"/>
        <v>-47978864.76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/>
      <c r="B93" s="2">
        <v>63.0</v>
      </c>
      <c r="C93" s="3" t="s">
        <v>95</v>
      </c>
      <c r="D93" s="6">
        <v>1.2847745772589E11</v>
      </c>
      <c r="E93" s="6">
        <v>4.7763159538E8</v>
      </c>
      <c r="F93" s="6">
        <f t="shared" si="35"/>
        <v>127999826131</v>
      </c>
      <c r="G93" s="6">
        <v>0.0</v>
      </c>
      <c r="H93" s="5">
        <v>60593.0</v>
      </c>
      <c r="I93" s="6">
        <v>1.863855299458E10</v>
      </c>
      <c r="J93" s="4">
        <v>1.975838047496E10</v>
      </c>
      <c r="K93" s="4">
        <f t="shared" si="36"/>
        <v>-1119827480</v>
      </c>
      <c r="L93" s="4">
        <f>I93+May!L93</f>
        <v>106058259692</v>
      </c>
      <c r="M93" s="4">
        <f>J93+May!M93</f>
        <v>106135643154</v>
      </c>
      <c r="N93" s="4">
        <f t="shared" si="37"/>
        <v>-77383461.69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2" t="s">
        <v>44</v>
      </c>
      <c r="B94" s="2"/>
      <c r="C94" s="3"/>
      <c r="D94" s="24">
        <f t="shared" ref="D94:N94" si="38">SUM(D91:D93)</f>
        <v>192035300887</v>
      </c>
      <c r="E94" s="24">
        <f t="shared" si="38"/>
        <v>518648946.4</v>
      </c>
      <c r="F94" s="24">
        <f t="shared" si="38"/>
        <v>191516651940</v>
      </c>
      <c r="G94" s="24">
        <f t="shared" si="38"/>
        <v>0</v>
      </c>
      <c r="H94" s="25">
        <f t="shared" si="38"/>
        <v>94957</v>
      </c>
      <c r="I94" s="24">
        <f t="shared" si="38"/>
        <v>21630133445</v>
      </c>
      <c r="J94" s="24">
        <f t="shared" si="38"/>
        <v>22907837519</v>
      </c>
      <c r="K94" s="24">
        <f t="shared" si="38"/>
        <v>-1277704074</v>
      </c>
      <c r="L94" s="24">
        <f t="shared" si="38"/>
        <v>126685853163</v>
      </c>
      <c r="M94" s="24">
        <f t="shared" si="38"/>
        <v>125344097269</v>
      </c>
      <c r="N94" s="24">
        <f t="shared" si="38"/>
        <v>1341755894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45</v>
      </c>
      <c r="B95" s="2"/>
      <c r="C95" s="3"/>
      <c r="D95" s="6"/>
      <c r="E95" s="6"/>
      <c r="F95" s="6"/>
      <c r="G95" s="6"/>
      <c r="H95" s="5"/>
      <c r="I95" s="6"/>
      <c r="J95" s="4"/>
      <c r="K95" s="4"/>
      <c r="L95" s="4"/>
      <c r="M95" s="4"/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64.0</v>
      </c>
      <c r="C96" s="3" t="s">
        <v>96</v>
      </c>
      <c r="D96" s="6">
        <f>54.975*252359648.8</f>
        <v>13873471693</v>
      </c>
      <c r="E96" s="6">
        <f>54.975*2275669.07</f>
        <v>125104907.1</v>
      </c>
      <c r="F96" s="6">
        <f>D96-E96</f>
        <v>13748366786</v>
      </c>
      <c r="G96" s="6">
        <v>0.0</v>
      </c>
      <c r="H96" s="5">
        <v>3028.0</v>
      </c>
      <c r="I96" s="6">
        <f>54.975*66823653.37</f>
        <v>3673630344</v>
      </c>
      <c r="J96" s="6">
        <f>54.975*70216706.82</f>
        <v>3860163457</v>
      </c>
      <c r="K96" s="4">
        <f>I96-J96</f>
        <v>-186533113.4</v>
      </c>
      <c r="L96" s="4">
        <f>I96+May!L96</f>
        <v>17475861781</v>
      </c>
      <c r="M96" s="4">
        <f>J96+May!M96</f>
        <v>14168645065</v>
      </c>
      <c r="N96" s="4">
        <f>L96-M96</f>
        <v>3307216716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2" t="s">
        <v>88</v>
      </c>
      <c r="B97" s="2"/>
      <c r="C97" s="3"/>
      <c r="D97" s="24">
        <f t="shared" ref="D97:N97" si="39">SUM(D96)</f>
        <v>13873471693</v>
      </c>
      <c r="E97" s="24">
        <f t="shared" si="39"/>
        <v>125104907.1</v>
      </c>
      <c r="F97" s="24">
        <f t="shared" si="39"/>
        <v>13748366786</v>
      </c>
      <c r="G97" s="24">
        <f t="shared" si="39"/>
        <v>0</v>
      </c>
      <c r="H97" s="25">
        <f t="shared" si="39"/>
        <v>3028</v>
      </c>
      <c r="I97" s="24">
        <f t="shared" si="39"/>
        <v>3673630344</v>
      </c>
      <c r="J97" s="24">
        <f t="shared" si="39"/>
        <v>3860163457</v>
      </c>
      <c r="K97" s="24">
        <f t="shared" si="39"/>
        <v>-186533113.4</v>
      </c>
      <c r="L97" s="24">
        <f t="shared" si="39"/>
        <v>17475861781</v>
      </c>
      <c r="M97" s="24">
        <f t="shared" si="39"/>
        <v>14168645065</v>
      </c>
      <c r="N97" s="24">
        <f t="shared" si="39"/>
        <v>3307216716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 t="s">
        <v>97</v>
      </c>
      <c r="B98" s="2"/>
      <c r="C98" s="3"/>
      <c r="D98" s="24">
        <f t="shared" ref="D98:N98" si="40">D94+D97</f>
        <v>205908772579</v>
      </c>
      <c r="E98" s="24">
        <f t="shared" si="40"/>
        <v>643753853.5</v>
      </c>
      <c r="F98" s="24">
        <f t="shared" si="40"/>
        <v>205265018726</v>
      </c>
      <c r="G98" s="24">
        <f t="shared" si="40"/>
        <v>0</v>
      </c>
      <c r="H98" s="25">
        <f t="shared" si="40"/>
        <v>97985</v>
      </c>
      <c r="I98" s="24">
        <f t="shared" si="40"/>
        <v>25303763789</v>
      </c>
      <c r="J98" s="24">
        <f t="shared" si="40"/>
        <v>26768000977</v>
      </c>
      <c r="K98" s="24">
        <f t="shared" si="40"/>
        <v>-1464237188</v>
      </c>
      <c r="L98" s="24">
        <f t="shared" si="40"/>
        <v>144161714944</v>
      </c>
      <c r="M98" s="24">
        <f t="shared" si="40"/>
        <v>139512742334</v>
      </c>
      <c r="N98" s="24">
        <f t="shared" si="40"/>
        <v>4648972610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 t="s">
        <v>98</v>
      </c>
      <c r="B99" s="2"/>
      <c r="C99" s="3"/>
      <c r="D99" s="6"/>
      <c r="E99" s="6"/>
      <c r="F99" s="6"/>
      <c r="G99" s="6"/>
      <c r="H99" s="5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8" t="s">
        <v>99</v>
      </c>
      <c r="B100" s="2"/>
      <c r="C100" s="3"/>
      <c r="D100" s="6"/>
      <c r="E100" s="6"/>
      <c r="F100" s="6"/>
      <c r="G100" s="6"/>
      <c r="H100" s="5"/>
      <c r="I100" s="6"/>
      <c r="J100" s="6"/>
      <c r="K100" s="4"/>
      <c r="L100" s="4"/>
      <c r="M100" s="4"/>
      <c r="N100" s="4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8"/>
      <c r="B101" s="2">
        <v>65.0</v>
      </c>
      <c r="C101" s="3" t="s">
        <v>100</v>
      </c>
      <c r="D101" s="6">
        <v>8.85319437562E9</v>
      </c>
      <c r="E101" s="6">
        <v>1.158485577E7</v>
      </c>
      <c r="F101" s="6">
        <f t="shared" ref="F101:F102" si="41">D101-E101</f>
        <v>8841609520</v>
      </c>
      <c r="G101" s="6">
        <v>0.0</v>
      </c>
      <c r="H101" s="5">
        <v>3671.0</v>
      </c>
      <c r="I101" s="6">
        <v>1.689333464E8</v>
      </c>
      <c r="J101" s="6">
        <v>1.2346046292E8</v>
      </c>
      <c r="K101" s="4">
        <f t="shared" ref="K101:K102" si="42">I101-J101</f>
        <v>45472883.48</v>
      </c>
      <c r="L101" s="4">
        <f>I101+May!L101</f>
        <v>2593400314</v>
      </c>
      <c r="M101" s="4">
        <f>J101+May!M101</f>
        <v>394871942.9</v>
      </c>
      <c r="N101" s="4">
        <f t="shared" ref="N101:N102" si="43">L101-M101</f>
        <v>2198528371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/>
      <c r="B102" s="2">
        <v>66.0</v>
      </c>
      <c r="C102" s="3" t="s">
        <v>101</v>
      </c>
      <c r="D102" s="6">
        <v>3.32006030194E9</v>
      </c>
      <c r="E102" s="6">
        <v>1.166595001E7</v>
      </c>
      <c r="F102" s="6">
        <f t="shared" si="41"/>
        <v>3308394352</v>
      </c>
      <c r="G102" s="6">
        <v>0.0</v>
      </c>
      <c r="H102" s="5">
        <v>5488.0</v>
      </c>
      <c r="I102" s="6">
        <v>8.633066928E7</v>
      </c>
      <c r="J102" s="6">
        <v>1.794899484E8</v>
      </c>
      <c r="K102" s="4">
        <f t="shared" si="42"/>
        <v>-93159279.12</v>
      </c>
      <c r="L102" s="4">
        <f>I102+May!L102</f>
        <v>913735491.9</v>
      </c>
      <c r="M102" s="4">
        <f>J102+May!M102</f>
        <v>904507403.2</v>
      </c>
      <c r="N102" s="4">
        <f t="shared" si="43"/>
        <v>9228088.67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22" t="s">
        <v>44</v>
      </c>
      <c r="B103" s="2"/>
      <c r="C103" s="3"/>
      <c r="D103" s="24">
        <f t="shared" ref="D103:N103" si="44">D101+D102</f>
        <v>12173254678</v>
      </c>
      <c r="E103" s="24">
        <f t="shared" si="44"/>
        <v>23250805.78</v>
      </c>
      <c r="F103" s="24">
        <f t="shared" si="44"/>
        <v>12150003872</v>
      </c>
      <c r="G103" s="24">
        <f t="shared" si="44"/>
        <v>0</v>
      </c>
      <c r="H103" s="25">
        <f t="shared" si="44"/>
        <v>9159</v>
      </c>
      <c r="I103" s="24">
        <f t="shared" si="44"/>
        <v>255264015.7</v>
      </c>
      <c r="J103" s="24">
        <f t="shared" si="44"/>
        <v>302950411.3</v>
      </c>
      <c r="K103" s="24">
        <f t="shared" si="44"/>
        <v>-47686395.64</v>
      </c>
      <c r="L103" s="24">
        <f t="shared" si="44"/>
        <v>3507135806</v>
      </c>
      <c r="M103" s="24">
        <f t="shared" si="44"/>
        <v>1299379346</v>
      </c>
      <c r="N103" s="24">
        <f t="shared" si="44"/>
        <v>2207756460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 t="s">
        <v>102</v>
      </c>
      <c r="B104" s="2"/>
      <c r="C104" s="3"/>
      <c r="D104" s="6"/>
      <c r="E104" s="6"/>
      <c r="F104" s="6"/>
      <c r="G104" s="6"/>
      <c r="H104" s="5"/>
      <c r="I104" s="6"/>
      <c r="J104" s="6"/>
      <c r="K104" s="4"/>
      <c r="L104" s="4"/>
      <c r="M104" s="4"/>
      <c r="N104" s="4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67.0</v>
      </c>
      <c r="C105" s="3" t="s">
        <v>103</v>
      </c>
      <c r="D105" s="6">
        <f>54.975*182718975.16</f>
        <v>10044975659</v>
      </c>
      <c r="E105" s="6">
        <f>54.975*798142.19</f>
        <v>43877866.9</v>
      </c>
      <c r="F105" s="6">
        <f>D105-E105</f>
        <v>10001097793</v>
      </c>
      <c r="G105" s="6">
        <v>0.0</v>
      </c>
      <c r="H105" s="5">
        <v>8406.0</v>
      </c>
      <c r="I105" s="6">
        <f>54.975*3039067.7</f>
        <v>167072746.8</v>
      </c>
      <c r="J105" s="6">
        <f>54.975*2912898.94</f>
        <v>160136619.2</v>
      </c>
      <c r="K105" s="4">
        <f>I105-J105</f>
        <v>6936127.581</v>
      </c>
      <c r="L105" s="4">
        <f>I105+May!L105</f>
        <v>1295872655</v>
      </c>
      <c r="M105" s="4">
        <f>J105+May!M105</f>
        <v>657950267.1</v>
      </c>
      <c r="N105" s="4">
        <f>L105-M105</f>
        <v>637922388.1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2" t="s">
        <v>88</v>
      </c>
      <c r="B106" s="23"/>
      <c r="C106" s="1"/>
      <c r="D106" s="24">
        <f t="shared" ref="D106:N106" si="45">SUM(D105)</f>
        <v>10044975659</v>
      </c>
      <c r="E106" s="24">
        <f t="shared" si="45"/>
        <v>43877866.9</v>
      </c>
      <c r="F106" s="24">
        <f t="shared" si="45"/>
        <v>10001097793</v>
      </c>
      <c r="G106" s="24">
        <f t="shared" si="45"/>
        <v>0</v>
      </c>
      <c r="H106" s="25">
        <f t="shared" si="45"/>
        <v>8406</v>
      </c>
      <c r="I106" s="24">
        <f t="shared" si="45"/>
        <v>167072746.8</v>
      </c>
      <c r="J106" s="24">
        <f t="shared" si="45"/>
        <v>160136619.2</v>
      </c>
      <c r="K106" s="24">
        <f t="shared" si="45"/>
        <v>6936127.581</v>
      </c>
      <c r="L106" s="24">
        <f t="shared" si="45"/>
        <v>1295872655</v>
      </c>
      <c r="M106" s="24">
        <f t="shared" si="45"/>
        <v>657950267.1</v>
      </c>
      <c r="N106" s="24">
        <f t="shared" si="45"/>
        <v>637922388.1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" t="s">
        <v>104</v>
      </c>
      <c r="B107" s="31"/>
      <c r="C107" s="29"/>
      <c r="D107" s="24">
        <f t="shared" ref="D107:F107" si="46">SUM(D103+D106)</f>
        <v>22218230337</v>
      </c>
      <c r="E107" s="24">
        <f t="shared" si="46"/>
        <v>67128672.68</v>
      </c>
      <c r="F107" s="24">
        <f t="shared" si="46"/>
        <v>22151101664</v>
      </c>
      <c r="G107" s="24">
        <f>SUM(G106)</f>
        <v>0</v>
      </c>
      <c r="H107" s="25">
        <f t="shared" ref="H107:N107" si="47">SUM(H103+H106)</f>
        <v>17565</v>
      </c>
      <c r="I107" s="24">
        <f t="shared" si="47"/>
        <v>422336762.5</v>
      </c>
      <c r="J107" s="24">
        <f t="shared" si="47"/>
        <v>463087030.5</v>
      </c>
      <c r="K107" s="24">
        <f t="shared" si="47"/>
        <v>-40750268.06</v>
      </c>
      <c r="L107" s="24">
        <f t="shared" si="47"/>
        <v>4803008461</v>
      </c>
      <c r="M107" s="24">
        <f t="shared" si="47"/>
        <v>1957329613</v>
      </c>
      <c r="N107" s="24">
        <f t="shared" si="47"/>
        <v>2845678848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32" t="s">
        <v>105</v>
      </c>
      <c r="B108" s="33"/>
      <c r="C108" s="34"/>
      <c r="D108" s="35">
        <f t="shared" ref="D108:N108" si="48">D38+D62+D88+D98+D107</f>
        <v>438153996066</v>
      </c>
      <c r="E108" s="35">
        <f t="shared" si="48"/>
        <v>2320051299</v>
      </c>
      <c r="F108" s="35">
        <f t="shared" si="48"/>
        <v>435833944767</v>
      </c>
      <c r="G108" s="35">
        <f t="shared" si="48"/>
        <v>109409934569</v>
      </c>
      <c r="H108" s="35">
        <f t="shared" si="48"/>
        <v>860079</v>
      </c>
      <c r="I108" s="35">
        <f t="shared" si="48"/>
        <v>27148545758</v>
      </c>
      <c r="J108" s="35">
        <f t="shared" si="48"/>
        <v>29182526658</v>
      </c>
      <c r="K108" s="35">
        <f t="shared" si="48"/>
        <v>-2033980900</v>
      </c>
      <c r="L108" s="35">
        <f t="shared" si="48"/>
        <v>160085711271</v>
      </c>
      <c r="M108" s="35">
        <f t="shared" si="48"/>
        <v>157565504676</v>
      </c>
      <c r="N108" s="35">
        <f t="shared" si="48"/>
        <v>2520206595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2.0" customHeight="1">
      <c r="A109" s="3"/>
      <c r="B109" s="2"/>
      <c r="C109" s="36"/>
      <c r="D109" s="4"/>
      <c r="E109" s="4"/>
      <c r="F109" s="4"/>
      <c r="G109" s="4"/>
      <c r="H109" s="5"/>
      <c r="I109" s="6"/>
      <c r="J109" s="4"/>
      <c r="K109" s="4"/>
      <c r="L109" s="4"/>
      <c r="M109" s="4"/>
      <c r="N109" s="4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30"/>
      <c r="B110" s="36"/>
      <c r="C110" s="36"/>
      <c r="D110" s="4"/>
      <c r="E110" s="4"/>
      <c r="F110" s="4"/>
      <c r="G110" s="4"/>
      <c r="H110" s="5"/>
      <c r="I110" s="4"/>
      <c r="J110" s="4"/>
      <c r="K110" s="4"/>
      <c r="L110" s="4"/>
      <c r="M110" s="4"/>
      <c r="N110" s="4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6"/>
      <c r="B111" s="36"/>
      <c r="C111" s="36"/>
      <c r="D111" s="4"/>
      <c r="E111" s="4"/>
      <c r="F111" s="4"/>
      <c r="G111" s="4"/>
      <c r="H111" s="5"/>
      <c r="I111" s="6"/>
      <c r="J111" s="4"/>
      <c r="K111" s="4"/>
      <c r="L111" s="4"/>
      <c r="M111" s="4"/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36"/>
      <c r="B112" s="36"/>
      <c r="C112" s="36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6"/>
      <c r="B113" s="36"/>
      <c r="C113" s="36"/>
      <c r="D113" s="4"/>
      <c r="E113" s="4"/>
      <c r="F113" s="4"/>
      <c r="G113" s="4"/>
      <c r="H113" s="5"/>
      <c r="I113" s="6"/>
      <c r="J113" s="4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6"/>
      <c r="B114" s="36"/>
      <c r="C114" s="36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6"/>
      <c r="B115" s="36"/>
      <c r="C115" s="36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6"/>
      <c r="B116" s="36"/>
      <c r="C116" s="36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6"/>
      <c r="B117" s="36"/>
      <c r="C117" s="36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6"/>
      <c r="B118" s="36"/>
      <c r="C118" s="36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6"/>
      <c r="B119" s="36"/>
      <c r="C119" s="36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5.75"/>
    <col customWidth="1" min="5" max="5" width="14.5"/>
    <col customWidth="1" min="6" max="6" width="16.88"/>
    <col customWidth="1" min="7" max="7" width="17.13"/>
    <col customWidth="1" min="8" max="8" width="16.75"/>
    <col customWidth="1" min="9" max="9" width="19.25"/>
    <col customWidth="1" min="10" max="27" width="9.13"/>
  </cols>
  <sheetData>
    <row r="1" ht="12.0" customHeight="1">
      <c r="A1" s="1" t="s">
        <v>0</v>
      </c>
      <c r="B1" s="2"/>
      <c r="C1" s="3"/>
      <c r="D1" s="37"/>
      <c r="E1" s="38"/>
      <c r="F1" s="37"/>
      <c r="G1" s="39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0" customHeight="1">
      <c r="A2" s="1" t="s">
        <v>1</v>
      </c>
      <c r="B2" s="2"/>
      <c r="C2" s="3"/>
      <c r="D2" s="37"/>
      <c r="E2" s="38"/>
      <c r="F2" s="40"/>
      <c r="G2" s="4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0" customHeight="1">
      <c r="A3" s="1" t="s">
        <v>166</v>
      </c>
      <c r="B3" s="2"/>
      <c r="C3" s="1"/>
      <c r="D3" s="42"/>
      <c r="E3" s="43"/>
      <c r="F3" s="44"/>
      <c r="G3" s="3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0" customHeight="1">
      <c r="A4" s="1" t="s">
        <v>3</v>
      </c>
      <c r="B4" s="2"/>
      <c r="C4" s="1"/>
      <c r="D4" s="42"/>
      <c r="E4" s="43"/>
      <c r="F4" s="44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0" customHeight="1">
      <c r="A5" s="1"/>
      <c r="B5" s="2"/>
      <c r="C5" s="3"/>
      <c r="D5" s="37"/>
      <c r="E5" s="4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0" customHeight="1">
      <c r="A6" s="45" t="s">
        <v>6</v>
      </c>
      <c r="B6" s="46"/>
      <c r="C6" s="47" t="s">
        <v>7</v>
      </c>
      <c r="D6" s="48" t="s">
        <v>10</v>
      </c>
      <c r="E6" s="48" t="s">
        <v>16</v>
      </c>
      <c r="F6" s="48" t="s">
        <v>17</v>
      </c>
      <c r="G6" s="49" t="s">
        <v>15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0" customHeight="1">
      <c r="A9" s="18"/>
      <c r="B9" s="2">
        <v>1.0</v>
      </c>
      <c r="C9" s="3" t="s">
        <v>21</v>
      </c>
      <c r="D9" s="6">
        <f>June!F9</f>
        <v>4556571107</v>
      </c>
      <c r="E9" s="4">
        <f>Apr!I9+May!I9+June!I9</f>
        <v>48758619.21</v>
      </c>
      <c r="F9" s="4">
        <f>Apr!J9+May!J9+June!J9</f>
        <v>107778785.7</v>
      </c>
      <c r="G9" s="4">
        <f t="shared" ref="G9:G27" si="1">E9-F9</f>
        <v>-59020166.45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0" customHeight="1">
      <c r="A10" s="18"/>
      <c r="B10" s="2">
        <v>2.0</v>
      </c>
      <c r="C10" s="3" t="s">
        <v>167</v>
      </c>
      <c r="D10" s="6">
        <f>June!F10</f>
        <v>707010446.5</v>
      </c>
      <c r="E10" s="4">
        <f>Apr!I10+May!I10+June!I10</f>
        <v>35525668.97</v>
      </c>
      <c r="F10" s="4">
        <f>Apr!J10+May!J10+June!J10</f>
        <v>49703773.43</v>
      </c>
      <c r="G10" s="4">
        <f t="shared" si="1"/>
        <v>-14178104.46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0" customHeight="1">
      <c r="A11" s="18"/>
      <c r="B11" s="2">
        <v>3.0</v>
      </c>
      <c r="C11" s="3" t="s">
        <v>168</v>
      </c>
      <c r="D11" s="6">
        <f>June!F11</f>
        <v>949583056.1</v>
      </c>
      <c r="E11" s="4">
        <f>Apr!I11+May!I11+June!I11</f>
        <v>27757504.49</v>
      </c>
      <c r="F11" s="4">
        <f>Apr!J11+May!J11+June!J11</f>
        <v>81241593.94</v>
      </c>
      <c r="G11" s="4">
        <f t="shared" si="1"/>
        <v>-53484089.45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0" customHeight="1">
      <c r="A12" s="18"/>
      <c r="B12" s="2">
        <v>4.0</v>
      </c>
      <c r="C12" s="3" t="s">
        <v>24</v>
      </c>
      <c r="D12" s="6">
        <f>June!F12</f>
        <v>333195068.5</v>
      </c>
      <c r="E12" s="4">
        <f>Apr!I12+May!I12+June!I12</f>
        <v>15384216.95</v>
      </c>
      <c r="F12" s="4">
        <f>Apr!J12+May!J12+June!J12</f>
        <v>3824663.4</v>
      </c>
      <c r="G12" s="4">
        <f t="shared" si="1"/>
        <v>11559553.55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18"/>
      <c r="B13" s="2">
        <v>5.0</v>
      </c>
      <c r="C13" s="3" t="s">
        <v>25</v>
      </c>
      <c r="D13" s="6">
        <f>June!F13</f>
        <v>502257087.8</v>
      </c>
      <c r="E13" s="4">
        <f>Apr!I13+May!I13+June!I13</f>
        <v>4279044.19</v>
      </c>
      <c r="F13" s="4">
        <f>Apr!J13+May!J13+June!J13</f>
        <v>3914004.07</v>
      </c>
      <c r="G13" s="4">
        <f t="shared" si="1"/>
        <v>365040.12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3"/>
      <c r="B14" s="2">
        <v>6.0</v>
      </c>
      <c r="C14" s="3" t="s">
        <v>26</v>
      </c>
      <c r="D14" s="6">
        <f>June!F14</f>
        <v>4010131781</v>
      </c>
      <c r="E14" s="4">
        <f>Apr!I14+May!I14+June!I14</f>
        <v>254936265.4</v>
      </c>
      <c r="F14" s="4">
        <f>Apr!J14+May!J14+June!J14</f>
        <v>69565270.7</v>
      </c>
      <c r="G14" s="4">
        <f t="shared" si="1"/>
        <v>185370994.7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3"/>
      <c r="B15" s="2">
        <v>7.0</v>
      </c>
      <c r="C15" s="3" t="s">
        <v>169</v>
      </c>
      <c r="D15" s="6">
        <f>June!F15</f>
        <v>87203598.12</v>
      </c>
      <c r="E15" s="4">
        <f>Apr!I15+May!I15+June!I15</f>
        <v>8784298.316</v>
      </c>
      <c r="F15" s="4">
        <f>Apr!J15+May!J15+June!J15</f>
        <v>2291446.55</v>
      </c>
      <c r="G15" s="4">
        <f t="shared" si="1"/>
        <v>6492851.766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3"/>
      <c r="B16" s="2">
        <v>8.0</v>
      </c>
      <c r="C16" s="3" t="s">
        <v>28</v>
      </c>
      <c r="D16" s="6">
        <f>June!F16</f>
        <v>118573771.4</v>
      </c>
      <c r="E16" s="4">
        <f>Apr!I16+May!I16+June!I16</f>
        <v>0</v>
      </c>
      <c r="F16" s="4">
        <f>Apr!J16+May!J16+June!J16</f>
        <v>6470778.83</v>
      </c>
      <c r="G16" s="4">
        <f t="shared" si="1"/>
        <v>-6470778.83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3"/>
      <c r="B17" s="2">
        <v>9.0</v>
      </c>
      <c r="C17" s="3" t="s">
        <v>29</v>
      </c>
      <c r="D17" s="6">
        <f>June!F17</f>
        <v>15565823898</v>
      </c>
      <c r="E17" s="4">
        <f>Apr!I17+May!I17+June!I17</f>
        <v>541353799.1</v>
      </c>
      <c r="F17" s="4">
        <f>Apr!J17+May!J17+June!J17</f>
        <v>30155261.16</v>
      </c>
      <c r="G17" s="4">
        <f t="shared" si="1"/>
        <v>511198537.9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2">
        <v>10.0</v>
      </c>
      <c r="C18" s="3" t="s">
        <v>30</v>
      </c>
      <c r="D18" s="6">
        <f>June!F18</f>
        <v>30765913816</v>
      </c>
      <c r="E18" s="4">
        <f>Apr!I18+May!I18+June!I18</f>
        <v>295341463.6</v>
      </c>
      <c r="F18" s="4">
        <f>Apr!J18+May!J18+June!J18</f>
        <v>121762056.8</v>
      </c>
      <c r="G18" s="4">
        <f t="shared" si="1"/>
        <v>173579406.8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3"/>
      <c r="B19" s="2">
        <v>11.0</v>
      </c>
      <c r="C19" s="3" t="s">
        <v>31</v>
      </c>
      <c r="D19" s="6">
        <f>June!F19</f>
        <v>2104516217</v>
      </c>
      <c r="E19" s="4">
        <f>Apr!I19+May!I19+June!I19</f>
        <v>33066302.07</v>
      </c>
      <c r="F19" s="4">
        <f>Apr!J19+May!J19+June!J19</f>
        <v>58621735.34</v>
      </c>
      <c r="G19" s="4">
        <f t="shared" si="1"/>
        <v>-25555433.27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2">
        <v>12.0</v>
      </c>
      <c r="C20" s="3" t="s">
        <v>32</v>
      </c>
      <c r="D20" s="6">
        <f>June!F20</f>
        <v>9235252023</v>
      </c>
      <c r="E20" s="4">
        <f>Apr!I20+May!I20+June!I20</f>
        <v>85661986.77</v>
      </c>
      <c r="F20" s="4">
        <f>Apr!J20+May!J20+June!J20</f>
        <v>142607672.8</v>
      </c>
      <c r="G20" s="4">
        <f t="shared" si="1"/>
        <v>-56945686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2">
        <v>13.0</v>
      </c>
      <c r="C21" s="3" t="s">
        <v>33</v>
      </c>
      <c r="D21" s="6">
        <f>June!F21</f>
        <v>299524267.8</v>
      </c>
      <c r="E21" s="4">
        <f>Apr!I21+May!I21+June!I21</f>
        <v>1607035.05</v>
      </c>
      <c r="F21" s="4">
        <f>Apr!J21+May!J21+June!J21</f>
        <v>2039720.76</v>
      </c>
      <c r="G21" s="4">
        <f t="shared" si="1"/>
        <v>-432685.71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1"/>
      <c r="B22" s="2">
        <v>14.0</v>
      </c>
      <c r="C22" s="3" t="s">
        <v>34</v>
      </c>
      <c r="D22" s="6">
        <f>June!F22</f>
        <v>3525517091</v>
      </c>
      <c r="E22" s="4">
        <f>Apr!I22+May!I22+June!I22</f>
        <v>206127173.2</v>
      </c>
      <c r="F22" s="4">
        <f>Apr!J22+May!J22+June!J22</f>
        <v>89034306.89</v>
      </c>
      <c r="G22" s="4">
        <f t="shared" si="1"/>
        <v>117092866.3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2">
        <v>15.0</v>
      </c>
      <c r="C23" s="3" t="s">
        <v>35</v>
      </c>
      <c r="D23" s="6">
        <f>June!F23</f>
        <v>8856809081</v>
      </c>
      <c r="E23" s="4">
        <f>Apr!I23+May!I23+June!I23</f>
        <v>18834432.8</v>
      </c>
      <c r="F23" s="4">
        <f>Apr!J23+May!J23+June!J23</f>
        <v>399462419.2</v>
      </c>
      <c r="G23" s="4">
        <f t="shared" si="1"/>
        <v>-380627986.4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2">
        <v>16.0</v>
      </c>
      <c r="C24" s="19" t="s">
        <v>36</v>
      </c>
      <c r="D24" s="6">
        <f>June!F24</f>
        <v>2451379073</v>
      </c>
      <c r="E24" s="4">
        <f>Apr!I24+May!I24+June!I24</f>
        <v>275057262.5</v>
      </c>
      <c r="F24" s="4">
        <f>Apr!J24+May!J24+June!J24</f>
        <v>5360173.51</v>
      </c>
      <c r="G24" s="4">
        <f t="shared" si="1"/>
        <v>269697089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20"/>
      <c r="B25" s="2">
        <v>17.0</v>
      </c>
      <c r="C25" s="21" t="s">
        <v>37</v>
      </c>
      <c r="D25" s="6">
        <f>June!F25</f>
        <v>6930806808</v>
      </c>
      <c r="E25" s="4">
        <f>Apr!I25+May!I25+June!I25</f>
        <v>453263387.3</v>
      </c>
      <c r="F25" s="4">
        <f>Apr!J25+May!J25+June!J25</f>
        <v>132257320.3</v>
      </c>
      <c r="G25" s="4">
        <f t="shared" si="1"/>
        <v>321006067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20"/>
      <c r="B26" s="2">
        <v>18.0</v>
      </c>
      <c r="C26" s="21" t="s">
        <v>38</v>
      </c>
      <c r="D26" s="6">
        <f>June!F26</f>
        <v>10674920384</v>
      </c>
      <c r="E26" s="4">
        <f>Apr!I26+May!I26+June!I26</f>
        <v>781218917.7</v>
      </c>
      <c r="F26" s="4">
        <f>Apr!J26+May!J26+June!J26</f>
        <v>436734905.2</v>
      </c>
      <c r="G26" s="4">
        <f t="shared" si="1"/>
        <v>344484012.6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2">
        <v>19.0</v>
      </c>
      <c r="C27" s="3" t="s">
        <v>39</v>
      </c>
      <c r="D27" s="6">
        <f>June!F27</f>
        <v>565845578.5</v>
      </c>
      <c r="E27" s="4">
        <f>Apr!I27+May!I27+June!I27</f>
        <v>3029052.72</v>
      </c>
      <c r="F27" s="4">
        <f>Apr!J27+May!J27+June!J27</f>
        <v>3776537.81</v>
      </c>
      <c r="G27" s="4">
        <f t="shared" si="1"/>
        <v>-747485.09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18" t="s">
        <v>40</v>
      </c>
      <c r="B28" s="2"/>
      <c r="C28" s="3"/>
      <c r="D28" s="6"/>
      <c r="E28" s="4"/>
      <c r="F28" s="4">
        <f>Apr!J28+May!J28+June!J28</f>
        <v>0</v>
      </c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3"/>
      <c r="B29" s="2">
        <v>20.0</v>
      </c>
      <c r="C29" s="3" t="s">
        <v>41</v>
      </c>
      <c r="D29" s="6">
        <f>June!F29</f>
        <v>327284436.1</v>
      </c>
      <c r="E29" s="4">
        <f>Apr!I29+May!I29+June!I29</f>
        <v>23047696.81</v>
      </c>
      <c r="F29" s="4">
        <f>Apr!J29+May!J29+June!J29</f>
        <v>16530212.6</v>
      </c>
      <c r="G29" s="4">
        <f t="shared" ref="G29:G30" si="2">E29-F29</f>
        <v>6517484.21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3"/>
      <c r="B30" s="2">
        <v>21.0</v>
      </c>
      <c r="C30" s="3" t="s">
        <v>35</v>
      </c>
      <c r="D30" s="6">
        <f>June!F30</f>
        <v>344422203.3</v>
      </c>
      <c r="E30" s="4">
        <f>Apr!I30+May!I30+June!I30</f>
        <v>181395913.9</v>
      </c>
      <c r="F30" s="4">
        <f>Apr!J30+May!J30+June!J30</f>
        <v>49531046.05</v>
      </c>
      <c r="G30" s="4">
        <f t="shared" si="2"/>
        <v>131864867.9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18" t="s">
        <v>42</v>
      </c>
      <c r="B31" s="2"/>
      <c r="C31" s="3"/>
      <c r="D31" s="6"/>
      <c r="E31" s="4"/>
      <c r="F31" s="4">
        <f>Apr!J31+May!J31+June!J31</f>
        <v>0</v>
      </c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1.25" customHeight="1">
      <c r="A32" s="3"/>
      <c r="B32" s="2">
        <v>22.0</v>
      </c>
      <c r="C32" s="3" t="s">
        <v>43</v>
      </c>
      <c r="D32" s="6">
        <f>June!F32</f>
        <v>1995137252</v>
      </c>
      <c r="E32" s="4">
        <f>Apr!I32+May!I32+June!I32</f>
        <v>69792179</v>
      </c>
      <c r="F32" s="4">
        <f>Apr!J32+May!J32+June!J32</f>
        <v>9240460</v>
      </c>
      <c r="G32" s="4">
        <f>E32-F32</f>
        <v>60551719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1.25" customHeight="1">
      <c r="A33" s="22" t="s">
        <v>44</v>
      </c>
      <c r="B33" s="23"/>
      <c r="C33" s="1"/>
      <c r="D33" s="24">
        <f t="shared" ref="D33:G33" si="3">SUM(D9:D32)</f>
        <v>104907678044</v>
      </c>
      <c r="E33" s="24">
        <f t="shared" si="3"/>
        <v>3364222220</v>
      </c>
      <c r="F33" s="24">
        <f t="shared" si="3"/>
        <v>1821904145</v>
      </c>
      <c r="G33" s="24">
        <f t="shared" si="3"/>
        <v>1542318075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2.0" customHeight="1">
      <c r="A34" s="18" t="s">
        <v>45</v>
      </c>
      <c r="B34" s="2"/>
      <c r="C34" s="3"/>
      <c r="D34" s="6"/>
      <c r="E34" s="4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2.0" customHeight="1">
      <c r="A35" s="3"/>
      <c r="B35" s="2">
        <v>23.0</v>
      </c>
      <c r="C35" s="3" t="s">
        <v>170</v>
      </c>
      <c r="D35" s="6">
        <f>June!F35</f>
        <v>40237186.55</v>
      </c>
      <c r="E35" s="4">
        <f>Apr!I35+May!I35+June!I35</f>
        <v>596148.42</v>
      </c>
      <c r="F35" s="4">
        <f>Apr!J35+May!J35+June!J35</f>
        <v>11971.03</v>
      </c>
      <c r="G35" s="4">
        <f t="shared" ref="G35:G36" si="4">E35-F35</f>
        <v>584177.39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0" customHeight="1">
      <c r="A36" s="3"/>
      <c r="B36" s="2">
        <v>24.0</v>
      </c>
      <c r="C36" s="3" t="s">
        <v>47</v>
      </c>
      <c r="D36" s="6">
        <f>June!F36</f>
        <v>1889369948</v>
      </c>
      <c r="E36" s="4">
        <f>Apr!I36+May!I36+June!I36</f>
        <v>35921980.91</v>
      </c>
      <c r="F36" s="4">
        <f>Apr!J36+May!J36+June!J36</f>
        <v>48146528.65</v>
      </c>
      <c r="G36" s="4">
        <f t="shared" si="4"/>
        <v>-12224547.74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22" t="s">
        <v>48</v>
      </c>
      <c r="B37" s="23"/>
      <c r="C37" s="1"/>
      <c r="D37" s="24">
        <f t="shared" ref="D37:G37" si="5">SUM(D35:D36)</f>
        <v>1929607134</v>
      </c>
      <c r="E37" s="24">
        <f t="shared" si="5"/>
        <v>36518129.33</v>
      </c>
      <c r="F37" s="24">
        <f t="shared" si="5"/>
        <v>48158499.68</v>
      </c>
      <c r="G37" s="24">
        <f t="shared" si="5"/>
        <v>-11640370.35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2.0" customHeight="1">
      <c r="A38" s="1" t="s">
        <v>49</v>
      </c>
      <c r="B38" s="23"/>
      <c r="C38" s="1"/>
      <c r="D38" s="24">
        <f t="shared" ref="D38:G38" si="6">D33+D37</f>
        <v>106837285179</v>
      </c>
      <c r="E38" s="24">
        <f t="shared" si="6"/>
        <v>3400740349</v>
      </c>
      <c r="F38" s="24">
        <f t="shared" si="6"/>
        <v>1870062645</v>
      </c>
      <c r="G38" s="24">
        <f t="shared" si="6"/>
        <v>1530677705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0" customHeight="1">
      <c r="A39" s="1" t="s">
        <v>50</v>
      </c>
      <c r="B39" s="2"/>
      <c r="C39" s="3"/>
      <c r="D39" s="6"/>
      <c r="E39" s="4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2.0" customHeight="1">
      <c r="A40" s="18" t="s">
        <v>20</v>
      </c>
      <c r="B40" s="2"/>
      <c r="C40" s="3"/>
      <c r="D40" s="6"/>
      <c r="E40" s="4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0" customHeight="1">
      <c r="A41" s="18"/>
      <c r="B41" s="2">
        <v>25.0</v>
      </c>
      <c r="C41" s="3" t="s">
        <v>171</v>
      </c>
      <c r="D41" s="6">
        <f>June!F41</f>
        <v>119229336.3</v>
      </c>
      <c r="E41" s="4">
        <f>Apr!I41+May!I41+June!I41</f>
        <v>3493883.83</v>
      </c>
      <c r="F41" s="4">
        <f>Apr!J41+May!J41+June!J41</f>
        <v>1122960.36</v>
      </c>
      <c r="G41" s="4">
        <f t="shared" ref="G41:G50" si="7">E41-F41</f>
        <v>2370923.47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3"/>
      <c r="B42" s="2">
        <v>26.0</v>
      </c>
      <c r="C42" s="3" t="s">
        <v>172</v>
      </c>
      <c r="D42" s="6">
        <f>June!F42</f>
        <v>608666342.4</v>
      </c>
      <c r="E42" s="4">
        <f>Apr!I42+May!I42+June!I42</f>
        <v>4767797.39</v>
      </c>
      <c r="F42" s="4">
        <f>Apr!J42+May!J42+June!J42</f>
        <v>10168223.61</v>
      </c>
      <c r="G42" s="4">
        <f t="shared" si="7"/>
        <v>-5400426.22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/>
      <c r="B43" s="2">
        <v>27.0</v>
      </c>
      <c r="C43" s="3" t="s">
        <v>53</v>
      </c>
      <c r="D43" s="6">
        <f>June!F43</f>
        <v>1065042000</v>
      </c>
      <c r="E43" s="4">
        <f>Apr!I43+May!I43+June!I43</f>
        <v>7175451.142</v>
      </c>
      <c r="F43" s="4">
        <f>Apr!J43+May!J43+June!J43</f>
        <v>41220901.54</v>
      </c>
      <c r="G43" s="4">
        <f t="shared" si="7"/>
        <v>-34045450.4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2">
        <v>28.0</v>
      </c>
      <c r="C44" s="3" t="s">
        <v>54</v>
      </c>
      <c r="D44" s="6">
        <f>June!F44</f>
        <v>284149031.7</v>
      </c>
      <c r="E44" s="4">
        <f>Apr!I44+May!I44+June!I44</f>
        <v>67000414.7</v>
      </c>
      <c r="F44" s="4">
        <f>Apr!J44+May!J44+June!J44</f>
        <v>2655866.01</v>
      </c>
      <c r="G44" s="4">
        <f t="shared" si="7"/>
        <v>64344548.69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2">
        <v>29.0</v>
      </c>
      <c r="C45" s="3" t="s">
        <v>55</v>
      </c>
      <c r="D45" s="6">
        <f>June!F45</f>
        <v>328002110.3</v>
      </c>
      <c r="E45" s="4">
        <f>Apr!I45+May!I45+June!I45</f>
        <v>0</v>
      </c>
      <c r="F45" s="4">
        <f>Apr!J45+May!J45+June!J45</f>
        <v>1772670.37</v>
      </c>
      <c r="G45" s="4">
        <f t="shared" si="7"/>
        <v>-1772670.37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2">
        <v>30.0</v>
      </c>
      <c r="C46" s="3" t="s">
        <v>56</v>
      </c>
      <c r="D46" s="6">
        <f>June!F46</f>
        <v>556055147.9</v>
      </c>
      <c r="E46" s="4">
        <f>Apr!I46+May!I46+June!I46</f>
        <v>2842117.84</v>
      </c>
      <c r="F46" s="4">
        <f>Apr!J46+May!J46+June!J46</f>
        <v>11083780.35</v>
      </c>
      <c r="G46" s="4">
        <f t="shared" si="7"/>
        <v>-8241662.51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2">
        <v>31.0</v>
      </c>
      <c r="C47" s="3" t="s">
        <v>57</v>
      </c>
      <c r="D47" s="6">
        <f>June!F47</f>
        <v>10177055214</v>
      </c>
      <c r="E47" s="4">
        <f>Apr!I47+May!I47+June!I47</f>
        <v>65733192.16</v>
      </c>
      <c r="F47" s="4">
        <f>Apr!J47+May!J47+June!J47</f>
        <v>59535775.7</v>
      </c>
      <c r="G47" s="4">
        <f t="shared" si="7"/>
        <v>6197416.46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1.25" customHeight="1">
      <c r="A48" s="18"/>
      <c r="B48" s="2">
        <v>32.0</v>
      </c>
      <c r="C48" s="3" t="s">
        <v>173</v>
      </c>
      <c r="D48" s="6">
        <f>June!F48</f>
        <v>133750155</v>
      </c>
      <c r="E48" s="4">
        <f>Apr!I48+May!I48+June!I48</f>
        <v>3062892.83</v>
      </c>
      <c r="F48" s="4">
        <f>Apr!J48+May!J48+June!J48</f>
        <v>3415300.22</v>
      </c>
      <c r="G48" s="4">
        <f t="shared" si="7"/>
        <v>-352407.39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0" customHeight="1">
      <c r="A49" s="3"/>
      <c r="B49" s="2">
        <v>33.0</v>
      </c>
      <c r="C49" s="3" t="s">
        <v>59</v>
      </c>
      <c r="D49" s="6">
        <f>June!F49</f>
        <v>7179999857</v>
      </c>
      <c r="E49" s="4">
        <f>Apr!I49+May!I49+June!I49</f>
        <v>46089650.02</v>
      </c>
      <c r="F49" s="4">
        <f>Apr!J49+May!J49+June!J49</f>
        <v>125795939.5</v>
      </c>
      <c r="G49" s="4">
        <f t="shared" si="7"/>
        <v>-79706289.48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0" customHeight="1">
      <c r="A50" s="3"/>
      <c r="B50" s="2">
        <v>34.0</v>
      </c>
      <c r="C50" s="3" t="s">
        <v>60</v>
      </c>
      <c r="D50" s="6">
        <f>June!F50</f>
        <v>1123169883</v>
      </c>
      <c r="E50" s="4">
        <f>Apr!I50+May!I50+June!I50</f>
        <v>0</v>
      </c>
      <c r="F50" s="4">
        <f>Apr!J50+May!J50+June!J50</f>
        <v>15113829.1</v>
      </c>
      <c r="G50" s="4">
        <f t="shared" si="7"/>
        <v>-15113829.1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18" t="s">
        <v>40</v>
      </c>
      <c r="B51" s="2"/>
      <c r="C51" s="3"/>
      <c r="D51" s="6"/>
      <c r="E51" s="4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3"/>
      <c r="B52" s="2">
        <v>35.0</v>
      </c>
      <c r="C52" s="3" t="s">
        <v>61</v>
      </c>
      <c r="D52" s="6">
        <f>June!F52</f>
        <v>68801811.82</v>
      </c>
      <c r="E52" s="4">
        <f>Apr!I52+May!I52+June!I52</f>
        <v>1554987.91</v>
      </c>
      <c r="F52" s="4">
        <f>Apr!J52+May!J52+June!J52</f>
        <v>599851.19</v>
      </c>
      <c r="G52" s="4">
        <f t="shared" ref="G52:G54" si="8">E52-F52</f>
        <v>955136.72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3"/>
      <c r="B53" s="2">
        <v>36.0</v>
      </c>
      <c r="C53" s="3" t="s">
        <v>62</v>
      </c>
      <c r="D53" s="6">
        <f>June!F53</f>
        <v>51524796.22</v>
      </c>
      <c r="E53" s="4">
        <f>Apr!I53+May!I53+June!I53</f>
        <v>1010697.42</v>
      </c>
      <c r="F53" s="4">
        <f>Apr!J53+May!J53+June!J53</f>
        <v>155767.88</v>
      </c>
      <c r="G53" s="4">
        <f t="shared" si="8"/>
        <v>854929.54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2">
        <v>37.0</v>
      </c>
      <c r="C54" s="3" t="s">
        <v>63</v>
      </c>
      <c r="D54" s="6">
        <f>June!F54</f>
        <v>43649845.51</v>
      </c>
      <c r="E54" s="4">
        <f>Apr!I54+May!I54+June!I54</f>
        <v>366081.3</v>
      </c>
      <c r="F54" s="4">
        <f>Apr!J54+May!J54+June!J54</f>
        <v>61571.83</v>
      </c>
      <c r="G54" s="4">
        <f t="shared" si="8"/>
        <v>304509.47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22" t="s">
        <v>44</v>
      </c>
      <c r="B55" s="22"/>
      <c r="C55" s="1"/>
      <c r="D55" s="24">
        <f t="shared" ref="D55:G55" si="9">SUM(D41:D54)</f>
        <v>21739095531</v>
      </c>
      <c r="E55" s="24">
        <f t="shared" si="9"/>
        <v>203097166.5</v>
      </c>
      <c r="F55" s="24">
        <f t="shared" si="9"/>
        <v>272702437.7</v>
      </c>
      <c r="G55" s="24">
        <f t="shared" si="9"/>
        <v>-69605271.12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0" customHeight="1">
      <c r="A56" s="18" t="s">
        <v>45</v>
      </c>
      <c r="B56" s="2"/>
      <c r="C56" s="3"/>
      <c r="D56" s="6"/>
      <c r="E56" s="4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0" customHeight="1">
      <c r="A57" s="18"/>
      <c r="B57" s="2">
        <v>38.0</v>
      </c>
      <c r="C57" s="3" t="s">
        <v>64</v>
      </c>
      <c r="D57" s="6">
        <f>June!F57</f>
        <v>71944678.05</v>
      </c>
      <c r="E57" s="4">
        <f>Apr!I57+May!I57+June!I57</f>
        <v>0</v>
      </c>
      <c r="F57" s="4">
        <f>Apr!J57+May!J57+June!J57</f>
        <v>3554243.902</v>
      </c>
      <c r="G57" s="4">
        <f t="shared" ref="G57:G60" si="10">E57-F57</f>
        <v>-3554243.902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0" customHeight="1">
      <c r="A58" s="18"/>
      <c r="B58" s="2">
        <v>39.0</v>
      </c>
      <c r="C58" s="3" t="s">
        <v>65</v>
      </c>
      <c r="D58" s="6">
        <f>June!F58</f>
        <v>339602996.6</v>
      </c>
      <c r="E58" s="4">
        <f>Apr!I58+May!I58+June!I58</f>
        <v>20955.3318</v>
      </c>
      <c r="F58" s="4">
        <f>Apr!J58+May!J58+June!J58</f>
        <v>4229866.474</v>
      </c>
      <c r="G58" s="4">
        <f t="shared" si="10"/>
        <v>-4208911.142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3"/>
      <c r="B59" s="2">
        <v>40.0</v>
      </c>
      <c r="C59" s="3" t="s">
        <v>66</v>
      </c>
      <c r="D59" s="6">
        <f>June!F59</f>
        <v>1612781509</v>
      </c>
      <c r="E59" s="4">
        <f>Apr!I59+May!I59+June!I59</f>
        <v>5207955.285</v>
      </c>
      <c r="F59" s="4">
        <f>Apr!J59+May!J59+June!J59</f>
        <v>46036584.74</v>
      </c>
      <c r="G59" s="4">
        <f t="shared" si="10"/>
        <v>-40828629.45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3"/>
      <c r="B60" s="2">
        <v>41.0</v>
      </c>
      <c r="C60" s="3" t="s">
        <v>67</v>
      </c>
      <c r="D60" s="6">
        <f>June!F60</f>
        <v>326421217.5</v>
      </c>
      <c r="E60" s="4">
        <f>Apr!I60+May!I60+June!I60</f>
        <v>8170985.73</v>
      </c>
      <c r="F60" s="4">
        <f>Apr!J60+May!J60+June!J60</f>
        <v>8904156.966</v>
      </c>
      <c r="G60" s="4">
        <f t="shared" si="10"/>
        <v>-733171.2363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22" t="s">
        <v>48</v>
      </c>
      <c r="B61" s="23"/>
      <c r="C61" s="1"/>
      <c r="D61" s="24">
        <f t="shared" ref="D61:G61" si="11">SUM(D57:D60)</f>
        <v>2350750401</v>
      </c>
      <c r="E61" s="24">
        <f t="shared" si="11"/>
        <v>13399896.35</v>
      </c>
      <c r="F61" s="24">
        <f t="shared" si="11"/>
        <v>62724852.08</v>
      </c>
      <c r="G61" s="24">
        <f t="shared" si="11"/>
        <v>-49324955.73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0" customHeight="1">
      <c r="A62" s="1" t="s">
        <v>68</v>
      </c>
      <c r="B62" s="23"/>
      <c r="C62" s="1"/>
      <c r="D62" s="24">
        <f t="shared" ref="D62:G62" si="12">D55+D61</f>
        <v>24089845932</v>
      </c>
      <c r="E62" s="24">
        <f t="shared" si="12"/>
        <v>216497062.9</v>
      </c>
      <c r="F62" s="24">
        <f t="shared" si="12"/>
        <v>335427289.7</v>
      </c>
      <c r="G62" s="24">
        <f t="shared" si="12"/>
        <v>-118930226.8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0" customHeight="1">
      <c r="A63" s="1" t="s">
        <v>69</v>
      </c>
      <c r="B63" s="2"/>
      <c r="C63" s="3"/>
      <c r="D63" s="6"/>
      <c r="E63" s="4"/>
      <c r="F63" s="4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2.0" customHeight="1">
      <c r="A64" s="18" t="s">
        <v>20</v>
      </c>
      <c r="B64" s="2"/>
      <c r="C64" s="3"/>
      <c r="D64" s="6"/>
      <c r="E64" s="4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2.0" customHeight="1">
      <c r="A65" s="3"/>
      <c r="B65" s="2">
        <v>42.0</v>
      </c>
      <c r="C65" s="3" t="s">
        <v>70</v>
      </c>
      <c r="D65" s="6">
        <f>June!F65</f>
        <v>41561205652</v>
      </c>
      <c r="E65" s="4">
        <f>Apr!I65+May!I65+June!I65</f>
        <v>700146914.3</v>
      </c>
      <c r="F65" s="4">
        <f>Apr!J65+May!J65+June!J65</f>
        <v>1988181666</v>
      </c>
      <c r="G65" s="4">
        <f t="shared" ref="G65:G75" si="13">E65-F65</f>
        <v>-1288034752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3"/>
      <c r="B66" s="2">
        <v>43.0</v>
      </c>
      <c r="C66" s="3" t="s">
        <v>174</v>
      </c>
      <c r="D66" s="6">
        <f>June!F66</f>
        <v>302984506.8</v>
      </c>
      <c r="E66" s="4">
        <f>Apr!I66+May!I66+June!I66</f>
        <v>7999694.29</v>
      </c>
      <c r="F66" s="4">
        <f>Apr!J66+May!J66+June!J66</f>
        <v>6544145.44</v>
      </c>
      <c r="G66" s="4">
        <f t="shared" si="13"/>
        <v>1455548.85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2">
        <v>44.0</v>
      </c>
      <c r="C67" s="3" t="s">
        <v>72</v>
      </c>
      <c r="D67" s="6">
        <f>June!F67</f>
        <v>1164748569</v>
      </c>
      <c r="E67" s="4">
        <f>Apr!I67+May!I67+June!I67</f>
        <v>5827886.26</v>
      </c>
      <c r="F67" s="4">
        <f>Apr!J67+May!J67+June!J67</f>
        <v>138908844</v>
      </c>
      <c r="G67" s="4">
        <f t="shared" si="13"/>
        <v>-133080957.7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1"/>
      <c r="B68" s="2">
        <v>45.0</v>
      </c>
      <c r="C68" s="3" t="s">
        <v>73</v>
      </c>
      <c r="D68" s="6">
        <f>June!F68</f>
        <v>194934023.3</v>
      </c>
      <c r="E68" s="4">
        <f>Apr!I68+May!I68+June!I68</f>
        <v>612854.42</v>
      </c>
      <c r="F68" s="4">
        <f>Apr!J68+May!J68+June!J68</f>
        <v>1719324.46</v>
      </c>
      <c r="G68" s="4">
        <f t="shared" si="13"/>
        <v>-1106470.04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3"/>
      <c r="B69" s="2">
        <v>46.0</v>
      </c>
      <c r="C69" s="3" t="s">
        <v>74</v>
      </c>
      <c r="D69" s="6">
        <f>June!F69</f>
        <v>1378377558</v>
      </c>
      <c r="E69" s="4">
        <f>Apr!I69+May!I69+June!I69</f>
        <v>7225846.69</v>
      </c>
      <c r="F69" s="4">
        <f>Apr!J69+May!J69+June!J69</f>
        <v>100894402.6</v>
      </c>
      <c r="G69" s="4">
        <f t="shared" si="13"/>
        <v>-93668555.95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3"/>
      <c r="B70" s="2">
        <v>47.0</v>
      </c>
      <c r="C70" s="3" t="s">
        <v>75</v>
      </c>
      <c r="D70" s="6">
        <f>June!F70</f>
        <v>944338271.3</v>
      </c>
      <c r="E70" s="4">
        <f>Apr!I70+May!I70+June!I70</f>
        <v>13567764.62</v>
      </c>
      <c r="F70" s="4">
        <f>Apr!J70+May!J70+June!J70</f>
        <v>11016648.19</v>
      </c>
      <c r="G70" s="4">
        <f t="shared" si="13"/>
        <v>2551116.43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2">
        <v>48.0</v>
      </c>
      <c r="C71" s="3" t="s">
        <v>76</v>
      </c>
      <c r="D71" s="6">
        <f>June!F71</f>
        <v>6240231256</v>
      </c>
      <c r="E71" s="4">
        <f>Apr!I71+May!I71+June!I71</f>
        <v>72202747.26</v>
      </c>
      <c r="F71" s="4">
        <f>Apr!J71+May!J71+June!J71</f>
        <v>191551472.4</v>
      </c>
      <c r="G71" s="4">
        <f t="shared" si="13"/>
        <v>-119348725.1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2">
        <v>49.0</v>
      </c>
      <c r="C72" s="3" t="s">
        <v>77</v>
      </c>
      <c r="D72" s="6">
        <f>June!F72</f>
        <v>316517831.8</v>
      </c>
      <c r="E72" s="4">
        <f>Apr!I72+May!I72+June!I72</f>
        <v>14082635.66</v>
      </c>
      <c r="F72" s="4">
        <f>Apr!J72+May!J72+June!J72</f>
        <v>10158817.26</v>
      </c>
      <c r="G72" s="4">
        <f t="shared" si="13"/>
        <v>3923818.4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2">
        <v>50.0</v>
      </c>
      <c r="C73" s="3" t="s">
        <v>78</v>
      </c>
      <c r="D73" s="6">
        <f>June!F73</f>
        <v>999379760.6</v>
      </c>
      <c r="E73" s="4">
        <f>Apr!I73+May!I73+June!I73</f>
        <v>99314844.37</v>
      </c>
      <c r="F73" s="4">
        <f>Apr!J73+May!J73+June!J73</f>
        <v>2022334.4</v>
      </c>
      <c r="G73" s="4">
        <f t="shared" si="13"/>
        <v>97292509.97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2">
        <v>51.0</v>
      </c>
      <c r="C74" s="3" t="s">
        <v>79</v>
      </c>
      <c r="D74" s="6">
        <f>June!F74</f>
        <v>4379168565</v>
      </c>
      <c r="E74" s="4">
        <f>Apr!I74+May!I74+June!I74</f>
        <v>109307183.4</v>
      </c>
      <c r="F74" s="4">
        <f>Apr!J74+May!J74+June!J74</f>
        <v>279582773.3</v>
      </c>
      <c r="G74" s="4">
        <f t="shared" si="13"/>
        <v>-170275589.9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2">
        <v>52.0</v>
      </c>
      <c r="C75" s="3" t="s">
        <v>80</v>
      </c>
      <c r="D75" s="6">
        <f>June!F75</f>
        <v>140005089.3</v>
      </c>
      <c r="E75" s="4">
        <f>Apr!I75+May!I75+June!I75</f>
        <v>1472216.66</v>
      </c>
      <c r="F75" s="4">
        <f>Apr!J75+May!J75+June!J75</f>
        <v>14453213.21</v>
      </c>
      <c r="G75" s="4">
        <f t="shared" si="13"/>
        <v>-12980996.55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22" t="s">
        <v>44</v>
      </c>
      <c r="B76" s="1"/>
      <c r="C76" s="1"/>
      <c r="D76" s="24">
        <f t="shared" ref="D76:G76" si="14">SUM(D65:D75)</f>
        <v>57621891083</v>
      </c>
      <c r="E76" s="24">
        <f t="shared" si="14"/>
        <v>1031760588</v>
      </c>
      <c r="F76" s="24">
        <f t="shared" si="14"/>
        <v>2745033641</v>
      </c>
      <c r="G76" s="24">
        <f t="shared" si="14"/>
        <v>-1713273053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18" t="s">
        <v>45</v>
      </c>
      <c r="B77" s="2"/>
      <c r="C77" s="3"/>
      <c r="D77" s="6"/>
      <c r="E77" s="4"/>
      <c r="F77" s="4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3"/>
      <c r="B78" s="2">
        <v>53.0</v>
      </c>
      <c r="C78" s="3" t="s">
        <v>81</v>
      </c>
      <c r="D78" s="6">
        <f>June!F78</f>
        <v>14851978095</v>
      </c>
      <c r="E78" s="4">
        <f>Apr!I78+May!I78+June!I78</f>
        <v>299295492.5</v>
      </c>
      <c r="F78" s="4">
        <f>Apr!J78+May!J78+June!J78</f>
        <v>860192636.7</v>
      </c>
      <c r="G78" s="4">
        <f t="shared" ref="G78:G84" si="15">E78-F78</f>
        <v>-560897144.3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2">
        <v>54.0</v>
      </c>
      <c r="C79" s="3" t="s">
        <v>175</v>
      </c>
      <c r="D79" s="6">
        <f>June!F79</f>
        <v>401513980.7</v>
      </c>
      <c r="E79" s="4">
        <f>Apr!I79+May!I79+June!I79</f>
        <v>9881050.46</v>
      </c>
      <c r="F79" s="4">
        <f>Apr!J79+May!J79+June!J79</f>
        <v>224091072.8</v>
      </c>
      <c r="G79" s="4">
        <f t="shared" si="15"/>
        <v>-214210022.3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3"/>
      <c r="B80" s="2">
        <v>55.0</v>
      </c>
      <c r="C80" s="3" t="s">
        <v>83</v>
      </c>
      <c r="D80" s="6">
        <f>June!F80</f>
        <v>735619438.2</v>
      </c>
      <c r="E80" s="4">
        <f>Apr!I80+May!I80+June!I80</f>
        <v>257468.02</v>
      </c>
      <c r="F80" s="4">
        <f>Apr!J80+May!J80+June!J80</f>
        <v>8999280.79</v>
      </c>
      <c r="G80" s="4">
        <f t="shared" si="15"/>
        <v>-8741812.77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1.25" customHeight="1">
      <c r="A81" s="18"/>
      <c r="B81" s="2">
        <v>56.0</v>
      </c>
      <c r="C81" s="3" t="s">
        <v>84</v>
      </c>
      <c r="D81" s="6">
        <f>June!F81</f>
        <v>51409556.24</v>
      </c>
      <c r="E81" s="4">
        <f>Apr!I81+May!I81+June!I81</f>
        <v>684910.0473</v>
      </c>
      <c r="F81" s="4">
        <f>Apr!J81+May!J81+June!J81</f>
        <v>827148.5384</v>
      </c>
      <c r="G81" s="4">
        <f t="shared" si="15"/>
        <v>-142238.4911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0" customHeight="1">
      <c r="A82" s="3"/>
      <c r="B82" s="2">
        <v>57.0</v>
      </c>
      <c r="C82" s="3" t="s">
        <v>85</v>
      </c>
      <c r="D82" s="6">
        <f>June!F82</f>
        <v>2218298197</v>
      </c>
      <c r="E82" s="4">
        <f>Apr!I82+May!I82+June!I82</f>
        <v>220381.6376</v>
      </c>
      <c r="F82" s="4">
        <f>Apr!J82+May!J82+June!J82</f>
        <v>45485935.85</v>
      </c>
      <c r="G82" s="4">
        <f t="shared" si="15"/>
        <v>-45265554.21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2">
        <v>58.0</v>
      </c>
      <c r="C83" s="3" t="s">
        <v>86</v>
      </c>
      <c r="D83" s="6">
        <f>June!F83</f>
        <v>235173716.8</v>
      </c>
      <c r="E83" s="4">
        <f>Apr!I83+May!I83+June!I83</f>
        <v>261400</v>
      </c>
      <c r="F83" s="4">
        <f>Apr!J83+May!J83+June!J83</f>
        <v>427761.3022</v>
      </c>
      <c r="G83" s="4">
        <f t="shared" si="15"/>
        <v>-166361.3022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2">
        <v>59.0</v>
      </c>
      <c r="C84" s="3" t="s">
        <v>87</v>
      </c>
      <c r="D84" s="6">
        <f>June!F84</f>
        <v>474715435</v>
      </c>
      <c r="E84" s="4">
        <f>Apr!I84+May!I84+June!I84</f>
        <v>714337.6928</v>
      </c>
      <c r="F84" s="4">
        <f>Apr!J84+May!J84+June!J84</f>
        <v>9908348.552</v>
      </c>
      <c r="G84" s="4">
        <f t="shared" si="15"/>
        <v>-9194010.86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0" customHeight="1">
      <c r="A85" s="22" t="s">
        <v>88</v>
      </c>
      <c r="B85" s="23"/>
      <c r="C85" s="29"/>
      <c r="D85" s="24">
        <f t="shared" ref="D85:G85" si="16">SUM(D78:D84)</f>
        <v>18968708419</v>
      </c>
      <c r="E85" s="24">
        <f t="shared" si="16"/>
        <v>311315040.3</v>
      </c>
      <c r="F85" s="24">
        <f t="shared" si="16"/>
        <v>1149932185</v>
      </c>
      <c r="G85" s="24">
        <f t="shared" si="16"/>
        <v>-838617144.2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3"/>
      <c r="B86" s="2">
        <v>60.0</v>
      </c>
      <c r="C86" s="3" t="s">
        <v>89</v>
      </c>
      <c r="D86" s="6">
        <f>June!F86</f>
        <v>900093763.4</v>
      </c>
      <c r="E86" s="4">
        <f>Apr!I86+May!I86+June!I86</f>
        <v>14188078.45</v>
      </c>
      <c r="F86" s="4">
        <f>Apr!J86+May!J86+June!J86</f>
        <v>41765474.88</v>
      </c>
      <c r="G86" s="4">
        <f>E86-F86</f>
        <v>-27577396.42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22" t="s">
        <v>90</v>
      </c>
      <c r="B87" s="29"/>
      <c r="C87" s="1"/>
      <c r="D87" s="24">
        <f t="shared" ref="D87:G87" si="17">SUM(D86)</f>
        <v>900093763.4</v>
      </c>
      <c r="E87" s="24">
        <f t="shared" si="17"/>
        <v>14188078.45</v>
      </c>
      <c r="F87" s="24">
        <f t="shared" si="17"/>
        <v>41765474.88</v>
      </c>
      <c r="G87" s="24">
        <f t="shared" si="17"/>
        <v>-27577396.42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1" t="s">
        <v>91</v>
      </c>
      <c r="B88" s="23"/>
      <c r="C88" s="29"/>
      <c r="D88" s="24">
        <f t="shared" ref="D88:G88" si="18">D76+D85+D87</f>
        <v>77490693266</v>
      </c>
      <c r="E88" s="24">
        <f t="shared" si="18"/>
        <v>1357263707</v>
      </c>
      <c r="F88" s="24">
        <f t="shared" si="18"/>
        <v>3936731301</v>
      </c>
      <c r="G88" s="24">
        <f t="shared" si="18"/>
        <v>-2579467594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1" t="s">
        <v>92</v>
      </c>
      <c r="B89" s="2"/>
      <c r="C89" s="30"/>
      <c r="D89" s="6"/>
      <c r="E89" s="4"/>
      <c r="F89" s="4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18" t="s">
        <v>20</v>
      </c>
      <c r="B90" s="2"/>
      <c r="C90" s="30"/>
      <c r="D90" s="6"/>
      <c r="E90" s="4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18"/>
      <c r="B91" s="2">
        <v>61.0</v>
      </c>
      <c r="C91" s="3" t="s">
        <v>93</v>
      </c>
      <c r="D91" s="6">
        <f>June!F91</f>
        <v>60778135599</v>
      </c>
      <c r="E91" s="4">
        <f>Apr!I91+May!I91+June!I91</f>
        <v>8673068090</v>
      </c>
      <c r="F91" s="4">
        <f>Apr!J91+May!J91+June!J91</f>
        <v>8709094641</v>
      </c>
      <c r="G91" s="4">
        <f t="shared" ref="G91:G93" si="19">E91-F91</f>
        <v>-36026551.62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18"/>
      <c r="B92" s="2">
        <v>62.0</v>
      </c>
      <c r="C92" s="3" t="s">
        <v>94</v>
      </c>
      <c r="D92" s="6">
        <f>June!F92</f>
        <v>2738690211</v>
      </c>
      <c r="E92" s="4">
        <f>Apr!I92+May!I92+June!I92</f>
        <v>470362367.3</v>
      </c>
      <c r="F92" s="4">
        <f>Apr!J92+May!J92+June!J92</f>
        <v>817700926.3</v>
      </c>
      <c r="G92" s="4">
        <f t="shared" si="19"/>
        <v>-347338559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1"/>
      <c r="B93" s="2">
        <v>63.0</v>
      </c>
      <c r="C93" s="3" t="s">
        <v>95</v>
      </c>
      <c r="D93" s="6">
        <f>June!F93</f>
        <v>127999826131</v>
      </c>
      <c r="E93" s="4">
        <f>Apr!I93+May!I93+June!I93</f>
        <v>54987363659</v>
      </c>
      <c r="F93" s="4">
        <f>Apr!J93+May!J93+June!J93</f>
        <v>53614873572</v>
      </c>
      <c r="G93" s="4">
        <f t="shared" si="19"/>
        <v>1372490088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22" t="s">
        <v>44</v>
      </c>
      <c r="B94" s="2"/>
      <c r="C94" s="3"/>
      <c r="D94" s="24">
        <f t="shared" ref="D94:G94" si="20">SUM(D91:D93)</f>
        <v>191516651940</v>
      </c>
      <c r="E94" s="24">
        <f t="shared" si="20"/>
        <v>64130794117</v>
      </c>
      <c r="F94" s="24">
        <f t="shared" si="20"/>
        <v>63141669139</v>
      </c>
      <c r="G94" s="24">
        <f t="shared" si="20"/>
        <v>989124977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18" t="s">
        <v>45</v>
      </c>
      <c r="B95" s="2"/>
      <c r="C95" s="3"/>
      <c r="D95" s="6"/>
      <c r="E95" s="4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1"/>
      <c r="B96" s="2">
        <v>64.0</v>
      </c>
      <c r="C96" s="3" t="s">
        <v>96</v>
      </c>
      <c r="D96" s="6">
        <f>June!F96</f>
        <v>13748366786</v>
      </c>
      <c r="E96" s="4">
        <f>Apr!I96+May!I96+June!I96</f>
        <v>10290435996</v>
      </c>
      <c r="F96" s="4">
        <f>Apr!J96+May!J96+June!J96</f>
        <v>8229651278</v>
      </c>
      <c r="G96" s="4">
        <f>E96-F96</f>
        <v>2060784718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22" t="s">
        <v>88</v>
      </c>
      <c r="B97" s="2"/>
      <c r="C97" s="3"/>
      <c r="D97" s="24">
        <f t="shared" ref="D97:G97" si="21">SUM(D96)</f>
        <v>13748366786</v>
      </c>
      <c r="E97" s="24">
        <f t="shared" si="21"/>
        <v>10290435996</v>
      </c>
      <c r="F97" s="24">
        <f t="shared" si="21"/>
        <v>8229651278</v>
      </c>
      <c r="G97" s="24">
        <f t="shared" si="21"/>
        <v>2060784718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1" t="s">
        <v>97</v>
      </c>
      <c r="B98" s="2"/>
      <c r="C98" s="3"/>
      <c r="D98" s="24">
        <f t="shared" ref="D98:G98" si="22">D94+D97</f>
        <v>205265018726</v>
      </c>
      <c r="E98" s="24">
        <f t="shared" si="22"/>
        <v>74421230112</v>
      </c>
      <c r="F98" s="24">
        <f t="shared" si="22"/>
        <v>71371320418</v>
      </c>
      <c r="G98" s="24">
        <f t="shared" si="22"/>
        <v>3049909695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1" t="s">
        <v>98</v>
      </c>
      <c r="B99" s="2"/>
      <c r="C99" s="3"/>
      <c r="D99" s="6"/>
      <c r="E99" s="4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18" t="s">
        <v>99</v>
      </c>
      <c r="B100" s="2"/>
      <c r="C100" s="3"/>
      <c r="D100" s="6"/>
      <c r="E100" s="4"/>
      <c r="F100" s="4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18"/>
      <c r="B101" s="2">
        <v>65.0</v>
      </c>
      <c r="C101" s="3" t="s">
        <v>100</v>
      </c>
      <c r="D101" s="6">
        <f>June!F101</f>
        <v>8841609520</v>
      </c>
      <c r="E101" s="4">
        <f>Apr!I101+May!I101+June!I101</f>
        <v>790447306.1</v>
      </c>
      <c r="F101" s="4">
        <f>Apr!J101+May!J101+June!J101</f>
        <v>285384265.1</v>
      </c>
      <c r="G101" s="4">
        <f t="shared" ref="G101:G102" si="23">E101-F101</f>
        <v>505063041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1"/>
      <c r="B102" s="2">
        <v>66.0</v>
      </c>
      <c r="C102" s="3" t="s">
        <v>101</v>
      </c>
      <c r="D102" s="6">
        <f>June!F102</f>
        <v>3308394352</v>
      </c>
      <c r="E102" s="4">
        <f>Apr!I102+May!I102+June!I102</f>
        <v>248394896.2</v>
      </c>
      <c r="F102" s="4">
        <f>Apr!J102+May!J102+June!J102</f>
        <v>278883901.9</v>
      </c>
      <c r="G102" s="4">
        <f t="shared" si="23"/>
        <v>-30489005.65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22" t="s">
        <v>44</v>
      </c>
      <c r="B103" s="2"/>
      <c r="C103" s="3"/>
      <c r="D103" s="24">
        <f t="shared" ref="D103:G103" si="24">SUM(D101:D102)</f>
        <v>12150003872</v>
      </c>
      <c r="E103" s="24">
        <f t="shared" si="24"/>
        <v>1038842202</v>
      </c>
      <c r="F103" s="24">
        <f t="shared" si="24"/>
        <v>564268167</v>
      </c>
      <c r="G103" s="24">
        <f t="shared" si="24"/>
        <v>474574035.4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18" t="s">
        <v>102</v>
      </c>
      <c r="B104" s="2"/>
      <c r="C104" s="3"/>
      <c r="D104" s="6"/>
      <c r="E104" s="4"/>
      <c r="F104" s="4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1"/>
      <c r="B105" s="2">
        <v>67.0</v>
      </c>
      <c r="C105" s="3" t="s">
        <v>103</v>
      </c>
      <c r="D105" s="6">
        <f>June!F105</f>
        <v>10001097793</v>
      </c>
      <c r="E105" s="4">
        <f>Apr!I105+May!I105+June!I105</f>
        <v>621715493.8</v>
      </c>
      <c r="F105" s="4">
        <f>Apr!J105+May!J105+June!J105</f>
        <v>322278008.2</v>
      </c>
      <c r="G105" s="4">
        <f>E105-F105</f>
        <v>299437485.6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22" t="s">
        <v>88</v>
      </c>
      <c r="B106" s="23"/>
      <c r="C106" s="1"/>
      <c r="D106" s="24">
        <f t="shared" ref="D106:G106" si="25">SUM(D105)</f>
        <v>10001097793</v>
      </c>
      <c r="E106" s="24">
        <f t="shared" si="25"/>
        <v>621715493.8</v>
      </c>
      <c r="F106" s="24">
        <f t="shared" si="25"/>
        <v>322278008.2</v>
      </c>
      <c r="G106" s="24">
        <f t="shared" si="25"/>
        <v>299437485.6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1" t="s">
        <v>104</v>
      </c>
      <c r="B107" s="31"/>
      <c r="C107" s="29"/>
      <c r="D107" s="24">
        <f t="shared" ref="D107:G107" si="26">D103+D106</f>
        <v>22151101664</v>
      </c>
      <c r="E107" s="24">
        <f t="shared" si="26"/>
        <v>1660557696</v>
      </c>
      <c r="F107" s="24">
        <f t="shared" si="26"/>
        <v>886546175.2</v>
      </c>
      <c r="G107" s="24">
        <f t="shared" si="26"/>
        <v>774011521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32" t="s">
        <v>105</v>
      </c>
      <c r="B108" s="33"/>
      <c r="C108" s="34"/>
      <c r="D108" s="35">
        <f t="shared" ref="D108:G108" si="27">D38+D62+D88+D98+D107</f>
        <v>435833944767</v>
      </c>
      <c r="E108" s="35">
        <f t="shared" si="27"/>
        <v>81056288928</v>
      </c>
      <c r="F108" s="35">
        <f t="shared" si="27"/>
        <v>78400087828</v>
      </c>
      <c r="G108" s="35">
        <f t="shared" si="27"/>
        <v>2656201099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0" customHeight="1">
      <c r="A109" s="3"/>
      <c r="B109" s="2"/>
      <c r="C109" s="36"/>
      <c r="D109" s="4"/>
      <c r="E109" s="4"/>
      <c r="F109" s="4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30"/>
      <c r="B110" s="36"/>
      <c r="C110" s="36"/>
      <c r="D110" s="4">
        <f>June!F108-'Q2'!D108</f>
        <v>0</v>
      </c>
      <c r="E110" s="4">
        <f>SUM(Apr!I108+May!I108+June!I108)-E108</f>
        <v>0</v>
      </c>
      <c r="F110" s="4">
        <f>SUM(Apr!J108+May!J108+June!J108)-F108</f>
        <v>0.00001525878906</v>
      </c>
      <c r="G110" s="4">
        <f>SUM(Apr!K108+May!K108+June!K108)-G108</f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36"/>
      <c r="B111" s="36"/>
      <c r="C111" s="36"/>
      <c r="D111" s="4"/>
      <c r="E111" s="4"/>
      <c r="F111" s="4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36"/>
      <c r="B112" s="36"/>
      <c r="C112" s="36"/>
      <c r="D112" s="4"/>
      <c r="E112" s="4"/>
      <c r="F112" s="4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36"/>
      <c r="B113" s="36"/>
      <c r="C113" s="36"/>
      <c r="D113" s="4"/>
      <c r="E113" s="4"/>
      <c r="F113" s="4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36"/>
      <c r="B114" s="36"/>
      <c r="C114" s="36"/>
      <c r="D114" s="4"/>
      <c r="E114" s="4"/>
      <c r="F114" s="4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36"/>
      <c r="B115" s="36"/>
      <c r="C115" s="36"/>
      <c r="D115" s="4"/>
      <c r="E115" s="4"/>
      <c r="F115" s="4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6"/>
      <c r="B116" s="36"/>
      <c r="C116" s="36"/>
      <c r="D116" s="4"/>
      <c r="E116" s="4"/>
      <c r="F116" s="4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0" customHeight="1">
      <c r="A117" s="36"/>
      <c r="B117" s="36"/>
      <c r="C117" s="36"/>
      <c r="D117" s="4"/>
      <c r="E117" s="4"/>
      <c r="F117" s="4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36"/>
      <c r="B118" s="36"/>
      <c r="C118" s="36"/>
      <c r="D118" s="4"/>
      <c r="E118" s="4"/>
      <c r="F118" s="4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36"/>
      <c r="B119" s="36"/>
      <c r="C119" s="36"/>
      <c r="D119" s="4"/>
      <c r="E119" s="4"/>
      <c r="F119" s="4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36"/>
      <c r="B120" s="36"/>
      <c r="C120" s="36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36"/>
      <c r="B121" s="36"/>
      <c r="C121" s="36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36"/>
      <c r="B122" s="36"/>
      <c r="C122" s="36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36"/>
      <c r="B123" s="36"/>
      <c r="C123" s="36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36"/>
      <c r="B124" s="36"/>
      <c r="C124" s="36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36"/>
      <c r="B125" s="36"/>
      <c r="C125" s="36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36"/>
      <c r="B126" s="36"/>
      <c r="C126" s="36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36"/>
      <c r="B127" s="36"/>
      <c r="C127" s="36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36"/>
      <c r="B128" s="36"/>
      <c r="C128" s="36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36"/>
      <c r="B129" s="36"/>
      <c r="C129" s="36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36"/>
      <c r="B130" s="36"/>
      <c r="C130" s="36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36"/>
      <c r="B131" s="36"/>
      <c r="C131" s="36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36"/>
      <c r="B132" s="36"/>
      <c r="C132" s="36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36"/>
      <c r="B133" s="36"/>
      <c r="C133" s="36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36"/>
      <c r="B134" s="36"/>
      <c r="C134" s="36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36"/>
      <c r="B135" s="36"/>
      <c r="C135" s="36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36"/>
      <c r="B136" s="36"/>
      <c r="C136" s="36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36"/>
      <c r="B137" s="36"/>
      <c r="C137" s="36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36"/>
      <c r="B138" s="36"/>
      <c r="C138" s="36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36"/>
      <c r="B139" s="36"/>
      <c r="C139" s="36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36"/>
      <c r="B140" s="36"/>
      <c r="C140" s="36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36"/>
      <c r="B141" s="36"/>
      <c r="C141" s="36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36"/>
      <c r="B142" s="36"/>
      <c r="C142" s="36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36"/>
      <c r="B143" s="36"/>
      <c r="C143" s="36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36"/>
      <c r="B144" s="36"/>
      <c r="C144" s="36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36"/>
      <c r="B145" s="36"/>
      <c r="C145" s="36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36"/>
      <c r="B146" s="36"/>
      <c r="C146" s="36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36"/>
      <c r="B147" s="36"/>
      <c r="C147" s="36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36"/>
      <c r="B148" s="36"/>
      <c r="C148" s="36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36"/>
      <c r="B149" s="36"/>
      <c r="C149" s="36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36"/>
      <c r="B150" s="36"/>
      <c r="C150" s="36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36"/>
      <c r="B151" s="36"/>
      <c r="C151" s="36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36"/>
      <c r="B152" s="36"/>
      <c r="C152" s="36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36"/>
      <c r="B153" s="36"/>
      <c r="C153" s="36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36"/>
      <c r="B154" s="36"/>
      <c r="C154" s="36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36"/>
      <c r="B155" s="36"/>
      <c r="C155" s="36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36"/>
      <c r="B156" s="36"/>
      <c r="C156" s="36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36"/>
      <c r="B157" s="36"/>
      <c r="C157" s="36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36"/>
      <c r="B158" s="36"/>
      <c r="C158" s="36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36"/>
      <c r="B159" s="36"/>
      <c r="C159" s="36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36"/>
      <c r="B160" s="36"/>
      <c r="C160" s="36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36"/>
      <c r="B161" s="36"/>
      <c r="C161" s="36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36"/>
      <c r="B162" s="36"/>
      <c r="C162" s="36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36"/>
      <c r="B163" s="36"/>
      <c r="C163" s="36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36"/>
      <c r="B164" s="36"/>
      <c r="C164" s="36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36"/>
      <c r="B165" s="36"/>
      <c r="C165" s="36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36"/>
      <c r="B166" s="36"/>
      <c r="C166" s="36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36"/>
      <c r="B167" s="36"/>
      <c r="C167" s="36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36"/>
      <c r="B168" s="36"/>
      <c r="C168" s="36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36"/>
      <c r="B169" s="36"/>
      <c r="C169" s="36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36"/>
      <c r="B170" s="36"/>
      <c r="C170" s="36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36"/>
      <c r="B171" s="36"/>
      <c r="C171" s="36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36"/>
      <c r="B172" s="36"/>
      <c r="C172" s="36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36"/>
      <c r="B173" s="36"/>
      <c r="C173" s="36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36"/>
      <c r="B174" s="36"/>
      <c r="C174" s="36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36"/>
      <c r="B175" s="36"/>
      <c r="C175" s="36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36"/>
      <c r="B176" s="36"/>
      <c r="C176" s="36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36"/>
      <c r="B177" s="36"/>
      <c r="C177" s="36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36"/>
      <c r="B178" s="36"/>
      <c r="C178" s="36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36"/>
      <c r="B179" s="36"/>
      <c r="C179" s="36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36"/>
      <c r="B180" s="36"/>
      <c r="C180" s="36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36"/>
      <c r="B181" s="36"/>
      <c r="C181" s="36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36"/>
      <c r="B182" s="36"/>
      <c r="C182" s="36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36"/>
      <c r="B183" s="36"/>
      <c r="C183" s="36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36"/>
      <c r="B184" s="36"/>
      <c r="C184" s="36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36"/>
      <c r="B185" s="36"/>
      <c r="C185" s="36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36"/>
      <c r="B186" s="36"/>
      <c r="C186" s="36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36"/>
      <c r="B187" s="36"/>
      <c r="C187" s="36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36"/>
      <c r="B188" s="36"/>
      <c r="C188" s="36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36"/>
      <c r="B189" s="36"/>
      <c r="C189" s="36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36"/>
      <c r="B190" s="36"/>
      <c r="C190" s="36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36"/>
      <c r="B191" s="36"/>
      <c r="C191" s="36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36"/>
      <c r="B192" s="36"/>
      <c r="C192" s="36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36"/>
      <c r="B193" s="36"/>
      <c r="C193" s="36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36"/>
      <c r="B194" s="36"/>
      <c r="C194" s="36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36"/>
      <c r="B195" s="36"/>
      <c r="C195" s="36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36"/>
      <c r="B196" s="36"/>
      <c r="C196" s="36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36"/>
      <c r="B197" s="36"/>
      <c r="C197" s="36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36"/>
      <c r="B198" s="36"/>
      <c r="C198" s="36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36"/>
      <c r="B199" s="36"/>
      <c r="C199" s="36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36"/>
      <c r="B200" s="36"/>
      <c r="C200" s="36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36"/>
      <c r="B201" s="36"/>
      <c r="C201" s="36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36"/>
      <c r="B202" s="36"/>
      <c r="C202" s="36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36"/>
      <c r="B203" s="36"/>
      <c r="C203" s="36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36"/>
      <c r="B204" s="36"/>
      <c r="C204" s="36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36"/>
      <c r="B205" s="36"/>
      <c r="C205" s="36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6"/>
      <c r="B206" s="36"/>
      <c r="C206" s="36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6"/>
      <c r="B207" s="36"/>
      <c r="C207" s="36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6"/>
      <c r="B208" s="36"/>
      <c r="C208" s="36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6"/>
      <c r="B209" s="36"/>
      <c r="C209" s="36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6"/>
      <c r="B210" s="36"/>
      <c r="C210" s="36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6"/>
      <c r="B211" s="36"/>
      <c r="C211" s="36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6"/>
      <c r="B212" s="36"/>
      <c r="C212" s="36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6"/>
      <c r="B213" s="36"/>
      <c r="C213" s="36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6"/>
      <c r="B214" s="36"/>
      <c r="C214" s="36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6"/>
      <c r="B215" s="36"/>
      <c r="C215" s="36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6"/>
      <c r="B216" s="36"/>
      <c r="C216" s="36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6"/>
      <c r="B217" s="36"/>
      <c r="C217" s="36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6"/>
      <c r="B218" s="36"/>
      <c r="C218" s="36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6"/>
      <c r="B219" s="36"/>
      <c r="C219" s="36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6"/>
      <c r="B220" s="36"/>
      <c r="C220" s="36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6"/>
      <c r="B221" s="36"/>
      <c r="C221" s="36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6"/>
      <c r="B222" s="36"/>
      <c r="C222" s="36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6"/>
      <c r="B223" s="36"/>
      <c r="C223" s="36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6"/>
      <c r="B224" s="36"/>
      <c r="C224" s="36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6"/>
      <c r="B225" s="36"/>
      <c r="C225" s="36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6"/>
      <c r="B226" s="36"/>
      <c r="C226" s="36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6"/>
      <c r="B227" s="36"/>
      <c r="C227" s="36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6"/>
      <c r="B228" s="36"/>
      <c r="C228" s="36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6"/>
      <c r="B229" s="36"/>
      <c r="C229" s="36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6"/>
      <c r="B230" s="36"/>
      <c r="C230" s="36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6"/>
      <c r="B231" s="36"/>
      <c r="C231" s="36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6"/>
      <c r="B232" s="36"/>
      <c r="C232" s="36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6"/>
      <c r="B233" s="36"/>
      <c r="C233" s="36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6"/>
      <c r="B234" s="36"/>
      <c r="C234" s="36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6"/>
      <c r="B235" s="36"/>
      <c r="C235" s="36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6"/>
      <c r="B236" s="36"/>
      <c r="C236" s="36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6"/>
      <c r="B237" s="36"/>
      <c r="C237" s="36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6"/>
      <c r="B238" s="36"/>
      <c r="C238" s="36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6"/>
      <c r="B239" s="36"/>
      <c r="C239" s="36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6"/>
      <c r="B240" s="36"/>
      <c r="C240" s="36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6"/>
      <c r="B241" s="36"/>
      <c r="C241" s="36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6"/>
      <c r="B242" s="36"/>
      <c r="C242" s="36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6"/>
      <c r="B243" s="36"/>
      <c r="C243" s="36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6"/>
      <c r="B244" s="36"/>
      <c r="C244" s="36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6"/>
      <c r="B245" s="36"/>
      <c r="C245" s="36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6"/>
      <c r="B246" s="36"/>
      <c r="C246" s="36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6"/>
      <c r="B247" s="36"/>
      <c r="C247" s="36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6"/>
      <c r="B248" s="36"/>
      <c r="C248" s="36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6"/>
      <c r="B249" s="36"/>
      <c r="C249" s="36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6"/>
      <c r="B250" s="36"/>
      <c r="C250" s="36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6"/>
      <c r="B251" s="36"/>
      <c r="C251" s="36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6"/>
      <c r="B252" s="36"/>
      <c r="C252" s="36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6"/>
      <c r="B253" s="36"/>
      <c r="C253" s="36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6"/>
      <c r="B254" s="36"/>
      <c r="C254" s="36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6"/>
      <c r="B255" s="36"/>
      <c r="C255" s="36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6"/>
      <c r="B256" s="36"/>
      <c r="C256" s="36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6"/>
      <c r="B257" s="36"/>
      <c r="C257" s="36"/>
      <c r="D257" s="4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6"/>
      <c r="B258" s="36"/>
      <c r="C258" s="36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6"/>
      <c r="B259" s="36"/>
      <c r="C259" s="36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6"/>
      <c r="B260" s="36"/>
      <c r="C260" s="36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6"/>
      <c r="B261" s="36"/>
      <c r="C261" s="36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6"/>
      <c r="B262" s="36"/>
      <c r="C262" s="36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6"/>
      <c r="B263" s="36"/>
      <c r="C263" s="36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6"/>
      <c r="B264" s="36"/>
      <c r="C264" s="36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6"/>
      <c r="B265" s="36"/>
      <c r="C265" s="36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6"/>
      <c r="B266" s="36"/>
      <c r="C266" s="36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6"/>
      <c r="B267" s="36"/>
      <c r="C267" s="36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6"/>
      <c r="B268" s="36"/>
      <c r="C268" s="36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6"/>
      <c r="B269" s="36"/>
      <c r="C269" s="36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6"/>
      <c r="B270" s="36"/>
      <c r="C270" s="36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6"/>
      <c r="B271" s="36"/>
      <c r="C271" s="36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6"/>
      <c r="B272" s="36"/>
      <c r="C272" s="36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6"/>
      <c r="B273" s="36"/>
      <c r="C273" s="36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6"/>
      <c r="B274" s="36"/>
      <c r="C274" s="36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6"/>
      <c r="B275" s="36"/>
      <c r="C275" s="36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6"/>
      <c r="B276" s="36"/>
      <c r="C276" s="36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6"/>
      <c r="B277" s="36"/>
      <c r="C277" s="36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6"/>
      <c r="B278" s="36"/>
      <c r="C278" s="36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6"/>
      <c r="B279" s="36"/>
      <c r="C279" s="36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6"/>
      <c r="B280" s="36"/>
      <c r="C280" s="36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6"/>
      <c r="B281" s="36"/>
      <c r="C281" s="36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6"/>
      <c r="B282" s="36"/>
      <c r="C282" s="36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6"/>
      <c r="B283" s="36"/>
      <c r="C283" s="36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6"/>
      <c r="B284" s="36"/>
      <c r="C284" s="36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6"/>
      <c r="B285" s="36"/>
      <c r="C285" s="36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6"/>
      <c r="B286" s="36"/>
      <c r="C286" s="36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6"/>
      <c r="B287" s="36"/>
      <c r="C287" s="36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6"/>
      <c r="B288" s="36"/>
      <c r="C288" s="36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6"/>
      <c r="B289" s="36"/>
      <c r="C289" s="36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6"/>
      <c r="B290" s="36"/>
      <c r="C290" s="36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6"/>
      <c r="B291" s="36"/>
      <c r="C291" s="36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6"/>
      <c r="B292" s="36"/>
      <c r="C292" s="36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6"/>
      <c r="B293" s="36"/>
      <c r="C293" s="36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6"/>
      <c r="B294" s="36"/>
      <c r="C294" s="36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6"/>
      <c r="B295" s="36"/>
      <c r="C295" s="36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6"/>
      <c r="B296" s="36"/>
      <c r="C296" s="36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6"/>
      <c r="B297" s="36"/>
      <c r="C297" s="36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6"/>
      <c r="B298" s="36"/>
      <c r="C298" s="36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6"/>
      <c r="B299" s="36"/>
      <c r="C299" s="36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6"/>
      <c r="B300" s="36"/>
      <c r="C300" s="36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6"/>
      <c r="B301" s="36"/>
      <c r="C301" s="36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6"/>
      <c r="B302" s="36"/>
      <c r="C302" s="36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6"/>
      <c r="B303" s="36"/>
      <c r="C303" s="36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6"/>
      <c r="B304" s="36"/>
      <c r="C304" s="36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6"/>
      <c r="B305" s="36"/>
      <c r="C305" s="36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6"/>
      <c r="B306" s="36"/>
      <c r="C306" s="36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6"/>
      <c r="B307" s="36"/>
      <c r="C307" s="36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6"/>
      <c r="B308" s="36"/>
      <c r="C308" s="36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6"/>
      <c r="B309" s="36"/>
      <c r="C309" s="36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6"/>
      <c r="B310" s="36"/>
      <c r="C310" s="36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6"/>
      <c r="B311" s="36"/>
      <c r="C311" s="36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6"/>
      <c r="B312" s="36"/>
      <c r="C312" s="36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6"/>
      <c r="B313" s="36"/>
      <c r="C313" s="36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6"/>
      <c r="B314" s="36"/>
      <c r="C314" s="36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6"/>
      <c r="B315" s="36"/>
      <c r="C315" s="36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6"/>
      <c r="B316" s="36"/>
      <c r="C316" s="36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6"/>
      <c r="B317" s="36"/>
      <c r="C317" s="36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6"/>
      <c r="B318" s="36"/>
      <c r="C318" s="36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6"/>
      <c r="B319" s="36"/>
      <c r="C319" s="36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6"/>
      <c r="B320" s="36"/>
      <c r="C320" s="36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6"/>
      <c r="B321" s="36"/>
      <c r="C321" s="36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6"/>
      <c r="B322" s="36"/>
      <c r="C322" s="36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6"/>
      <c r="B323" s="36"/>
      <c r="C323" s="36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6"/>
      <c r="B324" s="36"/>
      <c r="C324" s="36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6"/>
      <c r="B325" s="36"/>
      <c r="C325" s="36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6"/>
      <c r="B326" s="36"/>
      <c r="C326" s="36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6"/>
      <c r="B327" s="36"/>
      <c r="C327" s="36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6"/>
      <c r="B328" s="36"/>
      <c r="C328" s="36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6"/>
      <c r="B329" s="36"/>
      <c r="C329" s="36"/>
      <c r="D329" s="4"/>
      <c r="E329" s="4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6"/>
      <c r="B330" s="36"/>
      <c r="C330" s="36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6"/>
      <c r="B331" s="36"/>
      <c r="C331" s="36"/>
      <c r="D331" s="4"/>
      <c r="E331" s="4"/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6"/>
      <c r="B332" s="36"/>
      <c r="C332" s="36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6"/>
      <c r="B333" s="36"/>
      <c r="C333" s="36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6"/>
      <c r="B334" s="36"/>
      <c r="C334" s="36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6"/>
      <c r="B335" s="36"/>
      <c r="C335" s="36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6"/>
      <c r="B336" s="36"/>
      <c r="C336" s="36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6"/>
      <c r="B337" s="36"/>
      <c r="C337" s="36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6"/>
      <c r="B338" s="36"/>
      <c r="C338" s="36"/>
      <c r="D338" s="4"/>
      <c r="E338" s="4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6"/>
      <c r="B339" s="36"/>
      <c r="C339" s="36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6"/>
      <c r="B340" s="36"/>
      <c r="C340" s="36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6"/>
      <c r="B341" s="36"/>
      <c r="C341" s="36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6"/>
      <c r="B342" s="36"/>
      <c r="C342" s="36"/>
      <c r="D342" s="4"/>
      <c r="E342" s="4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6"/>
      <c r="B343" s="36"/>
      <c r="C343" s="36"/>
      <c r="D343" s="4"/>
      <c r="E343" s="4"/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6"/>
      <c r="B344" s="36"/>
      <c r="C344" s="36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6"/>
      <c r="B345" s="36"/>
      <c r="C345" s="36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6"/>
      <c r="B346" s="36"/>
      <c r="C346" s="36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6"/>
      <c r="B347" s="36"/>
      <c r="C347" s="36"/>
      <c r="D347" s="4"/>
      <c r="E347" s="4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6"/>
      <c r="B348" s="36"/>
      <c r="C348" s="36"/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6"/>
      <c r="B349" s="36"/>
      <c r="C349" s="36"/>
      <c r="D349" s="4"/>
      <c r="E349" s="4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6"/>
      <c r="B350" s="36"/>
      <c r="C350" s="36"/>
      <c r="D350" s="4"/>
      <c r="E350" s="4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6"/>
      <c r="B351" s="36"/>
      <c r="C351" s="36"/>
      <c r="D351" s="4"/>
      <c r="E351" s="4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6"/>
      <c r="B352" s="36"/>
      <c r="C352" s="36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6"/>
      <c r="B353" s="36"/>
      <c r="C353" s="36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6"/>
      <c r="B354" s="36"/>
      <c r="C354" s="36"/>
      <c r="D354" s="4"/>
      <c r="E354" s="4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6"/>
      <c r="B355" s="36"/>
      <c r="C355" s="36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6"/>
      <c r="B356" s="36"/>
      <c r="C356" s="36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6"/>
      <c r="B357" s="36"/>
      <c r="C357" s="36"/>
      <c r="D357" s="4"/>
      <c r="E357" s="4"/>
      <c r="F357" s="4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6"/>
      <c r="B358" s="36"/>
      <c r="C358" s="36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6"/>
      <c r="B359" s="36"/>
      <c r="C359" s="36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6"/>
      <c r="B360" s="36"/>
      <c r="C360" s="36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6"/>
      <c r="B361" s="36"/>
      <c r="C361" s="36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6"/>
      <c r="B362" s="36"/>
      <c r="C362" s="36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6"/>
      <c r="B363" s="36"/>
      <c r="C363" s="36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6"/>
      <c r="B364" s="36"/>
      <c r="C364" s="36"/>
      <c r="D364" s="4"/>
      <c r="E364" s="4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6"/>
      <c r="B365" s="36"/>
      <c r="C365" s="36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6"/>
      <c r="B366" s="36"/>
      <c r="C366" s="36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6"/>
      <c r="B367" s="36"/>
      <c r="C367" s="36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6"/>
      <c r="B368" s="36"/>
      <c r="C368" s="36"/>
      <c r="D368" s="4"/>
      <c r="E368" s="4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6"/>
      <c r="B369" s="36"/>
      <c r="C369" s="36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6"/>
      <c r="B370" s="36"/>
      <c r="C370" s="36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6"/>
      <c r="B371" s="36"/>
      <c r="C371" s="36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6"/>
      <c r="B372" s="36"/>
      <c r="C372" s="36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6"/>
      <c r="B373" s="36"/>
      <c r="C373" s="36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6"/>
      <c r="B374" s="36"/>
      <c r="C374" s="36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6"/>
      <c r="B375" s="36"/>
      <c r="C375" s="36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6"/>
      <c r="B376" s="36"/>
      <c r="C376" s="36"/>
      <c r="D376" s="4"/>
      <c r="E376" s="4"/>
      <c r="F376" s="4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6"/>
      <c r="B377" s="36"/>
      <c r="C377" s="36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6"/>
      <c r="B378" s="36"/>
      <c r="C378" s="36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6"/>
      <c r="B379" s="36"/>
      <c r="C379" s="36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6"/>
      <c r="B380" s="36"/>
      <c r="C380" s="36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6"/>
      <c r="B381" s="36"/>
      <c r="C381" s="36"/>
      <c r="D381" s="4"/>
      <c r="E381" s="4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6"/>
      <c r="B382" s="36"/>
      <c r="C382" s="36"/>
      <c r="D382" s="4"/>
      <c r="E382" s="4"/>
      <c r="F382" s="4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6"/>
      <c r="B383" s="36"/>
      <c r="C383" s="36"/>
      <c r="D383" s="4"/>
      <c r="E383" s="4"/>
      <c r="F383" s="4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6"/>
      <c r="B384" s="36"/>
      <c r="C384" s="36"/>
      <c r="D384" s="4"/>
      <c r="E384" s="4"/>
      <c r="F384" s="4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6"/>
      <c r="B385" s="36"/>
      <c r="C385" s="36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6"/>
      <c r="B386" s="36"/>
      <c r="C386" s="36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6"/>
      <c r="B387" s="36"/>
      <c r="C387" s="36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6"/>
      <c r="B388" s="36"/>
      <c r="C388" s="36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6"/>
      <c r="B389" s="36"/>
      <c r="C389" s="36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6"/>
      <c r="B390" s="36"/>
      <c r="C390" s="36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6"/>
      <c r="B391" s="36"/>
      <c r="C391" s="36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6"/>
      <c r="B392" s="36"/>
      <c r="C392" s="36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6"/>
      <c r="B393" s="36"/>
      <c r="C393" s="36"/>
      <c r="D393" s="4"/>
      <c r="E393" s="4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6"/>
      <c r="B394" s="36"/>
      <c r="C394" s="36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6"/>
      <c r="B395" s="36"/>
      <c r="C395" s="36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6"/>
      <c r="B396" s="36"/>
      <c r="C396" s="36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6"/>
      <c r="B397" s="36"/>
      <c r="C397" s="36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6"/>
      <c r="B398" s="36"/>
      <c r="C398" s="36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6"/>
      <c r="B399" s="36"/>
      <c r="C399" s="36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6"/>
      <c r="B400" s="36"/>
      <c r="C400" s="36"/>
      <c r="D400" s="4"/>
      <c r="E400" s="4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6"/>
      <c r="B401" s="36"/>
      <c r="C401" s="36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6"/>
      <c r="B402" s="36"/>
      <c r="C402" s="36"/>
      <c r="D402" s="4"/>
      <c r="E402" s="4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6"/>
      <c r="B403" s="36"/>
      <c r="C403" s="36"/>
      <c r="D403" s="4"/>
      <c r="E403" s="4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6"/>
      <c r="B404" s="36"/>
      <c r="C404" s="36"/>
      <c r="D404" s="4"/>
      <c r="E404" s="4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6"/>
      <c r="B405" s="36"/>
      <c r="C405" s="36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6"/>
      <c r="B406" s="36"/>
      <c r="C406" s="36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6"/>
      <c r="B407" s="36"/>
      <c r="C407" s="36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6"/>
      <c r="B408" s="36"/>
      <c r="C408" s="36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6"/>
      <c r="B409" s="36"/>
      <c r="C409" s="36"/>
      <c r="D409" s="4"/>
      <c r="E409" s="4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6"/>
      <c r="B410" s="36"/>
      <c r="C410" s="36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6"/>
      <c r="B411" s="36"/>
      <c r="C411" s="36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6"/>
      <c r="B412" s="36"/>
      <c r="C412" s="36"/>
      <c r="D412" s="4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6"/>
      <c r="B413" s="36"/>
      <c r="C413" s="36"/>
      <c r="D413" s="4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6"/>
      <c r="B414" s="36"/>
      <c r="C414" s="36"/>
      <c r="D414" s="4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6"/>
      <c r="B415" s="36"/>
      <c r="C415" s="36"/>
      <c r="D415" s="4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6"/>
      <c r="B416" s="36"/>
      <c r="C416" s="36"/>
      <c r="D416" s="4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6"/>
      <c r="B417" s="36"/>
      <c r="C417" s="36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6"/>
      <c r="B418" s="36"/>
      <c r="C418" s="36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6"/>
      <c r="B419" s="36"/>
      <c r="C419" s="36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6"/>
      <c r="B420" s="36"/>
      <c r="C420" s="36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6"/>
      <c r="B421" s="36"/>
      <c r="C421" s="36"/>
      <c r="D421" s="4"/>
      <c r="E421" s="4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6"/>
      <c r="B422" s="36"/>
      <c r="C422" s="36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6"/>
      <c r="B423" s="36"/>
      <c r="C423" s="36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6"/>
      <c r="B424" s="36"/>
      <c r="C424" s="36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6"/>
      <c r="B425" s="36"/>
      <c r="C425" s="36"/>
      <c r="D425" s="4"/>
      <c r="E425" s="4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6"/>
      <c r="B426" s="36"/>
      <c r="C426" s="36"/>
      <c r="D426" s="4"/>
      <c r="E426" s="4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6"/>
      <c r="B427" s="36"/>
      <c r="C427" s="36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6"/>
      <c r="B428" s="36"/>
      <c r="C428" s="36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6"/>
      <c r="B429" s="36"/>
      <c r="C429" s="36"/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6"/>
      <c r="B430" s="36"/>
      <c r="C430" s="36"/>
      <c r="D430" s="4"/>
      <c r="E430" s="4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6"/>
      <c r="B431" s="36"/>
      <c r="C431" s="36"/>
      <c r="D431" s="4"/>
      <c r="E431" s="4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6"/>
      <c r="B432" s="36"/>
      <c r="C432" s="36"/>
      <c r="D432" s="4"/>
      <c r="E432" s="4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6"/>
      <c r="B433" s="36"/>
      <c r="C433" s="36"/>
      <c r="D433" s="4"/>
      <c r="E433" s="4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6"/>
      <c r="B434" s="36"/>
      <c r="C434" s="36"/>
      <c r="D434" s="4"/>
      <c r="E434" s="4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6"/>
      <c r="B435" s="36"/>
      <c r="C435" s="36"/>
      <c r="D435" s="4"/>
      <c r="E435" s="4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6"/>
      <c r="B436" s="36"/>
      <c r="C436" s="36"/>
      <c r="D436" s="4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6"/>
      <c r="B437" s="36"/>
      <c r="C437" s="36"/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6"/>
      <c r="B438" s="36"/>
      <c r="C438" s="36"/>
      <c r="D438" s="4"/>
      <c r="E438" s="4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6"/>
      <c r="B439" s="36"/>
      <c r="C439" s="36"/>
      <c r="D439" s="4"/>
      <c r="E439" s="4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6"/>
      <c r="B440" s="36"/>
      <c r="C440" s="36"/>
      <c r="D440" s="4"/>
      <c r="E440" s="4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6"/>
      <c r="B441" s="36"/>
      <c r="C441" s="36"/>
      <c r="D441" s="4"/>
      <c r="E441" s="4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6"/>
      <c r="B442" s="36"/>
      <c r="C442" s="36"/>
      <c r="D442" s="4"/>
      <c r="E442" s="4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6"/>
      <c r="B443" s="36"/>
      <c r="C443" s="36"/>
      <c r="D443" s="4"/>
      <c r="E443" s="4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6"/>
      <c r="B444" s="36"/>
      <c r="C444" s="36"/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6"/>
      <c r="B445" s="36"/>
      <c r="C445" s="36"/>
      <c r="D445" s="4"/>
      <c r="E445" s="4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6"/>
      <c r="B446" s="36"/>
      <c r="C446" s="36"/>
      <c r="D446" s="4"/>
      <c r="E446" s="4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6"/>
      <c r="B447" s="36"/>
      <c r="C447" s="36"/>
      <c r="D447" s="4"/>
      <c r="E447" s="4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6"/>
      <c r="B448" s="36"/>
      <c r="C448" s="36"/>
      <c r="D448" s="4"/>
      <c r="E448" s="4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6"/>
      <c r="B449" s="36"/>
      <c r="C449" s="36"/>
      <c r="D449" s="4"/>
      <c r="E449" s="4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6"/>
      <c r="B450" s="36"/>
      <c r="C450" s="36"/>
      <c r="D450" s="4"/>
      <c r="E450" s="4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6"/>
      <c r="B451" s="36"/>
      <c r="C451" s="36"/>
      <c r="D451" s="4"/>
      <c r="E451" s="4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6"/>
      <c r="B452" s="36"/>
      <c r="C452" s="36"/>
      <c r="D452" s="4"/>
      <c r="E452" s="4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6"/>
      <c r="B453" s="36"/>
      <c r="C453" s="36"/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6"/>
      <c r="B454" s="36"/>
      <c r="C454" s="36"/>
      <c r="D454" s="4"/>
      <c r="E454" s="4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6"/>
      <c r="B455" s="36"/>
      <c r="C455" s="36"/>
      <c r="D455" s="4"/>
      <c r="E455" s="4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6"/>
      <c r="B456" s="36"/>
      <c r="C456" s="36"/>
      <c r="D456" s="4"/>
      <c r="E456" s="4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6"/>
      <c r="B457" s="36"/>
      <c r="C457" s="36"/>
      <c r="D457" s="4"/>
      <c r="E457" s="4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6"/>
      <c r="B458" s="36"/>
      <c r="C458" s="36"/>
      <c r="D458" s="4"/>
      <c r="E458" s="4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6"/>
      <c r="B459" s="36"/>
      <c r="C459" s="36"/>
      <c r="D459" s="4"/>
      <c r="E459" s="4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6"/>
      <c r="B460" s="36"/>
      <c r="C460" s="36"/>
      <c r="D460" s="4"/>
      <c r="E460" s="4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6"/>
      <c r="B461" s="36"/>
      <c r="C461" s="36"/>
      <c r="D461" s="4"/>
      <c r="E461" s="4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6"/>
      <c r="B462" s="36"/>
      <c r="C462" s="36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6"/>
      <c r="B463" s="36"/>
      <c r="C463" s="36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6"/>
      <c r="B464" s="36"/>
      <c r="C464" s="36"/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6"/>
      <c r="B465" s="36"/>
      <c r="C465" s="36"/>
      <c r="D465" s="4"/>
      <c r="E465" s="4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6"/>
      <c r="B466" s="36"/>
      <c r="C466" s="36"/>
      <c r="D466" s="4"/>
      <c r="E466" s="4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6"/>
      <c r="B467" s="36"/>
      <c r="C467" s="36"/>
      <c r="D467" s="4"/>
      <c r="E467" s="4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6"/>
      <c r="B468" s="36"/>
      <c r="C468" s="36"/>
      <c r="D468" s="4"/>
      <c r="E468" s="4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6"/>
      <c r="B469" s="36"/>
      <c r="C469" s="36"/>
      <c r="D469" s="4"/>
      <c r="E469" s="4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6"/>
      <c r="B470" s="36"/>
      <c r="C470" s="36"/>
      <c r="D470" s="4"/>
      <c r="E470" s="4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6"/>
      <c r="B471" s="36"/>
      <c r="C471" s="36"/>
      <c r="D471" s="4"/>
      <c r="E471" s="4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6"/>
      <c r="B472" s="36"/>
      <c r="C472" s="36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6"/>
      <c r="B473" s="36"/>
      <c r="C473" s="36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6"/>
      <c r="B474" s="36"/>
      <c r="C474" s="36"/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6"/>
      <c r="B475" s="36"/>
      <c r="C475" s="36"/>
      <c r="D475" s="4"/>
      <c r="E475" s="4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6"/>
      <c r="B476" s="36"/>
      <c r="C476" s="36"/>
      <c r="D476" s="4"/>
      <c r="E476" s="4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6"/>
      <c r="B477" s="36"/>
      <c r="C477" s="36"/>
      <c r="D477" s="4"/>
      <c r="E477" s="4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6"/>
      <c r="B478" s="36"/>
      <c r="C478" s="36"/>
      <c r="D478" s="4"/>
      <c r="E478" s="4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6"/>
      <c r="B479" s="36"/>
      <c r="C479" s="36"/>
      <c r="D479" s="4"/>
      <c r="E479" s="4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6"/>
      <c r="B480" s="36"/>
      <c r="C480" s="36"/>
      <c r="D480" s="4"/>
      <c r="E480" s="4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6"/>
      <c r="B481" s="36"/>
      <c r="C481" s="36"/>
      <c r="D481" s="4"/>
      <c r="E481" s="4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6"/>
      <c r="B482" s="36"/>
      <c r="C482" s="36"/>
      <c r="D482" s="4"/>
      <c r="E482" s="4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6"/>
      <c r="B483" s="36"/>
      <c r="C483" s="36"/>
      <c r="D483" s="4"/>
      <c r="E483" s="4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6"/>
      <c r="B484" s="36"/>
      <c r="C484" s="36"/>
      <c r="D484" s="4"/>
      <c r="E484" s="4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6"/>
      <c r="B485" s="36"/>
      <c r="C485" s="36"/>
      <c r="D485" s="4"/>
      <c r="E485" s="4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6"/>
      <c r="B486" s="36"/>
      <c r="C486" s="36"/>
      <c r="D486" s="4"/>
      <c r="E486" s="4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6"/>
      <c r="B487" s="36"/>
      <c r="C487" s="36"/>
      <c r="D487" s="4"/>
      <c r="E487" s="4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6"/>
      <c r="B488" s="36"/>
      <c r="C488" s="36"/>
      <c r="D488" s="4"/>
      <c r="E488" s="4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6"/>
      <c r="B489" s="36"/>
      <c r="C489" s="36"/>
      <c r="D489" s="4"/>
      <c r="E489" s="4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6"/>
      <c r="B490" s="36"/>
      <c r="C490" s="36"/>
      <c r="D490" s="4"/>
      <c r="E490" s="4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6"/>
      <c r="B491" s="36"/>
      <c r="C491" s="36"/>
      <c r="D491" s="4"/>
      <c r="E491" s="4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6"/>
      <c r="B492" s="36"/>
      <c r="C492" s="36"/>
      <c r="D492" s="4"/>
      <c r="E492" s="4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6"/>
      <c r="B493" s="36"/>
      <c r="C493" s="36"/>
      <c r="D493" s="4"/>
      <c r="E493" s="4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6"/>
      <c r="B494" s="36"/>
      <c r="C494" s="36"/>
      <c r="D494" s="4"/>
      <c r="E494" s="4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6"/>
      <c r="B495" s="36"/>
      <c r="C495" s="36"/>
      <c r="D495" s="4"/>
      <c r="E495" s="4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6"/>
      <c r="B496" s="36"/>
      <c r="C496" s="36"/>
      <c r="D496" s="4"/>
      <c r="E496" s="4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6"/>
      <c r="B497" s="36"/>
      <c r="C497" s="36"/>
      <c r="D497" s="4"/>
      <c r="E497" s="4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6"/>
      <c r="B498" s="36"/>
      <c r="C498" s="36"/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6"/>
      <c r="B499" s="36"/>
      <c r="C499" s="36"/>
      <c r="D499" s="4"/>
      <c r="E499" s="4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6"/>
      <c r="B500" s="36"/>
      <c r="C500" s="36"/>
      <c r="D500" s="4"/>
      <c r="E500" s="4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6"/>
      <c r="B501" s="36"/>
      <c r="C501" s="36"/>
      <c r="D501" s="4"/>
      <c r="E501" s="4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6"/>
      <c r="B502" s="36"/>
      <c r="C502" s="36"/>
      <c r="D502" s="4"/>
      <c r="E502" s="4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6"/>
      <c r="B503" s="36"/>
      <c r="C503" s="36"/>
      <c r="D503" s="4"/>
      <c r="E503" s="4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6"/>
      <c r="B504" s="36"/>
      <c r="C504" s="36"/>
      <c r="D504" s="4"/>
      <c r="E504" s="4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6"/>
      <c r="B505" s="36"/>
      <c r="C505" s="36"/>
      <c r="D505" s="4"/>
      <c r="E505" s="4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6"/>
      <c r="B506" s="36"/>
      <c r="C506" s="36"/>
      <c r="D506" s="4"/>
      <c r="E506" s="4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6"/>
      <c r="B507" s="36"/>
      <c r="C507" s="36"/>
      <c r="D507" s="4"/>
      <c r="E507" s="4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6"/>
      <c r="B508" s="36"/>
      <c r="C508" s="36"/>
      <c r="D508" s="4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6"/>
      <c r="B509" s="36"/>
      <c r="C509" s="36"/>
      <c r="D509" s="4"/>
      <c r="E509" s="4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6"/>
      <c r="B510" s="36"/>
      <c r="C510" s="36"/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6"/>
      <c r="B511" s="36"/>
      <c r="C511" s="36"/>
      <c r="D511" s="4"/>
      <c r="E511" s="4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6"/>
      <c r="B512" s="36"/>
      <c r="C512" s="36"/>
      <c r="D512" s="4"/>
      <c r="E512" s="4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6"/>
      <c r="B513" s="36"/>
      <c r="C513" s="36"/>
      <c r="D513" s="4"/>
      <c r="E513" s="4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6"/>
      <c r="B514" s="36"/>
      <c r="C514" s="36"/>
      <c r="D514" s="4"/>
      <c r="E514" s="4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6"/>
      <c r="B515" s="36"/>
      <c r="C515" s="36"/>
      <c r="D515" s="4"/>
      <c r="E515" s="4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6"/>
      <c r="B516" s="36"/>
      <c r="C516" s="36"/>
      <c r="D516" s="4"/>
      <c r="E516" s="4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6"/>
      <c r="B517" s="36"/>
      <c r="C517" s="36"/>
      <c r="D517" s="4"/>
      <c r="E517" s="4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6"/>
      <c r="B518" s="36"/>
      <c r="C518" s="36"/>
      <c r="D518" s="4"/>
      <c r="E518" s="4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6"/>
      <c r="B519" s="36"/>
      <c r="C519" s="36"/>
      <c r="D519" s="4"/>
      <c r="E519" s="4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6"/>
      <c r="B520" s="36"/>
      <c r="C520" s="36"/>
      <c r="D520" s="4"/>
      <c r="E520" s="4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6"/>
      <c r="B521" s="36"/>
      <c r="C521" s="36"/>
      <c r="D521" s="4"/>
      <c r="E521" s="4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6"/>
      <c r="B522" s="36"/>
      <c r="C522" s="36"/>
      <c r="D522" s="4"/>
      <c r="E522" s="4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6"/>
      <c r="B523" s="36"/>
      <c r="C523" s="36"/>
      <c r="D523" s="4"/>
      <c r="E523" s="4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6"/>
      <c r="B524" s="36"/>
      <c r="C524" s="36"/>
      <c r="D524" s="4"/>
      <c r="E524" s="4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6"/>
      <c r="B525" s="36"/>
      <c r="C525" s="36"/>
      <c r="D525" s="4"/>
      <c r="E525" s="4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6"/>
      <c r="B526" s="36"/>
      <c r="C526" s="36"/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6"/>
      <c r="B527" s="36"/>
      <c r="C527" s="36"/>
      <c r="D527" s="4"/>
      <c r="E527" s="4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6"/>
      <c r="B528" s="36"/>
      <c r="C528" s="36"/>
      <c r="D528" s="4"/>
      <c r="E528" s="4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6"/>
      <c r="B529" s="36"/>
      <c r="C529" s="36"/>
      <c r="D529" s="4"/>
      <c r="E529" s="4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6"/>
      <c r="B530" s="36"/>
      <c r="C530" s="36"/>
      <c r="D530" s="4"/>
      <c r="E530" s="4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6"/>
      <c r="B531" s="36"/>
      <c r="C531" s="36"/>
      <c r="D531" s="4"/>
      <c r="E531" s="4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6"/>
      <c r="B532" s="36"/>
      <c r="C532" s="36"/>
      <c r="D532" s="4"/>
      <c r="E532" s="4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6"/>
      <c r="B533" s="36"/>
      <c r="C533" s="36"/>
      <c r="D533" s="4"/>
      <c r="E533" s="4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6"/>
      <c r="B534" s="36"/>
      <c r="C534" s="36"/>
      <c r="D534" s="4"/>
      <c r="E534" s="4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6"/>
      <c r="B535" s="36"/>
      <c r="C535" s="36"/>
      <c r="D535" s="4"/>
      <c r="E535" s="4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6"/>
      <c r="B536" s="36"/>
      <c r="C536" s="36"/>
      <c r="D536" s="4"/>
      <c r="E536" s="4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6"/>
      <c r="B537" s="36"/>
      <c r="C537" s="36"/>
      <c r="D537" s="4"/>
      <c r="E537" s="4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6"/>
      <c r="B538" s="36"/>
      <c r="C538" s="36"/>
      <c r="D538" s="4"/>
      <c r="E538" s="4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6"/>
      <c r="B539" s="36"/>
      <c r="C539" s="36"/>
      <c r="D539" s="4"/>
      <c r="E539" s="4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6"/>
      <c r="B540" s="36"/>
      <c r="C540" s="36"/>
      <c r="D540" s="4"/>
      <c r="E540" s="4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6"/>
      <c r="B541" s="36"/>
      <c r="C541" s="36"/>
      <c r="D541" s="4"/>
      <c r="E541" s="4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6"/>
      <c r="B542" s="36"/>
      <c r="C542" s="36"/>
      <c r="D542" s="4"/>
      <c r="E542" s="4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6"/>
      <c r="B543" s="36"/>
      <c r="C543" s="36"/>
      <c r="D543" s="4"/>
      <c r="E543" s="4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6"/>
      <c r="B544" s="36"/>
      <c r="C544" s="36"/>
      <c r="D544" s="4"/>
      <c r="E544" s="4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6"/>
      <c r="B545" s="36"/>
      <c r="C545" s="36"/>
      <c r="D545" s="4"/>
      <c r="E545" s="4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6"/>
      <c r="B546" s="36"/>
      <c r="C546" s="36"/>
      <c r="D546" s="4"/>
      <c r="E546" s="4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6"/>
      <c r="B547" s="36"/>
      <c r="C547" s="36"/>
      <c r="D547" s="4"/>
      <c r="E547" s="4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6"/>
      <c r="B548" s="36"/>
      <c r="C548" s="36"/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6"/>
      <c r="B549" s="36"/>
      <c r="C549" s="36"/>
      <c r="D549" s="4"/>
      <c r="E549" s="4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6"/>
      <c r="B550" s="36"/>
      <c r="C550" s="36"/>
      <c r="D550" s="4"/>
      <c r="E550" s="4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6"/>
      <c r="B551" s="36"/>
      <c r="C551" s="36"/>
      <c r="D551" s="4"/>
      <c r="E551" s="4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6"/>
      <c r="B552" s="36"/>
      <c r="C552" s="36"/>
      <c r="D552" s="4"/>
      <c r="E552" s="4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6"/>
      <c r="B553" s="36"/>
      <c r="C553" s="36"/>
      <c r="D553" s="4"/>
      <c r="E553" s="4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6"/>
      <c r="B554" s="36"/>
      <c r="C554" s="36"/>
      <c r="D554" s="4"/>
      <c r="E554" s="4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6"/>
      <c r="B555" s="36"/>
      <c r="C555" s="36"/>
      <c r="D555" s="4"/>
      <c r="E555" s="4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6"/>
      <c r="B556" s="36"/>
      <c r="C556" s="36"/>
      <c r="D556" s="4"/>
      <c r="E556" s="4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6"/>
      <c r="B557" s="36"/>
      <c r="C557" s="36"/>
      <c r="D557" s="4"/>
      <c r="E557" s="4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6"/>
      <c r="B558" s="36"/>
      <c r="C558" s="36"/>
      <c r="D558" s="4"/>
      <c r="E558" s="4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6"/>
      <c r="B559" s="36"/>
      <c r="C559" s="36"/>
      <c r="D559" s="4"/>
      <c r="E559" s="4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6"/>
      <c r="B560" s="36"/>
      <c r="C560" s="36"/>
      <c r="D560" s="4"/>
      <c r="E560" s="4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6"/>
      <c r="B561" s="36"/>
      <c r="C561" s="36"/>
      <c r="D561" s="4"/>
      <c r="E561" s="4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6"/>
      <c r="B562" s="36"/>
      <c r="C562" s="36"/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6"/>
      <c r="B563" s="36"/>
      <c r="C563" s="36"/>
      <c r="D563" s="4"/>
      <c r="E563" s="4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6"/>
      <c r="B564" s="36"/>
      <c r="C564" s="36"/>
      <c r="D564" s="4"/>
      <c r="E564" s="4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6"/>
      <c r="B565" s="36"/>
      <c r="C565" s="36"/>
      <c r="D565" s="4"/>
      <c r="E565" s="4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6"/>
      <c r="B566" s="36"/>
      <c r="C566" s="36"/>
      <c r="D566" s="4"/>
      <c r="E566" s="4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6"/>
      <c r="B567" s="36"/>
      <c r="C567" s="36"/>
      <c r="D567" s="4"/>
      <c r="E567" s="4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6"/>
      <c r="B568" s="36"/>
      <c r="C568" s="36"/>
      <c r="D568" s="4"/>
      <c r="E568" s="4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6"/>
      <c r="B569" s="36"/>
      <c r="C569" s="36"/>
      <c r="D569" s="4"/>
      <c r="E569" s="4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6"/>
      <c r="B570" s="36"/>
      <c r="C570" s="36"/>
      <c r="D570" s="4"/>
      <c r="E570" s="4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6"/>
      <c r="B571" s="36"/>
      <c r="C571" s="36"/>
      <c r="D571" s="4"/>
      <c r="E571" s="4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6"/>
      <c r="B572" s="36"/>
      <c r="C572" s="36"/>
      <c r="D572" s="4"/>
      <c r="E572" s="4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6"/>
      <c r="B573" s="36"/>
      <c r="C573" s="36"/>
      <c r="D573" s="4"/>
      <c r="E573" s="4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6"/>
      <c r="B574" s="36"/>
      <c r="C574" s="36"/>
      <c r="D574" s="4"/>
      <c r="E574" s="4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6"/>
      <c r="B575" s="36"/>
      <c r="C575" s="36"/>
      <c r="D575" s="4"/>
      <c r="E575" s="4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6"/>
      <c r="B576" s="36"/>
      <c r="C576" s="36"/>
      <c r="D576" s="4"/>
      <c r="E576" s="4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6"/>
      <c r="B577" s="36"/>
      <c r="C577" s="36"/>
      <c r="D577" s="4"/>
      <c r="E577" s="4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6"/>
      <c r="B578" s="36"/>
      <c r="C578" s="36"/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6"/>
      <c r="B579" s="36"/>
      <c r="C579" s="36"/>
      <c r="D579" s="4"/>
      <c r="E579" s="4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6"/>
      <c r="B580" s="36"/>
      <c r="C580" s="36"/>
      <c r="D580" s="4"/>
      <c r="E580" s="4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6"/>
      <c r="B581" s="36"/>
      <c r="C581" s="36"/>
      <c r="D581" s="4"/>
      <c r="E581" s="4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6"/>
      <c r="B582" s="36"/>
      <c r="C582" s="36"/>
      <c r="D582" s="4"/>
      <c r="E582" s="4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6"/>
      <c r="B583" s="36"/>
      <c r="C583" s="36"/>
      <c r="D583" s="4"/>
      <c r="E583" s="4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6"/>
      <c r="B584" s="36"/>
      <c r="C584" s="36"/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6"/>
      <c r="B585" s="36"/>
      <c r="C585" s="36"/>
      <c r="D585" s="4"/>
      <c r="E585" s="4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6"/>
      <c r="B586" s="36"/>
      <c r="C586" s="36"/>
      <c r="D586" s="4"/>
      <c r="E586" s="4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6"/>
      <c r="B587" s="36"/>
      <c r="C587" s="36"/>
      <c r="D587" s="4"/>
      <c r="E587" s="4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6"/>
      <c r="B588" s="36"/>
      <c r="C588" s="36"/>
      <c r="D588" s="4"/>
      <c r="E588" s="4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6"/>
      <c r="B589" s="36"/>
      <c r="C589" s="36"/>
      <c r="D589" s="4"/>
      <c r="E589" s="4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6"/>
      <c r="B590" s="36"/>
      <c r="C590" s="36"/>
      <c r="D590" s="4"/>
      <c r="E590" s="4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6"/>
      <c r="B591" s="36"/>
      <c r="C591" s="36"/>
      <c r="D591" s="4"/>
      <c r="E591" s="4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6"/>
      <c r="B592" s="36"/>
      <c r="C592" s="36"/>
      <c r="D592" s="4"/>
      <c r="E592" s="4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6"/>
      <c r="B593" s="36"/>
      <c r="C593" s="36"/>
      <c r="D593" s="4"/>
      <c r="E593" s="4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6"/>
      <c r="B594" s="36"/>
      <c r="C594" s="36"/>
      <c r="D594" s="4"/>
      <c r="E594" s="4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6"/>
      <c r="B595" s="36"/>
      <c r="C595" s="36"/>
      <c r="D595" s="4"/>
      <c r="E595" s="4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6"/>
      <c r="B596" s="36"/>
      <c r="C596" s="36"/>
      <c r="D596" s="4"/>
      <c r="E596" s="4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6"/>
      <c r="B597" s="36"/>
      <c r="C597" s="36"/>
      <c r="D597" s="4"/>
      <c r="E597" s="4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6"/>
      <c r="B598" s="36"/>
      <c r="C598" s="36"/>
      <c r="D598" s="4"/>
      <c r="E598" s="4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6"/>
      <c r="B599" s="36"/>
      <c r="C599" s="36"/>
      <c r="D599" s="4"/>
      <c r="E599" s="4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6"/>
      <c r="B600" s="36"/>
      <c r="C600" s="36"/>
      <c r="D600" s="4"/>
      <c r="E600" s="4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6"/>
      <c r="B601" s="36"/>
      <c r="C601" s="36"/>
      <c r="D601" s="4"/>
      <c r="E601" s="4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6"/>
      <c r="B602" s="36"/>
      <c r="C602" s="36"/>
      <c r="D602" s="4"/>
      <c r="E602" s="4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6"/>
      <c r="B603" s="36"/>
      <c r="C603" s="36"/>
      <c r="D603" s="4"/>
      <c r="E603" s="4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6"/>
      <c r="B604" s="36"/>
      <c r="C604" s="36"/>
      <c r="D604" s="4"/>
      <c r="E604" s="4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6"/>
      <c r="B605" s="36"/>
      <c r="C605" s="36"/>
      <c r="D605" s="4"/>
      <c r="E605" s="4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6"/>
      <c r="B606" s="36"/>
      <c r="C606" s="36"/>
      <c r="D606" s="4"/>
      <c r="E606" s="4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6"/>
      <c r="B607" s="36"/>
      <c r="C607" s="36"/>
      <c r="D607" s="4"/>
      <c r="E607" s="4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6"/>
      <c r="B608" s="36"/>
      <c r="C608" s="36"/>
      <c r="D608" s="4"/>
      <c r="E608" s="4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6"/>
      <c r="B609" s="36"/>
      <c r="C609" s="36"/>
      <c r="D609" s="4"/>
      <c r="E609" s="4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6"/>
      <c r="B610" s="36"/>
      <c r="C610" s="36"/>
      <c r="D610" s="4"/>
      <c r="E610" s="4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6"/>
      <c r="B611" s="36"/>
      <c r="C611" s="36"/>
      <c r="D611" s="4"/>
      <c r="E611" s="4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6"/>
      <c r="B612" s="36"/>
      <c r="C612" s="36"/>
      <c r="D612" s="4"/>
      <c r="E612" s="4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6"/>
      <c r="B613" s="36"/>
      <c r="C613" s="36"/>
      <c r="D613" s="4"/>
      <c r="E613" s="4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6"/>
      <c r="B614" s="36"/>
      <c r="C614" s="36"/>
      <c r="D614" s="4"/>
      <c r="E614" s="4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6"/>
      <c r="B615" s="36"/>
      <c r="C615" s="36"/>
      <c r="D615" s="4"/>
      <c r="E615" s="4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6"/>
      <c r="B616" s="36"/>
      <c r="C616" s="36"/>
      <c r="D616" s="4"/>
      <c r="E616" s="4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6"/>
      <c r="B617" s="36"/>
      <c r="C617" s="36"/>
      <c r="D617" s="4"/>
      <c r="E617" s="4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6"/>
      <c r="B618" s="36"/>
      <c r="C618" s="36"/>
      <c r="D618" s="4"/>
      <c r="E618" s="4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6"/>
      <c r="B619" s="36"/>
      <c r="C619" s="36"/>
      <c r="D619" s="4"/>
      <c r="E619" s="4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6"/>
      <c r="B620" s="36"/>
      <c r="C620" s="36"/>
      <c r="D620" s="4"/>
      <c r="E620" s="4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6"/>
      <c r="B621" s="36"/>
      <c r="C621" s="36"/>
      <c r="D621" s="4"/>
      <c r="E621" s="4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6"/>
      <c r="B622" s="36"/>
      <c r="C622" s="36"/>
      <c r="D622" s="4"/>
      <c r="E622" s="4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6"/>
      <c r="B623" s="36"/>
      <c r="C623" s="36"/>
      <c r="D623" s="4"/>
      <c r="E623" s="4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6"/>
      <c r="B624" s="36"/>
      <c r="C624" s="36"/>
      <c r="D624" s="4"/>
      <c r="E624" s="4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6"/>
      <c r="B625" s="36"/>
      <c r="C625" s="36"/>
      <c r="D625" s="4"/>
      <c r="E625" s="4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6"/>
      <c r="B626" s="36"/>
      <c r="C626" s="36"/>
      <c r="D626" s="4"/>
      <c r="E626" s="4"/>
      <c r="F626" s="4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6"/>
      <c r="B627" s="36"/>
      <c r="C627" s="36"/>
      <c r="D627" s="4"/>
      <c r="E627" s="4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6"/>
      <c r="B628" s="36"/>
      <c r="C628" s="36"/>
      <c r="D628" s="4"/>
      <c r="E628" s="4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6"/>
      <c r="B629" s="36"/>
      <c r="C629" s="36"/>
      <c r="D629" s="4"/>
      <c r="E629" s="4"/>
      <c r="F629" s="4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6"/>
      <c r="B630" s="36"/>
      <c r="C630" s="36"/>
      <c r="D630" s="4"/>
      <c r="E630" s="4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6"/>
      <c r="B631" s="36"/>
      <c r="C631" s="36"/>
      <c r="D631" s="4"/>
      <c r="E631" s="4"/>
      <c r="F631" s="4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6"/>
      <c r="B632" s="36"/>
      <c r="C632" s="36"/>
      <c r="D632" s="4"/>
      <c r="E632" s="4"/>
      <c r="F632" s="4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6"/>
      <c r="B633" s="36"/>
      <c r="C633" s="36"/>
      <c r="D633" s="4"/>
      <c r="E633" s="4"/>
      <c r="F633" s="4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6"/>
      <c r="B634" s="36"/>
      <c r="C634" s="36"/>
      <c r="D634" s="4"/>
      <c r="E634" s="4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6"/>
      <c r="B635" s="36"/>
      <c r="C635" s="36"/>
      <c r="D635" s="4"/>
      <c r="E635" s="4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6"/>
      <c r="B636" s="36"/>
      <c r="C636" s="36"/>
      <c r="D636" s="4"/>
      <c r="E636" s="4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6"/>
      <c r="B637" s="36"/>
      <c r="C637" s="36"/>
      <c r="D637" s="4"/>
      <c r="E637" s="4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6"/>
      <c r="B638" s="36"/>
      <c r="C638" s="36"/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6"/>
      <c r="B639" s="36"/>
      <c r="C639" s="36"/>
      <c r="D639" s="4"/>
      <c r="E639" s="4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6"/>
      <c r="B640" s="36"/>
      <c r="C640" s="36"/>
      <c r="D640" s="4"/>
      <c r="E640" s="4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6"/>
      <c r="B641" s="36"/>
      <c r="C641" s="36"/>
      <c r="D641" s="4"/>
      <c r="E641" s="4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6"/>
      <c r="B642" s="36"/>
      <c r="C642" s="36"/>
      <c r="D642" s="4"/>
      <c r="E642" s="4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6"/>
      <c r="B643" s="36"/>
      <c r="C643" s="36"/>
      <c r="D643" s="4"/>
      <c r="E643" s="4"/>
      <c r="F643" s="4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6"/>
      <c r="B644" s="36"/>
      <c r="C644" s="36"/>
      <c r="D644" s="4"/>
      <c r="E644" s="4"/>
      <c r="F644" s="4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6"/>
      <c r="B645" s="36"/>
      <c r="C645" s="36"/>
      <c r="D645" s="4"/>
      <c r="E645" s="4"/>
      <c r="F645" s="4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6"/>
      <c r="B646" s="36"/>
      <c r="C646" s="36"/>
      <c r="D646" s="4"/>
      <c r="E646" s="4"/>
      <c r="F646" s="4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6"/>
      <c r="B647" s="36"/>
      <c r="C647" s="36"/>
      <c r="D647" s="4"/>
      <c r="E647" s="4"/>
      <c r="F647" s="4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6"/>
      <c r="B648" s="36"/>
      <c r="C648" s="36"/>
      <c r="D648" s="4"/>
      <c r="E648" s="4"/>
      <c r="F648" s="4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6"/>
      <c r="B649" s="36"/>
      <c r="C649" s="36"/>
      <c r="D649" s="4"/>
      <c r="E649" s="4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6"/>
      <c r="B650" s="36"/>
      <c r="C650" s="36"/>
      <c r="D650" s="4"/>
      <c r="E650" s="4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6"/>
      <c r="B651" s="36"/>
      <c r="C651" s="36"/>
      <c r="D651" s="4"/>
      <c r="E651" s="4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6"/>
      <c r="B652" s="36"/>
      <c r="C652" s="36"/>
      <c r="D652" s="4"/>
      <c r="E652" s="4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6"/>
      <c r="B653" s="36"/>
      <c r="C653" s="36"/>
      <c r="D653" s="4"/>
      <c r="E653" s="4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6"/>
      <c r="B654" s="36"/>
      <c r="C654" s="36"/>
      <c r="D654" s="4"/>
      <c r="E654" s="4"/>
      <c r="F654" s="4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6"/>
      <c r="B655" s="36"/>
      <c r="C655" s="36"/>
      <c r="D655" s="4"/>
      <c r="E655" s="4"/>
      <c r="F655" s="4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6"/>
      <c r="B656" s="36"/>
      <c r="C656" s="36"/>
      <c r="D656" s="4"/>
      <c r="E656" s="4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6"/>
      <c r="B657" s="36"/>
      <c r="C657" s="36"/>
      <c r="D657" s="4"/>
      <c r="E657" s="4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6"/>
      <c r="B658" s="36"/>
      <c r="C658" s="36"/>
      <c r="D658" s="4"/>
      <c r="E658" s="4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6"/>
      <c r="B659" s="36"/>
      <c r="C659" s="36"/>
      <c r="D659" s="4"/>
      <c r="E659" s="4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6"/>
      <c r="B660" s="36"/>
      <c r="C660" s="36"/>
      <c r="D660" s="4"/>
      <c r="E660" s="4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6"/>
      <c r="B661" s="36"/>
      <c r="C661" s="36"/>
      <c r="D661" s="4"/>
      <c r="E661" s="4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6"/>
      <c r="B662" s="36"/>
      <c r="C662" s="36"/>
      <c r="D662" s="4"/>
      <c r="E662" s="4"/>
      <c r="F662" s="4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6"/>
      <c r="B663" s="36"/>
      <c r="C663" s="36"/>
      <c r="D663" s="4"/>
      <c r="E663" s="4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6"/>
      <c r="B664" s="36"/>
      <c r="C664" s="36"/>
      <c r="D664" s="4"/>
      <c r="E664" s="4"/>
      <c r="F664" s="4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6"/>
      <c r="B665" s="36"/>
      <c r="C665" s="36"/>
      <c r="D665" s="4"/>
      <c r="E665" s="4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6"/>
      <c r="B666" s="36"/>
      <c r="C666" s="36"/>
      <c r="D666" s="4"/>
      <c r="E666" s="4"/>
      <c r="F666" s="4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6"/>
      <c r="B667" s="36"/>
      <c r="C667" s="36"/>
      <c r="D667" s="4"/>
      <c r="E667" s="4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6"/>
      <c r="B668" s="36"/>
      <c r="C668" s="36"/>
      <c r="D668" s="4"/>
      <c r="E668" s="4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6"/>
      <c r="B669" s="36"/>
      <c r="C669" s="36"/>
      <c r="D669" s="4"/>
      <c r="E669" s="4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6"/>
      <c r="B670" s="36"/>
      <c r="C670" s="36"/>
      <c r="D670" s="4"/>
      <c r="E670" s="4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6"/>
      <c r="B671" s="36"/>
      <c r="C671" s="36"/>
      <c r="D671" s="4"/>
      <c r="E671" s="4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6"/>
      <c r="B672" s="36"/>
      <c r="C672" s="36"/>
      <c r="D672" s="4"/>
      <c r="E672" s="4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6"/>
      <c r="B673" s="36"/>
      <c r="C673" s="36"/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6"/>
      <c r="B674" s="36"/>
      <c r="C674" s="36"/>
      <c r="D674" s="4"/>
      <c r="E674" s="4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6"/>
      <c r="B675" s="36"/>
      <c r="C675" s="36"/>
      <c r="D675" s="4"/>
      <c r="E675" s="4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6"/>
      <c r="B676" s="36"/>
      <c r="C676" s="36"/>
      <c r="D676" s="4"/>
      <c r="E676" s="4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6"/>
      <c r="B677" s="36"/>
      <c r="C677" s="36"/>
      <c r="D677" s="4"/>
      <c r="E677" s="4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6"/>
      <c r="B678" s="36"/>
      <c r="C678" s="36"/>
      <c r="D678" s="4"/>
      <c r="E678" s="4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6"/>
      <c r="B679" s="36"/>
      <c r="C679" s="36"/>
      <c r="D679" s="4"/>
      <c r="E679" s="4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6"/>
      <c r="B680" s="36"/>
      <c r="C680" s="36"/>
      <c r="D680" s="4"/>
      <c r="E680" s="4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6"/>
      <c r="B681" s="36"/>
      <c r="C681" s="36"/>
      <c r="D681" s="4"/>
      <c r="E681" s="4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6"/>
      <c r="B682" s="36"/>
      <c r="C682" s="36"/>
      <c r="D682" s="4"/>
      <c r="E682" s="4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6"/>
      <c r="B683" s="36"/>
      <c r="C683" s="36"/>
      <c r="D683" s="4"/>
      <c r="E683" s="4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6"/>
      <c r="B684" s="36"/>
      <c r="C684" s="36"/>
      <c r="D684" s="4"/>
      <c r="E684" s="4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6"/>
      <c r="B685" s="36"/>
      <c r="C685" s="36"/>
      <c r="D685" s="4"/>
      <c r="E685" s="4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6"/>
      <c r="B686" s="36"/>
      <c r="C686" s="36"/>
      <c r="D686" s="4"/>
      <c r="E686" s="4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6"/>
      <c r="B687" s="36"/>
      <c r="C687" s="36"/>
      <c r="D687" s="4"/>
      <c r="E687" s="4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6"/>
      <c r="B688" s="36"/>
      <c r="C688" s="36"/>
      <c r="D688" s="4"/>
      <c r="E688" s="4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6"/>
      <c r="B689" s="36"/>
      <c r="C689" s="36"/>
      <c r="D689" s="4"/>
      <c r="E689" s="4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6"/>
      <c r="B690" s="36"/>
      <c r="C690" s="36"/>
      <c r="D690" s="4"/>
      <c r="E690" s="4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6"/>
      <c r="B691" s="36"/>
      <c r="C691" s="36"/>
      <c r="D691" s="4"/>
      <c r="E691" s="4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6"/>
      <c r="B692" s="36"/>
      <c r="C692" s="36"/>
      <c r="D692" s="4"/>
      <c r="E692" s="4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6"/>
      <c r="B693" s="36"/>
      <c r="C693" s="36"/>
      <c r="D693" s="4"/>
      <c r="E693" s="4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6"/>
      <c r="B694" s="36"/>
      <c r="C694" s="36"/>
      <c r="D694" s="4"/>
      <c r="E694" s="4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6"/>
      <c r="B695" s="36"/>
      <c r="C695" s="36"/>
      <c r="D695" s="4"/>
      <c r="E695" s="4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6"/>
      <c r="B696" s="36"/>
      <c r="C696" s="36"/>
      <c r="D696" s="4"/>
      <c r="E696" s="4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6"/>
      <c r="B697" s="36"/>
      <c r="C697" s="36"/>
      <c r="D697" s="4"/>
      <c r="E697" s="4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6"/>
      <c r="B698" s="36"/>
      <c r="C698" s="36"/>
      <c r="D698" s="4"/>
      <c r="E698" s="4"/>
      <c r="F698" s="4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6"/>
      <c r="B699" s="36"/>
      <c r="C699" s="36"/>
      <c r="D699" s="4"/>
      <c r="E699" s="4"/>
      <c r="F699" s="4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6"/>
      <c r="B700" s="36"/>
      <c r="C700" s="36"/>
      <c r="D700" s="4"/>
      <c r="E700" s="4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6"/>
      <c r="B701" s="36"/>
      <c r="C701" s="36"/>
      <c r="D701" s="4"/>
      <c r="E701" s="4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6"/>
      <c r="B702" s="36"/>
      <c r="C702" s="36"/>
      <c r="D702" s="4"/>
      <c r="E702" s="4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6"/>
      <c r="B703" s="36"/>
      <c r="C703" s="36"/>
      <c r="D703" s="4"/>
      <c r="E703" s="4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6"/>
      <c r="B704" s="36"/>
      <c r="C704" s="36"/>
      <c r="D704" s="4"/>
      <c r="E704" s="4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6"/>
      <c r="B705" s="36"/>
      <c r="C705" s="36"/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6"/>
      <c r="B706" s="36"/>
      <c r="C706" s="36"/>
      <c r="D706" s="4"/>
      <c r="E706" s="4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6"/>
      <c r="B707" s="36"/>
      <c r="C707" s="36"/>
      <c r="D707" s="4"/>
      <c r="E707" s="4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6"/>
      <c r="B708" s="36"/>
      <c r="C708" s="36"/>
      <c r="D708" s="4"/>
      <c r="E708" s="4"/>
      <c r="F708" s="4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6"/>
      <c r="B709" s="36"/>
      <c r="C709" s="36"/>
      <c r="D709" s="4"/>
      <c r="E709" s="4"/>
      <c r="F709" s="4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6"/>
      <c r="B710" s="36"/>
      <c r="C710" s="36"/>
      <c r="D710" s="4"/>
      <c r="E710" s="4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6"/>
      <c r="B711" s="36"/>
      <c r="C711" s="36"/>
      <c r="D711" s="4"/>
      <c r="E711" s="4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6"/>
      <c r="B712" s="36"/>
      <c r="C712" s="36"/>
      <c r="D712" s="4"/>
      <c r="E712" s="4"/>
      <c r="F712" s="4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6"/>
      <c r="B713" s="36"/>
      <c r="C713" s="36"/>
      <c r="D713" s="4"/>
      <c r="E713" s="4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6"/>
      <c r="B714" s="36"/>
      <c r="C714" s="36"/>
      <c r="D714" s="4"/>
      <c r="E714" s="4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6"/>
      <c r="B715" s="36"/>
      <c r="C715" s="36"/>
      <c r="D715" s="4"/>
      <c r="E715" s="4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6"/>
      <c r="B716" s="36"/>
      <c r="C716" s="36"/>
      <c r="D716" s="4"/>
      <c r="E716" s="4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6"/>
      <c r="B717" s="36"/>
      <c r="C717" s="36"/>
      <c r="D717" s="4"/>
      <c r="E717" s="4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6"/>
      <c r="B718" s="36"/>
      <c r="C718" s="36"/>
      <c r="D718" s="4"/>
      <c r="E718" s="4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6"/>
      <c r="B719" s="36"/>
      <c r="C719" s="36"/>
      <c r="D719" s="4"/>
      <c r="E719" s="4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6"/>
      <c r="B720" s="36"/>
      <c r="C720" s="36"/>
      <c r="D720" s="4"/>
      <c r="E720" s="4"/>
      <c r="F720" s="4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6"/>
      <c r="B721" s="36"/>
      <c r="C721" s="36"/>
      <c r="D721" s="4"/>
      <c r="E721" s="4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6"/>
      <c r="B722" s="36"/>
      <c r="C722" s="36"/>
      <c r="D722" s="4"/>
      <c r="E722" s="4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6"/>
      <c r="B723" s="36"/>
      <c r="C723" s="36"/>
      <c r="D723" s="4"/>
      <c r="E723" s="4"/>
      <c r="F723" s="4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6"/>
      <c r="B724" s="36"/>
      <c r="C724" s="36"/>
      <c r="D724" s="4"/>
      <c r="E724" s="4"/>
      <c r="F724" s="4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6"/>
      <c r="B725" s="36"/>
      <c r="C725" s="36"/>
      <c r="D725" s="4"/>
      <c r="E725" s="4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6"/>
      <c r="B726" s="36"/>
      <c r="C726" s="36"/>
      <c r="D726" s="4"/>
      <c r="E726" s="4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6"/>
      <c r="B727" s="36"/>
      <c r="C727" s="36"/>
      <c r="D727" s="4"/>
      <c r="E727" s="4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6"/>
      <c r="B728" s="36"/>
      <c r="C728" s="36"/>
      <c r="D728" s="4"/>
      <c r="E728" s="4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6"/>
      <c r="B729" s="36"/>
      <c r="C729" s="36"/>
      <c r="D729" s="4"/>
      <c r="E729" s="4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6"/>
      <c r="B730" s="36"/>
      <c r="C730" s="36"/>
      <c r="D730" s="4"/>
      <c r="E730" s="4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6"/>
      <c r="B731" s="36"/>
      <c r="C731" s="36"/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6"/>
      <c r="B732" s="36"/>
      <c r="C732" s="36"/>
      <c r="D732" s="4"/>
      <c r="E732" s="4"/>
      <c r="F732" s="4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6"/>
      <c r="B733" s="36"/>
      <c r="C733" s="36"/>
      <c r="D733" s="4"/>
      <c r="E733" s="4"/>
      <c r="F733" s="4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6"/>
      <c r="B734" s="36"/>
      <c r="C734" s="36"/>
      <c r="D734" s="4"/>
      <c r="E734" s="4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6"/>
      <c r="B735" s="36"/>
      <c r="C735" s="36"/>
      <c r="D735" s="4"/>
      <c r="E735" s="4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6"/>
      <c r="B736" s="36"/>
      <c r="C736" s="36"/>
      <c r="D736" s="4"/>
      <c r="E736" s="4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6"/>
      <c r="B737" s="36"/>
      <c r="C737" s="36"/>
      <c r="D737" s="4"/>
      <c r="E737" s="4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6"/>
      <c r="B738" s="36"/>
      <c r="C738" s="36"/>
      <c r="D738" s="4"/>
      <c r="E738" s="4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6"/>
      <c r="B739" s="36"/>
      <c r="C739" s="36"/>
      <c r="D739" s="4"/>
      <c r="E739" s="4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6"/>
      <c r="B740" s="36"/>
      <c r="C740" s="36"/>
      <c r="D740" s="4"/>
      <c r="E740" s="4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6"/>
      <c r="B741" s="36"/>
      <c r="C741" s="36"/>
      <c r="D741" s="4"/>
      <c r="E741" s="4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6"/>
      <c r="B742" s="36"/>
      <c r="C742" s="36"/>
      <c r="D742" s="4"/>
      <c r="E742" s="4"/>
      <c r="F742" s="4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6"/>
      <c r="B743" s="36"/>
      <c r="C743" s="36"/>
      <c r="D743" s="4"/>
      <c r="E743" s="4"/>
      <c r="F743" s="4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6"/>
      <c r="B744" s="36"/>
      <c r="C744" s="36"/>
      <c r="D744" s="4"/>
      <c r="E744" s="4"/>
      <c r="F744" s="4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6"/>
      <c r="B745" s="36"/>
      <c r="C745" s="36"/>
      <c r="D745" s="4"/>
      <c r="E745" s="4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6"/>
      <c r="B746" s="36"/>
      <c r="C746" s="36"/>
      <c r="D746" s="4"/>
      <c r="E746" s="4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6"/>
      <c r="B747" s="36"/>
      <c r="C747" s="36"/>
      <c r="D747" s="4"/>
      <c r="E747" s="4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6"/>
      <c r="B748" s="36"/>
      <c r="C748" s="36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6"/>
      <c r="B749" s="36"/>
      <c r="C749" s="36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6"/>
      <c r="B750" s="36"/>
      <c r="C750" s="36"/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6"/>
      <c r="B751" s="36"/>
      <c r="C751" s="36"/>
      <c r="D751" s="4"/>
      <c r="E751" s="4"/>
      <c r="F751" s="4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6"/>
      <c r="B752" s="36"/>
      <c r="C752" s="36"/>
      <c r="D752" s="4"/>
      <c r="E752" s="4"/>
      <c r="F752" s="4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6"/>
      <c r="B753" s="36"/>
      <c r="C753" s="36"/>
      <c r="D753" s="4"/>
      <c r="E753" s="4"/>
      <c r="F753" s="4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6"/>
      <c r="B754" s="36"/>
      <c r="C754" s="36"/>
      <c r="D754" s="4"/>
      <c r="E754" s="4"/>
      <c r="F754" s="4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6"/>
      <c r="B755" s="36"/>
      <c r="C755" s="36"/>
      <c r="D755" s="4"/>
      <c r="E755" s="4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6"/>
      <c r="B756" s="36"/>
      <c r="C756" s="36"/>
      <c r="D756" s="4"/>
      <c r="E756" s="4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6"/>
      <c r="B757" s="36"/>
      <c r="C757" s="36"/>
      <c r="D757" s="4"/>
      <c r="E757" s="4"/>
      <c r="F757" s="4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6"/>
      <c r="B758" s="36"/>
      <c r="C758" s="36"/>
      <c r="D758" s="4"/>
      <c r="E758" s="4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6"/>
      <c r="B759" s="36"/>
      <c r="C759" s="36"/>
      <c r="D759" s="4"/>
      <c r="E759" s="4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6"/>
      <c r="B760" s="36"/>
      <c r="C760" s="36"/>
      <c r="D760" s="4"/>
      <c r="E760" s="4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6"/>
      <c r="B761" s="36"/>
      <c r="C761" s="36"/>
      <c r="D761" s="4"/>
      <c r="E761" s="4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6"/>
      <c r="B762" s="36"/>
      <c r="C762" s="36"/>
      <c r="D762" s="4"/>
      <c r="E762" s="4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6"/>
      <c r="B763" s="36"/>
      <c r="C763" s="36"/>
      <c r="D763" s="4"/>
      <c r="E763" s="4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6"/>
      <c r="B764" s="36"/>
      <c r="C764" s="36"/>
      <c r="D764" s="4"/>
      <c r="E764" s="4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6"/>
      <c r="B765" s="36"/>
      <c r="C765" s="36"/>
      <c r="D765" s="4"/>
      <c r="E765" s="4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6"/>
      <c r="B766" s="36"/>
      <c r="C766" s="36"/>
      <c r="D766" s="4"/>
      <c r="E766" s="4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6"/>
      <c r="B767" s="36"/>
      <c r="C767" s="36"/>
      <c r="D767" s="4"/>
      <c r="E767" s="4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6"/>
      <c r="B768" s="36"/>
      <c r="C768" s="36"/>
      <c r="D768" s="4"/>
      <c r="E768" s="4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6"/>
      <c r="B769" s="36"/>
      <c r="C769" s="36"/>
      <c r="D769" s="4"/>
      <c r="E769" s="4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6"/>
      <c r="B770" s="36"/>
      <c r="C770" s="36"/>
      <c r="D770" s="4"/>
      <c r="E770" s="4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6"/>
      <c r="B771" s="36"/>
      <c r="C771" s="36"/>
      <c r="D771" s="4"/>
      <c r="E771" s="4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6"/>
      <c r="B772" s="36"/>
      <c r="C772" s="36"/>
      <c r="D772" s="4"/>
      <c r="E772" s="4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6"/>
      <c r="B773" s="36"/>
      <c r="C773" s="36"/>
      <c r="D773" s="4"/>
      <c r="E773" s="4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6"/>
      <c r="B774" s="36"/>
      <c r="C774" s="36"/>
      <c r="D774" s="4"/>
      <c r="E774" s="4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6"/>
      <c r="B775" s="36"/>
      <c r="C775" s="36"/>
      <c r="D775" s="4"/>
      <c r="E775" s="4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6"/>
      <c r="B776" s="36"/>
      <c r="C776" s="36"/>
      <c r="D776" s="4"/>
      <c r="E776" s="4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6"/>
      <c r="B777" s="36"/>
      <c r="C777" s="36"/>
      <c r="D777" s="4"/>
      <c r="E777" s="4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6"/>
      <c r="B778" s="36"/>
      <c r="C778" s="36"/>
      <c r="D778" s="4"/>
      <c r="E778" s="4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6"/>
      <c r="B779" s="36"/>
      <c r="C779" s="36"/>
      <c r="D779" s="4"/>
      <c r="E779" s="4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6"/>
      <c r="B780" s="36"/>
      <c r="C780" s="36"/>
      <c r="D780" s="4"/>
      <c r="E780" s="4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6"/>
      <c r="B781" s="36"/>
      <c r="C781" s="36"/>
      <c r="D781" s="4"/>
      <c r="E781" s="4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6"/>
      <c r="B782" s="36"/>
      <c r="C782" s="36"/>
      <c r="D782" s="4"/>
      <c r="E782" s="4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6"/>
      <c r="B783" s="36"/>
      <c r="C783" s="36"/>
      <c r="D783" s="4"/>
      <c r="E783" s="4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6"/>
      <c r="B784" s="36"/>
      <c r="C784" s="36"/>
      <c r="D784" s="4"/>
      <c r="E784" s="4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6"/>
      <c r="B785" s="36"/>
      <c r="C785" s="36"/>
      <c r="D785" s="4"/>
      <c r="E785" s="4"/>
      <c r="F785" s="4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6"/>
      <c r="B786" s="36"/>
      <c r="C786" s="36"/>
      <c r="D786" s="4"/>
      <c r="E786" s="4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6"/>
      <c r="B787" s="36"/>
      <c r="C787" s="36"/>
      <c r="D787" s="4"/>
      <c r="E787" s="4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6"/>
      <c r="B788" s="36"/>
      <c r="C788" s="36"/>
      <c r="D788" s="4"/>
      <c r="E788" s="4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6"/>
      <c r="B789" s="36"/>
      <c r="C789" s="36"/>
      <c r="D789" s="4"/>
      <c r="E789" s="4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6"/>
      <c r="B790" s="36"/>
      <c r="C790" s="36"/>
      <c r="D790" s="4"/>
      <c r="E790" s="4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6"/>
      <c r="B791" s="36"/>
      <c r="C791" s="36"/>
      <c r="D791" s="4"/>
      <c r="E791" s="4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6"/>
      <c r="B792" s="36"/>
      <c r="C792" s="36"/>
      <c r="D792" s="4"/>
      <c r="E792" s="4"/>
      <c r="F792" s="4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6"/>
      <c r="B793" s="36"/>
      <c r="C793" s="36"/>
      <c r="D793" s="4"/>
      <c r="E793" s="4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6"/>
      <c r="B794" s="36"/>
      <c r="C794" s="36"/>
      <c r="D794" s="4"/>
      <c r="E794" s="4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6"/>
      <c r="B795" s="36"/>
      <c r="C795" s="36"/>
      <c r="D795" s="4"/>
      <c r="E795" s="4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6"/>
      <c r="B796" s="36"/>
      <c r="C796" s="36"/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6"/>
      <c r="B797" s="36"/>
      <c r="C797" s="36"/>
      <c r="D797" s="4"/>
      <c r="E797" s="4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6"/>
      <c r="B798" s="36"/>
      <c r="C798" s="36"/>
      <c r="D798" s="4"/>
      <c r="E798" s="4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6"/>
      <c r="B799" s="36"/>
      <c r="C799" s="36"/>
      <c r="D799" s="4"/>
      <c r="E799" s="4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6"/>
      <c r="B800" s="36"/>
      <c r="C800" s="36"/>
      <c r="D800" s="4"/>
      <c r="E800" s="4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6"/>
      <c r="B801" s="36"/>
      <c r="C801" s="36"/>
      <c r="D801" s="4"/>
      <c r="E801" s="4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6"/>
      <c r="B802" s="36"/>
      <c r="C802" s="36"/>
      <c r="D802" s="4"/>
      <c r="E802" s="4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6"/>
      <c r="B803" s="36"/>
      <c r="C803" s="36"/>
      <c r="D803" s="4"/>
      <c r="E803" s="4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6"/>
      <c r="B804" s="36"/>
      <c r="C804" s="36"/>
      <c r="D804" s="4"/>
      <c r="E804" s="4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6"/>
      <c r="B805" s="36"/>
      <c r="C805" s="36"/>
      <c r="D805" s="4"/>
      <c r="E805" s="4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6"/>
      <c r="B806" s="36"/>
      <c r="C806" s="36"/>
      <c r="D806" s="4"/>
      <c r="E806" s="4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6"/>
      <c r="B807" s="36"/>
      <c r="C807" s="36"/>
      <c r="D807" s="4"/>
      <c r="E807" s="4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6"/>
      <c r="B808" s="36"/>
      <c r="C808" s="36"/>
      <c r="D808" s="4"/>
      <c r="E808" s="4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6"/>
      <c r="B809" s="36"/>
      <c r="C809" s="36"/>
      <c r="D809" s="4"/>
      <c r="E809" s="4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6"/>
      <c r="B810" s="36"/>
      <c r="C810" s="36"/>
      <c r="D810" s="4"/>
      <c r="E810" s="4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6"/>
      <c r="B811" s="36"/>
      <c r="C811" s="36"/>
      <c r="D811" s="4"/>
      <c r="E811" s="4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6"/>
      <c r="B812" s="36"/>
      <c r="C812" s="36"/>
      <c r="D812" s="4"/>
      <c r="E812" s="4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6"/>
      <c r="B813" s="36"/>
      <c r="C813" s="36"/>
      <c r="D813" s="4"/>
      <c r="E813" s="4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6"/>
      <c r="B814" s="36"/>
      <c r="C814" s="36"/>
      <c r="D814" s="4"/>
      <c r="E814" s="4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6"/>
      <c r="B815" s="36"/>
      <c r="C815" s="36"/>
      <c r="D815" s="4"/>
      <c r="E815" s="4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6"/>
      <c r="B816" s="36"/>
      <c r="C816" s="36"/>
      <c r="D816" s="4"/>
      <c r="E816" s="4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6"/>
      <c r="B817" s="36"/>
      <c r="C817" s="36"/>
      <c r="D817" s="4"/>
      <c r="E817" s="4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6"/>
      <c r="B818" s="36"/>
      <c r="C818" s="36"/>
      <c r="D818" s="4"/>
      <c r="E818" s="4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6"/>
      <c r="B819" s="36"/>
      <c r="C819" s="36"/>
      <c r="D819" s="4"/>
      <c r="E819" s="4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6"/>
      <c r="B820" s="36"/>
      <c r="C820" s="36"/>
      <c r="D820" s="4"/>
      <c r="E820" s="4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6"/>
      <c r="B821" s="36"/>
      <c r="C821" s="36"/>
      <c r="D821" s="4"/>
      <c r="E821" s="4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6"/>
      <c r="B822" s="36"/>
      <c r="C822" s="36"/>
      <c r="D822" s="4"/>
      <c r="E822" s="4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6"/>
      <c r="B823" s="36"/>
      <c r="C823" s="36"/>
      <c r="D823" s="4"/>
      <c r="E823" s="4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36"/>
      <c r="B824" s="36"/>
      <c r="C824" s="36"/>
      <c r="D824" s="4"/>
      <c r="E824" s="4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36"/>
      <c r="B825" s="36"/>
      <c r="C825" s="36"/>
      <c r="D825" s="4"/>
      <c r="E825" s="4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36"/>
      <c r="B826" s="36"/>
      <c r="C826" s="36"/>
      <c r="D826" s="4"/>
      <c r="E826" s="4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36"/>
      <c r="B827" s="36"/>
      <c r="C827" s="36"/>
      <c r="D827" s="4"/>
      <c r="E827" s="4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36"/>
      <c r="B828" s="36"/>
      <c r="C828" s="36"/>
      <c r="D828" s="4"/>
      <c r="E828" s="4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36"/>
      <c r="B829" s="36"/>
      <c r="C829" s="36"/>
      <c r="D829" s="4"/>
      <c r="E829" s="4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36"/>
      <c r="B830" s="36"/>
      <c r="C830" s="36"/>
      <c r="D830" s="4"/>
      <c r="E830" s="4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36"/>
      <c r="B831" s="36"/>
      <c r="C831" s="36"/>
      <c r="D831" s="4"/>
      <c r="E831" s="4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36"/>
      <c r="B832" s="36"/>
      <c r="C832" s="36"/>
      <c r="D832" s="4"/>
      <c r="E832" s="4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36"/>
      <c r="B833" s="36"/>
      <c r="C833" s="36"/>
      <c r="D833" s="4"/>
      <c r="E833" s="4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36"/>
      <c r="B834" s="36"/>
      <c r="C834" s="36"/>
      <c r="D834" s="4"/>
      <c r="E834" s="4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36"/>
      <c r="B835" s="36"/>
      <c r="C835" s="36"/>
      <c r="D835" s="4"/>
      <c r="E835" s="4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36"/>
      <c r="B836" s="36"/>
      <c r="C836" s="36"/>
      <c r="D836" s="4"/>
      <c r="E836" s="4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36"/>
      <c r="B837" s="36"/>
      <c r="C837" s="36"/>
      <c r="D837" s="4"/>
      <c r="E837" s="4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36"/>
      <c r="B838" s="36"/>
      <c r="C838" s="36"/>
      <c r="D838" s="4"/>
      <c r="E838" s="4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36"/>
      <c r="B839" s="36"/>
      <c r="C839" s="36"/>
      <c r="D839" s="4"/>
      <c r="E839" s="4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36"/>
      <c r="B840" s="36"/>
      <c r="C840" s="36"/>
      <c r="D840" s="4"/>
      <c r="E840" s="4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36"/>
      <c r="B841" s="36"/>
      <c r="C841" s="36"/>
      <c r="D841" s="4"/>
      <c r="E841" s="4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36"/>
      <c r="B842" s="36"/>
      <c r="C842" s="36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36"/>
      <c r="B843" s="36"/>
      <c r="C843" s="36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36"/>
      <c r="B844" s="36"/>
      <c r="C844" s="36"/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36"/>
      <c r="B845" s="36"/>
      <c r="C845" s="36"/>
      <c r="D845" s="4"/>
      <c r="E845" s="4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36"/>
      <c r="B846" s="36"/>
      <c r="C846" s="36"/>
      <c r="D846" s="4"/>
      <c r="E846" s="4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36"/>
      <c r="B847" s="36"/>
      <c r="C847" s="36"/>
      <c r="D847" s="4"/>
      <c r="E847" s="4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36"/>
      <c r="B848" s="36"/>
      <c r="C848" s="36"/>
      <c r="D848" s="4"/>
      <c r="E848" s="4"/>
      <c r="F848" s="4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36"/>
      <c r="B849" s="36"/>
      <c r="C849" s="36"/>
      <c r="D849" s="4"/>
      <c r="E849" s="4"/>
      <c r="F849" s="4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36"/>
      <c r="B850" s="36"/>
      <c r="C850" s="36"/>
      <c r="D850" s="4"/>
      <c r="E850" s="4"/>
      <c r="F850" s="4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36"/>
      <c r="B851" s="36"/>
      <c r="C851" s="36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36"/>
      <c r="B852" s="36"/>
      <c r="C852" s="36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36"/>
      <c r="B853" s="36"/>
      <c r="C853" s="36"/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36"/>
      <c r="B854" s="36"/>
      <c r="C854" s="36"/>
      <c r="D854" s="4"/>
      <c r="E854" s="4"/>
      <c r="F854" s="4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36"/>
      <c r="B855" s="36"/>
      <c r="C855" s="36"/>
      <c r="D855" s="4"/>
      <c r="E855" s="4"/>
      <c r="F855" s="4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36"/>
      <c r="B856" s="36"/>
      <c r="C856" s="36"/>
      <c r="D856" s="4"/>
      <c r="E856" s="4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36"/>
      <c r="B857" s="36"/>
      <c r="C857" s="36"/>
      <c r="D857" s="4"/>
      <c r="E857" s="4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36"/>
      <c r="B858" s="36"/>
      <c r="C858" s="36"/>
      <c r="D858" s="4"/>
      <c r="E858" s="4"/>
      <c r="F858" s="4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36"/>
      <c r="B859" s="36"/>
      <c r="C859" s="36"/>
      <c r="D859" s="4"/>
      <c r="E859" s="4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36"/>
      <c r="B860" s="36"/>
      <c r="C860" s="36"/>
      <c r="D860" s="4"/>
      <c r="E860" s="4"/>
      <c r="F860" s="4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36"/>
      <c r="B861" s="36"/>
      <c r="C861" s="36"/>
      <c r="D861" s="4"/>
      <c r="E861" s="4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36"/>
      <c r="B862" s="36"/>
      <c r="C862" s="36"/>
      <c r="D862" s="4"/>
      <c r="E862" s="4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36"/>
      <c r="B863" s="36"/>
      <c r="C863" s="36"/>
      <c r="D863" s="4"/>
      <c r="E863" s="4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36"/>
      <c r="B864" s="36"/>
      <c r="C864" s="36"/>
      <c r="D864" s="4"/>
      <c r="E864" s="4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36"/>
      <c r="B865" s="36"/>
      <c r="C865" s="36"/>
      <c r="D865" s="4"/>
      <c r="E865" s="4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36"/>
      <c r="B866" s="36"/>
      <c r="C866" s="36"/>
      <c r="D866" s="4"/>
      <c r="E866" s="4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36"/>
      <c r="B867" s="36"/>
      <c r="C867" s="36"/>
      <c r="D867" s="4"/>
      <c r="E867" s="4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36"/>
      <c r="B868" s="36"/>
      <c r="C868" s="36"/>
      <c r="D868" s="4"/>
      <c r="E868" s="4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36"/>
      <c r="B869" s="36"/>
      <c r="C869" s="36"/>
      <c r="D869" s="4"/>
      <c r="E869" s="4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36"/>
      <c r="B870" s="36"/>
      <c r="C870" s="36"/>
      <c r="D870" s="4"/>
      <c r="E870" s="4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36"/>
      <c r="B871" s="36"/>
      <c r="C871" s="36"/>
      <c r="D871" s="4"/>
      <c r="E871" s="4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36"/>
      <c r="B872" s="36"/>
      <c r="C872" s="36"/>
      <c r="D872" s="4"/>
      <c r="E872" s="4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36"/>
      <c r="B873" s="36"/>
      <c r="C873" s="36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36"/>
      <c r="B874" s="36"/>
      <c r="C874" s="36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36"/>
      <c r="B875" s="36"/>
      <c r="C875" s="36"/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36"/>
      <c r="B876" s="36"/>
      <c r="C876" s="36"/>
      <c r="D876" s="4"/>
      <c r="E876" s="4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36"/>
      <c r="B877" s="36"/>
      <c r="C877" s="36"/>
      <c r="D877" s="4"/>
      <c r="E877" s="4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36"/>
      <c r="B878" s="36"/>
      <c r="C878" s="36"/>
      <c r="D878" s="4"/>
      <c r="E878" s="4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36"/>
      <c r="B879" s="36"/>
      <c r="C879" s="36"/>
      <c r="D879" s="4"/>
      <c r="E879" s="4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36"/>
      <c r="B880" s="36"/>
      <c r="C880" s="36"/>
      <c r="D880" s="4"/>
      <c r="E880" s="4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36"/>
      <c r="B881" s="36"/>
      <c r="C881" s="36"/>
      <c r="D881" s="4"/>
      <c r="E881" s="4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36"/>
      <c r="B882" s="36"/>
      <c r="C882" s="36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36"/>
      <c r="B883" s="36"/>
      <c r="C883" s="36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36"/>
      <c r="B884" s="36"/>
      <c r="C884" s="36"/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36"/>
      <c r="B885" s="36"/>
      <c r="C885" s="36"/>
      <c r="D885" s="4"/>
      <c r="E885" s="4"/>
      <c r="F885" s="4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36"/>
      <c r="B886" s="36"/>
      <c r="C886" s="36"/>
      <c r="D886" s="4"/>
      <c r="E886" s="4"/>
      <c r="F886" s="4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36"/>
      <c r="B887" s="36"/>
      <c r="C887" s="36"/>
      <c r="D887" s="4"/>
      <c r="E887" s="4"/>
      <c r="F887" s="4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36"/>
      <c r="B888" s="36"/>
      <c r="C888" s="36"/>
      <c r="D888" s="4"/>
      <c r="E888" s="4"/>
      <c r="F888" s="4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36"/>
      <c r="B889" s="36"/>
      <c r="C889" s="36"/>
      <c r="D889" s="4"/>
      <c r="E889" s="4"/>
      <c r="F889" s="4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36"/>
      <c r="B890" s="36"/>
      <c r="C890" s="36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36"/>
      <c r="B891" s="36"/>
      <c r="C891" s="36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36"/>
      <c r="B892" s="36"/>
      <c r="C892" s="36"/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36"/>
      <c r="B893" s="36"/>
      <c r="C893" s="36"/>
      <c r="D893" s="4"/>
      <c r="E893" s="4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36"/>
      <c r="B894" s="36"/>
      <c r="C894" s="36"/>
      <c r="D894" s="4"/>
      <c r="E894" s="4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36"/>
      <c r="B895" s="36"/>
      <c r="C895" s="36"/>
      <c r="D895" s="4"/>
      <c r="E895" s="4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36"/>
      <c r="B896" s="36"/>
      <c r="C896" s="36"/>
      <c r="D896" s="4"/>
      <c r="E896" s="4"/>
      <c r="F896" s="4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36"/>
      <c r="B897" s="36"/>
      <c r="C897" s="36"/>
      <c r="D897" s="4"/>
      <c r="E897" s="4"/>
      <c r="F897" s="4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36"/>
      <c r="B898" s="36"/>
      <c r="C898" s="36"/>
      <c r="D898" s="4"/>
      <c r="E898" s="4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36"/>
      <c r="B899" s="36"/>
      <c r="C899" s="36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36"/>
      <c r="B900" s="36"/>
      <c r="C900" s="36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36"/>
      <c r="B901" s="36"/>
      <c r="C901" s="36"/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36"/>
      <c r="B902" s="36"/>
      <c r="C902" s="36"/>
      <c r="D902" s="4"/>
      <c r="E902" s="4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36"/>
      <c r="B903" s="36"/>
      <c r="C903" s="36"/>
      <c r="D903" s="4"/>
      <c r="E903" s="4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36"/>
      <c r="B904" s="36"/>
      <c r="C904" s="36"/>
      <c r="D904" s="4"/>
      <c r="E904" s="4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36"/>
      <c r="B905" s="36"/>
      <c r="C905" s="36"/>
      <c r="D905" s="4"/>
      <c r="E905" s="4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36"/>
      <c r="B906" s="36"/>
      <c r="C906" s="36"/>
      <c r="D906" s="4"/>
      <c r="E906" s="4"/>
      <c r="F906" s="4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36"/>
      <c r="B907" s="36"/>
      <c r="C907" s="36"/>
      <c r="D907" s="4"/>
      <c r="E907" s="4"/>
      <c r="F907" s="4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36"/>
      <c r="B908" s="36"/>
      <c r="C908" s="36"/>
      <c r="D908" s="4"/>
      <c r="E908" s="4"/>
      <c r="F908" s="4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36"/>
      <c r="B909" s="36"/>
      <c r="C909" s="36"/>
      <c r="D909" s="4"/>
      <c r="E909" s="4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36"/>
      <c r="B910" s="36"/>
      <c r="C910" s="36"/>
      <c r="D910" s="4"/>
      <c r="E910" s="4"/>
      <c r="F910" s="4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36"/>
      <c r="B911" s="36"/>
      <c r="C911" s="36"/>
      <c r="D911" s="4"/>
      <c r="E911" s="4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36"/>
      <c r="B912" s="36"/>
      <c r="C912" s="36"/>
      <c r="D912" s="4"/>
      <c r="E912" s="4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36"/>
      <c r="B913" s="36"/>
      <c r="C913" s="36"/>
      <c r="D913" s="4"/>
      <c r="E913" s="4"/>
      <c r="F913" s="4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36"/>
      <c r="B914" s="36"/>
      <c r="C914" s="36"/>
      <c r="D914" s="4"/>
      <c r="E914" s="4"/>
      <c r="F914" s="4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36"/>
      <c r="B915" s="36"/>
      <c r="C915" s="36"/>
      <c r="D915" s="4"/>
      <c r="E915" s="4"/>
      <c r="F915" s="4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36"/>
      <c r="B916" s="36"/>
      <c r="C916" s="36"/>
      <c r="D916" s="4"/>
      <c r="E916" s="4"/>
      <c r="F916" s="4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36"/>
      <c r="B917" s="36"/>
      <c r="C917" s="36"/>
      <c r="D917" s="4"/>
      <c r="E917" s="4"/>
      <c r="F917" s="4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36"/>
      <c r="B918" s="36"/>
      <c r="C918" s="36"/>
      <c r="D918" s="4"/>
      <c r="E918" s="4"/>
      <c r="F918" s="4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36"/>
      <c r="B919" s="36"/>
      <c r="C919" s="36"/>
      <c r="D919" s="4"/>
      <c r="E919" s="4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36"/>
      <c r="B920" s="36"/>
      <c r="C920" s="36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36"/>
      <c r="B921" s="36"/>
      <c r="C921" s="36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36"/>
      <c r="B922" s="36"/>
      <c r="C922" s="36"/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36"/>
      <c r="B923" s="36"/>
      <c r="C923" s="36"/>
      <c r="D923" s="4"/>
      <c r="E923" s="4"/>
      <c r="F923" s="4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36"/>
      <c r="B924" s="36"/>
      <c r="C924" s="36"/>
      <c r="D924" s="4"/>
      <c r="E924" s="4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36"/>
      <c r="B925" s="36"/>
      <c r="C925" s="36"/>
      <c r="D925" s="4"/>
      <c r="E925" s="4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36"/>
      <c r="B926" s="36"/>
      <c r="C926" s="36"/>
      <c r="D926" s="4"/>
      <c r="E926" s="4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36"/>
      <c r="B927" s="36"/>
      <c r="C927" s="36"/>
      <c r="D927" s="4"/>
      <c r="E927" s="4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36"/>
      <c r="B928" s="36"/>
      <c r="C928" s="36"/>
      <c r="D928" s="4"/>
      <c r="E928" s="4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36"/>
      <c r="B929" s="36"/>
      <c r="C929" s="36"/>
      <c r="D929" s="4"/>
      <c r="E929" s="4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36"/>
      <c r="B930" s="36"/>
      <c r="C930" s="36"/>
      <c r="D930" s="4"/>
      <c r="E930" s="4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36"/>
      <c r="B931" s="36"/>
      <c r="C931" s="36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36"/>
      <c r="B932" s="36"/>
      <c r="C932" s="36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36"/>
      <c r="B933" s="36"/>
      <c r="C933" s="36"/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36"/>
      <c r="B934" s="36"/>
      <c r="C934" s="36"/>
      <c r="D934" s="4"/>
      <c r="E934" s="4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36"/>
      <c r="B935" s="36"/>
      <c r="C935" s="36"/>
      <c r="D935" s="4"/>
      <c r="E935" s="4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36"/>
      <c r="B936" s="36"/>
      <c r="C936" s="36"/>
      <c r="D936" s="4"/>
      <c r="E936" s="4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36"/>
      <c r="B937" s="36"/>
      <c r="C937" s="36"/>
      <c r="D937" s="4"/>
      <c r="E937" s="4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36"/>
      <c r="B938" s="36"/>
      <c r="C938" s="36"/>
      <c r="D938" s="4"/>
      <c r="E938" s="4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36"/>
      <c r="B939" s="36"/>
      <c r="C939" s="36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36"/>
      <c r="B940" s="36"/>
      <c r="C940" s="36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36"/>
      <c r="B941" s="36"/>
      <c r="C941" s="36"/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36"/>
      <c r="B942" s="36"/>
      <c r="C942" s="36"/>
      <c r="D942" s="4"/>
      <c r="E942" s="4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36"/>
      <c r="B943" s="36"/>
      <c r="C943" s="36"/>
      <c r="D943" s="4"/>
      <c r="E943" s="4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36"/>
      <c r="B944" s="36"/>
      <c r="C944" s="36"/>
      <c r="D944" s="4"/>
      <c r="E944" s="4"/>
      <c r="F944" s="4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36"/>
      <c r="B945" s="36"/>
      <c r="C945" s="36"/>
      <c r="D945" s="4"/>
      <c r="E945" s="4"/>
      <c r="F945" s="4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36"/>
      <c r="B946" s="36"/>
      <c r="C946" s="36"/>
      <c r="D946" s="4"/>
      <c r="E946" s="4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36"/>
      <c r="B947" s="36"/>
      <c r="C947" s="36"/>
      <c r="D947" s="4"/>
      <c r="E947" s="4"/>
      <c r="F947" s="4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36"/>
      <c r="B948" s="36"/>
      <c r="C948" s="36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36"/>
      <c r="B949" s="36"/>
      <c r="C949" s="36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36"/>
      <c r="B950" s="36"/>
      <c r="C950" s="36"/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36"/>
      <c r="B951" s="36"/>
      <c r="C951" s="36"/>
      <c r="D951" s="4"/>
      <c r="E951" s="4"/>
      <c r="F951" s="4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36"/>
      <c r="B952" s="36"/>
      <c r="C952" s="36"/>
      <c r="D952" s="4"/>
      <c r="E952" s="4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36"/>
      <c r="B953" s="36"/>
      <c r="C953" s="36"/>
      <c r="D953" s="4"/>
      <c r="E953" s="4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36"/>
      <c r="B954" s="36"/>
      <c r="C954" s="36"/>
      <c r="D954" s="4"/>
      <c r="E954" s="4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36"/>
      <c r="B955" s="36"/>
      <c r="C955" s="36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36"/>
      <c r="B956" s="36"/>
      <c r="C956" s="36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36"/>
      <c r="B957" s="36"/>
      <c r="C957" s="36"/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36"/>
      <c r="B958" s="36"/>
      <c r="C958" s="36"/>
      <c r="D958" s="4"/>
      <c r="E958" s="4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36"/>
      <c r="B959" s="36"/>
      <c r="C959" s="36"/>
      <c r="D959" s="4"/>
      <c r="E959" s="4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36"/>
      <c r="B960" s="36"/>
      <c r="C960" s="36"/>
      <c r="D960" s="4"/>
      <c r="E960" s="4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36"/>
      <c r="B961" s="36"/>
      <c r="C961" s="36"/>
      <c r="D961" s="4"/>
      <c r="E961" s="4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36"/>
      <c r="B962" s="36"/>
      <c r="C962" s="36"/>
      <c r="D962" s="4"/>
      <c r="E962" s="4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36"/>
      <c r="B963" s="36"/>
      <c r="C963" s="36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36"/>
      <c r="B964" s="36"/>
      <c r="C964" s="36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36"/>
      <c r="B965" s="36"/>
      <c r="C965" s="36"/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36"/>
      <c r="B966" s="36"/>
      <c r="C966" s="36"/>
      <c r="D966" s="4"/>
      <c r="E966" s="4"/>
      <c r="F966" s="4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36"/>
      <c r="B967" s="36"/>
      <c r="C967" s="36"/>
      <c r="D967" s="4"/>
      <c r="E967" s="4"/>
      <c r="F967" s="4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36"/>
      <c r="B968" s="36"/>
      <c r="C968" s="36"/>
      <c r="D968" s="4"/>
      <c r="E968" s="4"/>
      <c r="F968" s="4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36"/>
      <c r="B969" s="36"/>
      <c r="C969" s="36"/>
      <c r="D969" s="4"/>
      <c r="E969" s="4"/>
      <c r="F969" s="4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36"/>
      <c r="B970" s="36"/>
      <c r="C970" s="36"/>
      <c r="D970" s="4"/>
      <c r="E970" s="4"/>
      <c r="F970" s="4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36"/>
      <c r="B971" s="36"/>
      <c r="C971" s="36"/>
      <c r="D971" s="4"/>
      <c r="E971" s="4"/>
      <c r="F971" s="4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36"/>
      <c r="B972" s="36"/>
      <c r="C972" s="36"/>
      <c r="D972" s="4"/>
      <c r="E972" s="4"/>
      <c r="F972" s="4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36"/>
      <c r="B973" s="36"/>
      <c r="C973" s="36"/>
      <c r="D973" s="4"/>
      <c r="E973" s="4"/>
      <c r="F973" s="4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36"/>
      <c r="B974" s="36"/>
      <c r="C974" s="36"/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36"/>
      <c r="B975" s="36"/>
      <c r="C975" s="36"/>
      <c r="D975" s="4"/>
      <c r="E975" s="4"/>
      <c r="F975" s="4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36"/>
      <c r="B976" s="36"/>
      <c r="C976" s="36"/>
      <c r="D976" s="4"/>
      <c r="E976" s="4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36"/>
      <c r="B977" s="36"/>
      <c r="C977" s="36"/>
      <c r="D977" s="4"/>
      <c r="E977" s="4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36"/>
      <c r="B978" s="36"/>
      <c r="C978" s="36"/>
      <c r="D978" s="4"/>
      <c r="E978" s="4"/>
      <c r="F978" s="4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36"/>
      <c r="B979" s="36"/>
      <c r="C979" s="36"/>
      <c r="D979" s="4"/>
      <c r="E979" s="4"/>
      <c r="F979" s="4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36"/>
      <c r="B980" s="36"/>
      <c r="C980" s="36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36"/>
      <c r="B981" s="36"/>
      <c r="C981" s="36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36"/>
      <c r="B982" s="36"/>
      <c r="C982" s="36"/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36"/>
      <c r="B983" s="36"/>
      <c r="C983" s="36"/>
      <c r="D983" s="4"/>
      <c r="E983" s="4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36"/>
      <c r="B984" s="36"/>
      <c r="C984" s="36"/>
      <c r="D984" s="4"/>
      <c r="E984" s="4"/>
      <c r="F984" s="4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36"/>
      <c r="B985" s="36"/>
      <c r="C985" s="36"/>
      <c r="D985" s="4"/>
      <c r="E985" s="4"/>
      <c r="F985" s="4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36"/>
      <c r="B986" s="36"/>
      <c r="C986" s="36"/>
      <c r="D986" s="4"/>
      <c r="E986" s="4"/>
      <c r="F986" s="4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36"/>
      <c r="B987" s="36"/>
      <c r="C987" s="36"/>
      <c r="D987" s="4"/>
      <c r="E987" s="4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36"/>
      <c r="B988" s="36"/>
      <c r="C988" s="36"/>
      <c r="D988" s="4"/>
      <c r="E988" s="4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36"/>
      <c r="B989" s="36"/>
      <c r="C989" s="36"/>
      <c r="D989" s="4"/>
      <c r="E989" s="4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36"/>
      <c r="B990" s="36"/>
      <c r="C990" s="36"/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36"/>
      <c r="B991" s="36"/>
      <c r="C991" s="36"/>
      <c r="D991" s="4"/>
      <c r="E991" s="4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36"/>
      <c r="B992" s="36"/>
      <c r="C992" s="36"/>
      <c r="D992" s="4"/>
      <c r="E992" s="4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36"/>
      <c r="B993" s="36"/>
      <c r="C993" s="36"/>
      <c r="D993" s="4"/>
      <c r="E993" s="4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36"/>
      <c r="B994" s="36"/>
      <c r="C994" s="36"/>
      <c r="D994" s="4"/>
      <c r="E994" s="4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36"/>
      <c r="B995" s="36"/>
      <c r="C995" s="36"/>
      <c r="D995" s="4"/>
      <c r="E995" s="4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36"/>
      <c r="B996" s="36"/>
      <c r="C996" s="36"/>
      <c r="D996" s="4"/>
      <c r="E996" s="4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36"/>
      <c r="B997" s="36"/>
      <c r="C997" s="36"/>
      <c r="D997" s="4"/>
      <c r="E997" s="4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36"/>
      <c r="B998" s="36"/>
      <c r="C998" s="36"/>
      <c r="D998" s="4"/>
      <c r="E998" s="4"/>
      <c r="F998" s="4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36"/>
      <c r="B999" s="36"/>
      <c r="C999" s="36"/>
      <c r="D999" s="4"/>
      <c r="E999" s="4"/>
      <c r="F999" s="4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E5:G5"/>
  </mergeCells>
  <printOptions/>
  <pageMargins bottom="0.5" footer="0.0" header="0.0" left="0.0" right="0.0" top="0.5"/>
  <pageSetup paperSize="5" scale="7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0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176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4.67258793525E9</v>
      </c>
      <c r="E9" s="6">
        <v>4.678504844E7</v>
      </c>
      <c r="F9" s="6">
        <f t="shared" ref="F9:F27" si="1">D9-E9</f>
        <v>4625802887</v>
      </c>
      <c r="G9" s="6">
        <v>4.1001638725E9</v>
      </c>
      <c r="H9" s="5">
        <v>7495.0</v>
      </c>
      <c r="I9" s="6">
        <v>1.492177673E7</v>
      </c>
      <c r="J9" s="4">
        <v>2.861031144E7</v>
      </c>
      <c r="K9" s="4">
        <f t="shared" ref="K9:K27" si="2">I9-J9</f>
        <v>-13688534.71</v>
      </c>
      <c r="L9" s="4">
        <f>I9+June!L9</f>
        <v>117311876.5</v>
      </c>
      <c r="M9" s="4">
        <f>J9+June!M9</f>
        <v>286615571.4</v>
      </c>
      <c r="N9" s="4">
        <f t="shared" ref="N9:N27" si="3">L9-M9</f>
        <v>-169303695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177</v>
      </c>
      <c r="D10" s="6">
        <v>7.276479565E8</v>
      </c>
      <c r="E10" s="6">
        <v>1.7125744E7</v>
      </c>
      <c r="F10" s="6">
        <f t="shared" si="1"/>
        <v>710522212.5</v>
      </c>
      <c r="G10" s="6">
        <v>6.7250828533E8</v>
      </c>
      <c r="H10" s="5">
        <v>4271.0</v>
      </c>
      <c r="I10" s="6">
        <v>4854823.06</v>
      </c>
      <c r="J10" s="4">
        <v>3935400.47</v>
      </c>
      <c r="K10" s="4">
        <f t="shared" si="2"/>
        <v>919422.59</v>
      </c>
      <c r="L10" s="4">
        <f>I10+June!L10</f>
        <v>185743024.5</v>
      </c>
      <c r="M10" s="4">
        <f>J10+June!M10</f>
        <v>127609169.5</v>
      </c>
      <c r="N10" s="4">
        <f t="shared" si="3"/>
        <v>58133855.05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178</v>
      </c>
      <c r="D11" s="6">
        <v>9.8741830021E8</v>
      </c>
      <c r="E11" s="6">
        <v>1.903486429E7</v>
      </c>
      <c r="F11" s="6">
        <f t="shared" si="1"/>
        <v>968383435.9</v>
      </c>
      <c r="G11" s="6">
        <v>9.05084674E8</v>
      </c>
      <c r="H11" s="5">
        <v>2770.0</v>
      </c>
      <c r="I11" s="6">
        <v>8490138.28</v>
      </c>
      <c r="J11" s="4">
        <v>8399409.97</v>
      </c>
      <c r="K11" s="4">
        <f t="shared" si="2"/>
        <v>90728.31</v>
      </c>
      <c r="L11" s="4">
        <f>I11+June!L11</f>
        <v>82796250.99</v>
      </c>
      <c r="M11" s="4">
        <f>J11+June!M11</f>
        <v>123040081.9</v>
      </c>
      <c r="N11" s="4">
        <f t="shared" si="3"/>
        <v>-40243830.94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6">
        <v>3.4211827582E8</v>
      </c>
      <c r="E12" s="6">
        <v>6736945.18</v>
      </c>
      <c r="F12" s="6">
        <f t="shared" si="1"/>
        <v>335381330.6</v>
      </c>
      <c r="G12" s="6">
        <v>2.0878393298E8</v>
      </c>
      <c r="H12" s="5">
        <v>1659.0</v>
      </c>
      <c r="I12" s="6">
        <v>1086468.43</v>
      </c>
      <c r="J12" s="4">
        <v>234551.84</v>
      </c>
      <c r="K12" s="4">
        <f t="shared" si="2"/>
        <v>851916.59</v>
      </c>
      <c r="L12" s="4">
        <f>I12+June!L12</f>
        <v>21537379.2</v>
      </c>
      <c r="M12" s="4">
        <f>J12+June!M12</f>
        <v>10346718.58</v>
      </c>
      <c r="N12" s="4">
        <f t="shared" si="3"/>
        <v>11190660.62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25</v>
      </c>
      <c r="D13" s="6">
        <v>5.156904598E8</v>
      </c>
      <c r="E13" s="6">
        <v>5713271.2</v>
      </c>
      <c r="F13" s="6">
        <f t="shared" si="1"/>
        <v>509977188.6</v>
      </c>
      <c r="G13" s="6">
        <v>2.4063669265E8</v>
      </c>
      <c r="H13" s="5">
        <v>1484.0</v>
      </c>
      <c r="I13" s="6">
        <v>646345.05</v>
      </c>
      <c r="J13" s="4">
        <v>271003.1</v>
      </c>
      <c r="K13" s="4">
        <f t="shared" si="2"/>
        <v>375341.95</v>
      </c>
      <c r="L13" s="4">
        <f>I13+June!L13</f>
        <v>22890875.96</v>
      </c>
      <c r="M13" s="4">
        <f>J13+June!M13</f>
        <v>14279399.59</v>
      </c>
      <c r="N13" s="4">
        <f t="shared" si="3"/>
        <v>8611476.369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6">
        <v>4.18946271645E9</v>
      </c>
      <c r="E14" s="6">
        <v>1.0028312932E8</v>
      </c>
      <c r="F14" s="6">
        <f t="shared" si="1"/>
        <v>4089179587</v>
      </c>
      <c r="G14" s="6">
        <v>3.16960362018E9</v>
      </c>
      <c r="H14" s="5">
        <v>16471.0</v>
      </c>
      <c r="I14" s="6">
        <v>9142275.65</v>
      </c>
      <c r="J14" s="4">
        <v>6714863.58</v>
      </c>
      <c r="K14" s="4">
        <f t="shared" si="2"/>
        <v>2427412.07</v>
      </c>
      <c r="L14" s="4">
        <f>I14+June!L14</f>
        <v>507912570.4</v>
      </c>
      <c r="M14" s="4">
        <f>J14+June!M14</f>
        <v>324294924.6</v>
      </c>
      <c r="N14" s="4">
        <f t="shared" si="3"/>
        <v>183617645.8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179</v>
      </c>
      <c r="D15" s="6">
        <v>9.148552523E7</v>
      </c>
      <c r="E15" s="6">
        <v>555198.47</v>
      </c>
      <c r="F15" s="6">
        <f t="shared" si="1"/>
        <v>90930326.76</v>
      </c>
      <c r="G15" s="6">
        <v>8.722362412E7</v>
      </c>
      <c r="H15" s="5">
        <v>557.0</v>
      </c>
      <c r="I15" s="6">
        <v>1981424.0</v>
      </c>
      <c r="J15" s="4">
        <v>224716.12</v>
      </c>
      <c r="K15" s="4">
        <f t="shared" si="2"/>
        <v>1756707.88</v>
      </c>
      <c r="L15" s="4">
        <f>I15+June!L15</f>
        <v>16657912.48</v>
      </c>
      <c r="M15" s="4">
        <f>J15+June!M15</f>
        <v>6654123.041</v>
      </c>
      <c r="N15" s="4">
        <f t="shared" si="3"/>
        <v>10003789.44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6">
        <v>1.2037607505E8</v>
      </c>
      <c r="E16" s="6">
        <v>1729784.67</v>
      </c>
      <c r="F16" s="6">
        <f t="shared" si="1"/>
        <v>118646290.4</v>
      </c>
      <c r="G16" s="6">
        <v>1.1027766689E8</v>
      </c>
      <c r="H16" s="5">
        <v>52.0</v>
      </c>
      <c r="I16" s="50">
        <v>200100.0</v>
      </c>
      <c r="J16" s="51">
        <v>660645.85</v>
      </c>
      <c r="K16" s="4">
        <f t="shared" si="2"/>
        <v>-460545.85</v>
      </c>
      <c r="L16" s="4">
        <f>I16+June!L16</f>
        <v>1800100</v>
      </c>
      <c r="M16" s="4">
        <f>J16+June!M16</f>
        <v>8081424.68</v>
      </c>
      <c r="N16" s="4">
        <f t="shared" si="3"/>
        <v>-6281324.68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6">
        <v>1.603091800337E10</v>
      </c>
      <c r="E17" s="6">
        <v>1.441211069839E10</v>
      </c>
      <c r="F17" s="6">
        <f t="shared" si="1"/>
        <v>1618807305</v>
      </c>
      <c r="G17" s="6">
        <v>1.64848060342E9</v>
      </c>
      <c r="H17" s="5">
        <v>12626.0</v>
      </c>
      <c r="I17" s="6">
        <v>1.4974654785E8</v>
      </c>
      <c r="J17" s="4">
        <v>1.429458788852E10</v>
      </c>
      <c r="K17" s="4">
        <f t="shared" si="2"/>
        <v>-14144841341</v>
      </c>
      <c r="L17" s="4">
        <f>I17+June!L17</f>
        <v>1343659286</v>
      </c>
      <c r="M17" s="4">
        <f>J17+June!M17</f>
        <v>14377102468</v>
      </c>
      <c r="N17" s="4">
        <f t="shared" si="3"/>
        <v>-13033443182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6">
        <v>8.74411072635E9</v>
      </c>
      <c r="E18" s="6">
        <v>2.099493826E8</v>
      </c>
      <c r="F18" s="6">
        <f t="shared" si="1"/>
        <v>8534161344</v>
      </c>
      <c r="G18" s="6">
        <v>7.62859375363E9</v>
      </c>
      <c r="H18" s="5">
        <v>12524.0</v>
      </c>
      <c r="I18" s="6">
        <v>6.874146919E7</v>
      </c>
      <c r="J18" s="4">
        <v>2.247532785581E10</v>
      </c>
      <c r="K18" s="4">
        <f t="shared" si="2"/>
        <v>-22406586387</v>
      </c>
      <c r="L18" s="4">
        <f>I18+June!L18</f>
        <v>684164386.1</v>
      </c>
      <c r="M18" s="4">
        <f>J18+June!M18</f>
        <v>22971191084</v>
      </c>
      <c r="N18" s="4">
        <f t="shared" si="3"/>
        <v>-22287026698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6">
        <v>2.09760815032455E9</v>
      </c>
      <c r="E19" s="6">
        <v>2443473.86400001</v>
      </c>
      <c r="F19" s="6">
        <f t="shared" si="1"/>
        <v>2095164676</v>
      </c>
      <c r="G19" s="6">
        <v>1.83067966749196E9</v>
      </c>
      <c r="H19" s="5">
        <v>5700.0</v>
      </c>
      <c r="I19" s="6">
        <v>3284268.98</v>
      </c>
      <c r="J19" s="4">
        <v>1827411.61</v>
      </c>
      <c r="K19" s="4">
        <f t="shared" si="2"/>
        <v>1456857.37</v>
      </c>
      <c r="L19" s="4">
        <f>I19+June!L19</f>
        <v>101272075.5</v>
      </c>
      <c r="M19" s="4">
        <f>J19+June!M19</f>
        <v>266822238.7</v>
      </c>
      <c r="N19" s="4">
        <f t="shared" si="3"/>
        <v>-165550163.2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6">
        <v>9.4558386904657E9</v>
      </c>
      <c r="E20" s="6">
        <v>1.82879719794998E7</v>
      </c>
      <c r="F20" s="6">
        <f t="shared" si="1"/>
        <v>9437550718</v>
      </c>
      <c r="G20" s="6">
        <v>8.64515161039E9</v>
      </c>
      <c r="H20" s="5">
        <v>36841.0</v>
      </c>
      <c r="I20" s="6">
        <v>1.489475233E7</v>
      </c>
      <c r="J20" s="4">
        <v>2.081071521E7</v>
      </c>
      <c r="K20" s="4">
        <f t="shared" si="2"/>
        <v>-5915962.88</v>
      </c>
      <c r="L20" s="4">
        <f>I20+June!L20</f>
        <v>200729677.1</v>
      </c>
      <c r="M20" s="4">
        <f>J20+June!M20</f>
        <v>348394134.5</v>
      </c>
      <c r="N20" s="4">
        <f t="shared" si="3"/>
        <v>-147664457.4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6">
        <v>3.07359268817189E8</v>
      </c>
      <c r="E21" s="6">
        <v>597055.660000111</v>
      </c>
      <c r="F21" s="6">
        <f t="shared" si="1"/>
        <v>306762213.2</v>
      </c>
      <c r="G21" s="6">
        <v>3.0430786055E8</v>
      </c>
      <c r="H21" s="5">
        <v>1027.0</v>
      </c>
      <c r="I21" s="6">
        <v>398645.19</v>
      </c>
      <c r="J21" s="4">
        <v>112149.97</v>
      </c>
      <c r="K21" s="4">
        <f t="shared" si="2"/>
        <v>286495.22</v>
      </c>
      <c r="L21" s="4">
        <f>I21+June!L21</f>
        <v>5367623.55</v>
      </c>
      <c r="M21" s="4">
        <f>J21+June!M21</f>
        <v>3584087.96</v>
      </c>
      <c r="N21" s="4">
        <f t="shared" si="3"/>
        <v>1783535.59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6">
        <v>3.6328083553516E9</v>
      </c>
      <c r="E22" s="6">
        <v>6063476.11679989</v>
      </c>
      <c r="F22" s="6">
        <f t="shared" si="1"/>
        <v>3626744879</v>
      </c>
      <c r="G22" s="6">
        <v>3.55454177276869E9</v>
      </c>
      <c r="H22" s="5">
        <v>27634.0</v>
      </c>
      <c r="I22" s="6">
        <v>1.923481869E7</v>
      </c>
      <c r="J22" s="4">
        <v>6434398.6</v>
      </c>
      <c r="K22" s="4">
        <f t="shared" si="2"/>
        <v>12800420.09</v>
      </c>
      <c r="L22" s="4">
        <f>I22+June!L22</f>
        <v>325460382.6</v>
      </c>
      <c r="M22" s="4">
        <f>J22+June!M22</f>
        <v>207223596.4</v>
      </c>
      <c r="N22" s="4">
        <f t="shared" si="3"/>
        <v>118236786.2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6">
        <v>9.0197845275E9</v>
      </c>
      <c r="E23" s="6">
        <v>1.232161125E7</v>
      </c>
      <c r="F23" s="6">
        <f t="shared" si="1"/>
        <v>9007462916</v>
      </c>
      <c r="G23" s="6">
        <v>8.97293193516E9</v>
      </c>
      <c r="H23" s="5">
        <v>14999.0</v>
      </c>
      <c r="I23" s="6">
        <v>1122357.68</v>
      </c>
      <c r="J23" s="4">
        <v>7.337764296E7</v>
      </c>
      <c r="K23" s="4">
        <f t="shared" si="2"/>
        <v>-72255285.28</v>
      </c>
      <c r="L23" s="4">
        <f>I23+June!L23</f>
        <v>39487849.54</v>
      </c>
      <c r="M23" s="4">
        <f>J23+June!M23</f>
        <v>891558203.2</v>
      </c>
      <c r="N23" s="4">
        <f t="shared" si="3"/>
        <v>-852070353.7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19" t="s">
        <v>36</v>
      </c>
      <c r="D24" s="6">
        <v>2.64252322513E9</v>
      </c>
      <c r="E24" s="6">
        <v>5.456860397E7</v>
      </c>
      <c r="F24" s="6">
        <f t="shared" si="1"/>
        <v>2587954621</v>
      </c>
      <c r="G24" s="6">
        <v>2.43420555235E9</v>
      </c>
      <c r="H24" s="5">
        <v>8855.0</v>
      </c>
      <c r="I24" s="6">
        <v>9.347079818E7</v>
      </c>
      <c r="J24" s="4">
        <v>1864162.36</v>
      </c>
      <c r="K24" s="4">
        <f t="shared" si="2"/>
        <v>91606635.82</v>
      </c>
      <c r="L24" s="4">
        <f>I24+June!L24</f>
        <v>498840817.7</v>
      </c>
      <c r="M24" s="4">
        <f>J24+June!M24</f>
        <v>14520373.9</v>
      </c>
      <c r="N24" s="4">
        <f t="shared" si="3"/>
        <v>484320443.8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v>17.0</v>
      </c>
      <c r="C25" s="21" t="s">
        <v>37</v>
      </c>
      <c r="D25" s="6">
        <v>7.17591350374E9</v>
      </c>
      <c r="E25" s="6">
        <v>1.3385185719E8</v>
      </c>
      <c r="F25" s="6">
        <f t="shared" si="1"/>
        <v>7042061647</v>
      </c>
      <c r="G25" s="6">
        <v>6.92357891125E9</v>
      </c>
      <c r="H25" s="5">
        <v>65969.0</v>
      </c>
      <c r="I25" s="6">
        <v>2.948880864E7</v>
      </c>
      <c r="J25" s="4">
        <v>3.483301633E7</v>
      </c>
      <c r="K25" s="4">
        <f t="shared" si="2"/>
        <v>-5344207.69</v>
      </c>
      <c r="L25" s="4">
        <f>I25+June!L25</f>
        <v>720683622.7</v>
      </c>
      <c r="M25" s="4">
        <f>J25+June!M25</f>
        <v>488649855.8</v>
      </c>
      <c r="N25" s="4">
        <f t="shared" si="3"/>
        <v>232033766.9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v>18.0</v>
      </c>
      <c r="C26" s="21" t="s">
        <v>38</v>
      </c>
      <c r="D26" s="6">
        <v>1.106226554489E10</v>
      </c>
      <c r="E26" s="6">
        <v>8.467881003E7</v>
      </c>
      <c r="F26" s="6">
        <f t="shared" si="1"/>
        <v>10977586735</v>
      </c>
      <c r="G26" s="6">
        <v>1.095116229375E10</v>
      </c>
      <c r="H26" s="5">
        <v>56293.0</v>
      </c>
      <c r="I26" s="6">
        <v>1.4153516914E8</v>
      </c>
      <c r="J26" s="4">
        <v>1.0761032606E8</v>
      </c>
      <c r="K26" s="4">
        <f t="shared" si="2"/>
        <v>33924843.08</v>
      </c>
      <c r="L26" s="4">
        <f>I26+June!L26</f>
        <v>1848259033</v>
      </c>
      <c r="M26" s="4">
        <f>J26+June!M26</f>
        <v>1338468090</v>
      </c>
      <c r="N26" s="4">
        <f t="shared" si="3"/>
        <v>509790942.7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6">
        <v>5.77323300038E8</v>
      </c>
      <c r="E27" s="6">
        <v>3017516.629999996</v>
      </c>
      <c r="F27" s="6">
        <f t="shared" si="1"/>
        <v>574305783.4</v>
      </c>
      <c r="G27" s="6">
        <v>5.2194445330000037E8</v>
      </c>
      <c r="H27" s="5">
        <v>1306.0</v>
      </c>
      <c r="I27" s="6">
        <v>455145.05</v>
      </c>
      <c r="J27" s="4">
        <v>864618.78</v>
      </c>
      <c r="K27" s="4">
        <f t="shared" si="2"/>
        <v>-409473.73</v>
      </c>
      <c r="L27" s="4">
        <f>I27+June!L27</f>
        <v>13218574.6</v>
      </c>
      <c r="M27" s="4">
        <f>J27+June!M27</f>
        <v>8051586.63</v>
      </c>
      <c r="N27" s="4">
        <f t="shared" si="3"/>
        <v>5166987.97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5"/>
      <c r="I28" s="6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3"/>
      <c r="B29" s="2">
        <v>20.0</v>
      </c>
      <c r="C29" s="3" t="s">
        <v>41</v>
      </c>
      <c r="D29" s="6">
        <v>3.40686330116001E8</v>
      </c>
      <c r="E29" s="6">
        <v>1.2982569659E7</v>
      </c>
      <c r="F29" s="6">
        <f t="shared" ref="F29:F30" si="4">D29-E29</f>
        <v>327703760.5</v>
      </c>
      <c r="G29" s="6">
        <v>2.7615957293E8</v>
      </c>
      <c r="H29" s="5">
        <v>1449.0</v>
      </c>
      <c r="I29" s="6">
        <v>1448764.86</v>
      </c>
      <c r="J29" s="4">
        <v>229880.08</v>
      </c>
      <c r="K29" s="4">
        <f t="shared" ref="K29:K30" si="5">I29-J29</f>
        <v>1218884.78</v>
      </c>
      <c r="L29" s="4">
        <f>I29+June!L29</f>
        <v>74990241.13</v>
      </c>
      <c r="M29" s="4">
        <f>J29+June!M29</f>
        <v>26134864.38</v>
      </c>
      <c r="N29" s="4">
        <f t="shared" ref="N29:N30" si="6">L29-M29</f>
        <v>48855376.75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35</v>
      </c>
      <c r="D30" s="6">
        <v>3.9897922927E8</v>
      </c>
      <c r="E30" s="6">
        <v>9089782.26</v>
      </c>
      <c r="F30" s="6">
        <f t="shared" si="4"/>
        <v>389889447</v>
      </c>
      <c r="G30" s="6">
        <v>3.884657468E8</v>
      </c>
      <c r="H30" s="5">
        <v>248138.0</v>
      </c>
      <c r="I30" s="6">
        <v>4.267050678E7</v>
      </c>
      <c r="J30" s="4">
        <v>6086609.7</v>
      </c>
      <c r="K30" s="4">
        <f t="shared" si="5"/>
        <v>36583897.08</v>
      </c>
      <c r="L30" s="4">
        <f>I30+June!L30</f>
        <v>516024094.9</v>
      </c>
      <c r="M30" s="4">
        <f>J30+June!M30</f>
        <v>82833817.98</v>
      </c>
      <c r="N30" s="4">
        <f t="shared" si="6"/>
        <v>433190276.9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18" t="s">
        <v>42</v>
      </c>
      <c r="B31" s="2"/>
      <c r="C31" s="3"/>
      <c r="D31" s="6"/>
      <c r="E31" s="6"/>
      <c r="F31" s="6"/>
      <c r="G31" s="6"/>
      <c r="H31" s="5"/>
      <c r="I31" s="6"/>
      <c r="J31" s="4"/>
      <c r="K31" s="4"/>
      <c r="L31" s="4"/>
      <c r="M31" s="4"/>
      <c r="N31" s="4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1.25" customHeight="1">
      <c r="A32" s="3"/>
      <c r="B32" s="2">
        <v>22.0</v>
      </c>
      <c r="C32" s="3" t="s">
        <v>43</v>
      </c>
      <c r="D32" s="6">
        <v>2.4016807303E9</v>
      </c>
      <c r="E32" s="6">
        <v>1.7503103379E8</v>
      </c>
      <c r="F32" s="6">
        <f>D32-E32</f>
        <v>2226649697</v>
      </c>
      <c r="G32" s="6">
        <v>2.22964555143E9</v>
      </c>
      <c r="H32" s="5">
        <v>3261.0</v>
      </c>
      <c r="I32" s="6">
        <v>1.8443794E8</v>
      </c>
      <c r="J32" s="4">
        <v>960464.0</v>
      </c>
      <c r="K32" s="4">
        <f>I32-J32</f>
        <v>183477476</v>
      </c>
      <c r="L32" s="4">
        <f>I32+June!L32</f>
        <v>291511505</v>
      </c>
      <c r="M32" s="4">
        <f>J32+June!M32</f>
        <v>14643849</v>
      </c>
      <c r="N32" s="4">
        <f>L32-M32</f>
        <v>276867656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22" t="s">
        <v>44</v>
      </c>
      <c r="B33" s="23"/>
      <c r="C33" s="1"/>
      <c r="D33" s="24">
        <f t="shared" ref="D33:N33" si="7">SUM(D9:D32)</f>
        <v>85534586830</v>
      </c>
      <c r="E33" s="24">
        <f t="shared" si="7"/>
        <v>15332957829</v>
      </c>
      <c r="F33" s="24">
        <f t="shared" si="7"/>
        <v>70201629001</v>
      </c>
      <c r="G33" s="24">
        <f t="shared" si="7"/>
        <v>65804131654</v>
      </c>
      <c r="H33" s="24">
        <f t="shared" si="7"/>
        <v>531381</v>
      </c>
      <c r="I33" s="24">
        <f t="shared" si="7"/>
        <v>792253343.8</v>
      </c>
      <c r="J33" s="24">
        <f t="shared" si="7"/>
        <v>37073978042</v>
      </c>
      <c r="K33" s="24">
        <f t="shared" si="7"/>
        <v>-36281724699</v>
      </c>
      <c r="L33" s="24">
        <f t="shared" si="7"/>
        <v>7620319159</v>
      </c>
      <c r="M33" s="24">
        <f t="shared" si="7"/>
        <v>41940099664</v>
      </c>
      <c r="N33" s="24">
        <f t="shared" si="7"/>
        <v>-34319780505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2.0" customHeight="1">
      <c r="A34" s="18" t="s">
        <v>45</v>
      </c>
      <c r="B34" s="2"/>
      <c r="C34" s="3"/>
      <c r="D34" s="6"/>
      <c r="E34" s="6"/>
      <c r="F34" s="6"/>
      <c r="G34" s="6"/>
      <c r="H34" s="5"/>
      <c r="I34" s="6"/>
      <c r="J34" s="4"/>
      <c r="K34" s="4"/>
      <c r="L34" s="4"/>
      <c r="M34" s="4"/>
      <c r="N34" s="4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2.0" customHeight="1">
      <c r="A35" s="3"/>
      <c r="B35" s="2">
        <v>23.0</v>
      </c>
      <c r="C35" s="3" t="s">
        <v>180</v>
      </c>
      <c r="D35" s="6">
        <v>4.0156086121300004E7</v>
      </c>
      <c r="E35" s="6">
        <v>929467.5428000002</v>
      </c>
      <c r="F35" s="6">
        <f t="shared" ref="F35:F36" si="8">D35-E35</f>
        <v>39226618.58</v>
      </c>
      <c r="G35" s="27">
        <v>0.0</v>
      </c>
      <c r="H35" s="5">
        <v>57.0</v>
      </c>
      <c r="I35" s="6">
        <v>32985.38</v>
      </c>
      <c r="J35" s="4">
        <v>0.0</v>
      </c>
      <c r="K35" s="4">
        <f t="shared" ref="K35:K36" si="9">I35-J35</f>
        <v>32985.38</v>
      </c>
      <c r="L35" s="4">
        <f>I35+June!L35</f>
        <v>961589.08</v>
      </c>
      <c r="M35" s="4">
        <f>J35+June!M35</f>
        <v>5540207.95</v>
      </c>
      <c r="N35" s="4">
        <f t="shared" ref="N35:N36" si="10">L35-M35</f>
        <v>-4578618.87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47</v>
      </c>
      <c r="D36" s="6">
        <f>55.13*35950246.72</f>
        <v>1981937102</v>
      </c>
      <c r="E36" s="6">
        <f>55.13*1384465.85</f>
        <v>76325602.31</v>
      </c>
      <c r="F36" s="6">
        <f t="shared" si="8"/>
        <v>1905611499</v>
      </c>
      <c r="G36" s="6">
        <v>0.0</v>
      </c>
      <c r="H36" s="5">
        <v>2819.0</v>
      </c>
      <c r="I36" s="6">
        <f>55.13*87975.77</f>
        <v>4850104.2</v>
      </c>
      <c r="J36" s="6">
        <f>55.13*690439.65</f>
        <v>38063937.9</v>
      </c>
      <c r="K36" s="4">
        <f t="shared" si="9"/>
        <v>-33213833.7</v>
      </c>
      <c r="L36" s="4">
        <f>I36+June!L36</f>
        <v>256131992.5</v>
      </c>
      <c r="M36" s="4">
        <f>J36+June!M36</f>
        <v>259487251.2</v>
      </c>
      <c r="N36" s="4">
        <f t="shared" si="10"/>
        <v>-3355258.643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22" t="s">
        <v>48</v>
      </c>
      <c r="B37" s="23"/>
      <c r="C37" s="1"/>
      <c r="D37" s="24">
        <f t="shared" ref="D37:N37" si="11">SUM(D35:D36)</f>
        <v>2022093188</v>
      </c>
      <c r="E37" s="24">
        <f t="shared" si="11"/>
        <v>77255069.85</v>
      </c>
      <c r="F37" s="24">
        <f t="shared" si="11"/>
        <v>1944838118</v>
      </c>
      <c r="G37" s="24">
        <f t="shared" si="11"/>
        <v>0</v>
      </c>
      <c r="H37" s="24">
        <f t="shared" si="11"/>
        <v>2876</v>
      </c>
      <c r="I37" s="24">
        <f t="shared" si="11"/>
        <v>4883089.58</v>
      </c>
      <c r="J37" s="24">
        <f t="shared" si="11"/>
        <v>38063937.9</v>
      </c>
      <c r="K37" s="24">
        <f t="shared" si="11"/>
        <v>-33180848.32</v>
      </c>
      <c r="L37" s="24">
        <f t="shared" si="11"/>
        <v>257093581.6</v>
      </c>
      <c r="M37" s="24">
        <f t="shared" si="11"/>
        <v>265027459.1</v>
      </c>
      <c r="N37" s="24">
        <f t="shared" si="11"/>
        <v>-7933877.513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2.0" customHeight="1">
      <c r="A38" s="1" t="s">
        <v>49</v>
      </c>
      <c r="B38" s="23"/>
      <c r="C38" s="1"/>
      <c r="D38" s="24">
        <f t="shared" ref="D38:N38" si="12">D33+D37</f>
        <v>87556680018</v>
      </c>
      <c r="E38" s="24">
        <f t="shared" si="12"/>
        <v>15410212899</v>
      </c>
      <c r="F38" s="24">
        <f t="shared" si="12"/>
        <v>72146467119</v>
      </c>
      <c r="G38" s="24">
        <f t="shared" si="12"/>
        <v>65804131654</v>
      </c>
      <c r="H38" s="24">
        <f t="shared" si="12"/>
        <v>534257</v>
      </c>
      <c r="I38" s="24">
        <f t="shared" si="12"/>
        <v>797136433.3</v>
      </c>
      <c r="J38" s="24">
        <f t="shared" si="12"/>
        <v>37112041980</v>
      </c>
      <c r="K38" s="24">
        <f t="shared" si="12"/>
        <v>-36314905547</v>
      </c>
      <c r="L38" s="24">
        <f t="shared" si="12"/>
        <v>7877412741</v>
      </c>
      <c r="M38" s="24">
        <f t="shared" si="12"/>
        <v>42205127123</v>
      </c>
      <c r="N38" s="24">
        <f t="shared" si="12"/>
        <v>-34327714382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50</v>
      </c>
      <c r="B39" s="2"/>
      <c r="C39" s="3"/>
      <c r="D39" s="6"/>
      <c r="E39" s="6"/>
      <c r="F39" s="6"/>
      <c r="G39" s="6"/>
      <c r="H39" s="5"/>
      <c r="I39" s="6"/>
      <c r="J39" s="4"/>
      <c r="K39" s="4"/>
      <c r="L39" s="4"/>
      <c r="M39" s="4"/>
      <c r="N39" s="4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ht="12.0" customHeight="1">
      <c r="A40" s="18" t="s">
        <v>20</v>
      </c>
      <c r="B40" s="2"/>
      <c r="C40" s="3"/>
      <c r="D40" s="6"/>
      <c r="E40" s="6"/>
      <c r="F40" s="6"/>
      <c r="G40" s="6"/>
      <c r="H40" s="5"/>
      <c r="I40" s="6"/>
      <c r="J40" s="4"/>
      <c r="K40" s="4"/>
      <c r="L40" s="4"/>
      <c r="M40" s="4"/>
      <c r="N40" s="4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/>
      <c r="B41" s="2">
        <v>25.0</v>
      </c>
      <c r="C41" s="3" t="s">
        <v>181</v>
      </c>
      <c r="D41" s="6">
        <v>1.2377735202E8</v>
      </c>
      <c r="E41" s="6">
        <v>917736.31</v>
      </c>
      <c r="F41" s="6">
        <f t="shared" ref="F41:F50" si="13">D41-E41</f>
        <v>122859615.7</v>
      </c>
      <c r="G41" s="6">
        <v>3.002527E7</v>
      </c>
      <c r="H41" s="5">
        <v>729.0</v>
      </c>
      <c r="I41" s="6">
        <v>398023.5800000001</v>
      </c>
      <c r="J41" s="4">
        <v>272293.83</v>
      </c>
      <c r="K41" s="4">
        <f t="shared" ref="K41:K50" si="14">I41-J41</f>
        <v>125729.75</v>
      </c>
      <c r="L41" s="4">
        <f>I41+June!L41</f>
        <v>9464005.65</v>
      </c>
      <c r="M41" s="4">
        <f>J41+June!M41</f>
        <v>3896417.79</v>
      </c>
      <c r="N41" s="4">
        <f t="shared" ref="N41:N50" si="15">L41-M41</f>
        <v>5567587.86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3"/>
      <c r="B42" s="2">
        <v>26.0</v>
      </c>
      <c r="C42" s="3" t="s">
        <v>182</v>
      </c>
      <c r="D42" s="6">
        <v>6.2924422904E8</v>
      </c>
      <c r="E42" s="6">
        <v>1501038.16</v>
      </c>
      <c r="F42" s="6">
        <f t="shared" si="13"/>
        <v>627743190.9</v>
      </c>
      <c r="G42" s="6">
        <v>2.3202781365E8</v>
      </c>
      <c r="H42" s="5">
        <v>2461.0</v>
      </c>
      <c r="I42" s="6">
        <v>701595.1700000002</v>
      </c>
      <c r="J42" s="4">
        <v>1121767.8699999999</v>
      </c>
      <c r="K42" s="4">
        <f t="shared" si="14"/>
        <v>-420172.7</v>
      </c>
      <c r="L42" s="4">
        <f>I42+June!L42</f>
        <v>11512161.66</v>
      </c>
      <c r="M42" s="4">
        <f>J42+June!M42</f>
        <v>36800343.59</v>
      </c>
      <c r="N42" s="4">
        <f t="shared" si="15"/>
        <v>-25288181.93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53</v>
      </c>
      <c r="D43" s="6">
        <v>1.10018676249E9</v>
      </c>
      <c r="E43" s="6">
        <v>1.392789218E7</v>
      </c>
      <c r="F43" s="6">
        <f t="shared" si="13"/>
        <v>1086258870</v>
      </c>
      <c r="G43" s="6">
        <v>4.5568040045E8</v>
      </c>
      <c r="H43" s="5">
        <v>4811.0</v>
      </c>
      <c r="I43" s="6">
        <v>1.0347261675E7</v>
      </c>
      <c r="J43" s="4">
        <v>2900083.18999999</v>
      </c>
      <c r="K43" s="4">
        <f t="shared" si="14"/>
        <v>7447178.485</v>
      </c>
      <c r="L43" s="4">
        <f>I43+June!L43</f>
        <v>27789827.89</v>
      </c>
      <c r="M43" s="4">
        <f>J43+June!M43</f>
        <v>167513089.7</v>
      </c>
      <c r="N43" s="4">
        <f t="shared" si="15"/>
        <v>-139723261.9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54</v>
      </c>
      <c r="D44" s="6">
        <v>2.9952911608E8</v>
      </c>
      <c r="E44" s="6">
        <v>6080191.01</v>
      </c>
      <c r="F44" s="6">
        <f t="shared" si="13"/>
        <v>293448925.1</v>
      </c>
      <c r="G44" s="6">
        <v>1.2386341531E8</v>
      </c>
      <c r="H44" s="5">
        <v>208.0</v>
      </c>
      <c r="I44" s="6">
        <v>3210470.14</v>
      </c>
      <c r="J44" s="4">
        <v>24530.75</v>
      </c>
      <c r="K44" s="4">
        <f t="shared" si="14"/>
        <v>3185939.39</v>
      </c>
      <c r="L44" s="4">
        <f>I44+June!L44</f>
        <v>300315648</v>
      </c>
      <c r="M44" s="4">
        <f>J44+June!M44</f>
        <v>14062037.28</v>
      </c>
      <c r="N44" s="4">
        <f t="shared" si="15"/>
        <v>286253610.7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55</v>
      </c>
      <c r="D45" s="6">
        <v>3.3250175428E8</v>
      </c>
      <c r="E45" s="6">
        <v>1335752.29</v>
      </c>
      <c r="F45" s="6">
        <f t="shared" si="13"/>
        <v>331166002</v>
      </c>
      <c r="G45" s="6">
        <v>1.52026791E8</v>
      </c>
      <c r="H45" s="5">
        <v>56.0</v>
      </c>
      <c r="I45" s="6">
        <v>0.0</v>
      </c>
      <c r="J45" s="4">
        <v>0.0</v>
      </c>
      <c r="K45" s="4">
        <f t="shared" si="14"/>
        <v>0</v>
      </c>
      <c r="L45" s="4">
        <f>I45+June!L45</f>
        <v>0</v>
      </c>
      <c r="M45" s="4">
        <f>J45+June!M45</f>
        <v>2789770.37</v>
      </c>
      <c r="N45" s="4">
        <f t="shared" si="15"/>
        <v>-2789770.37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56</v>
      </c>
      <c r="D46" s="6">
        <v>5.7254368373E8</v>
      </c>
      <c r="E46" s="6">
        <v>1.840738299E7</v>
      </c>
      <c r="F46" s="6">
        <f t="shared" si="13"/>
        <v>554136300.7</v>
      </c>
      <c r="G46" s="6">
        <v>2.7090523231E8</v>
      </c>
      <c r="H46" s="5">
        <v>10209.0</v>
      </c>
      <c r="I46" s="6">
        <v>393991.6</v>
      </c>
      <c r="J46" s="4">
        <v>2636019.01</v>
      </c>
      <c r="K46" s="4">
        <f t="shared" si="14"/>
        <v>-2242027.41</v>
      </c>
      <c r="L46" s="4">
        <f>I46+June!L46</f>
        <v>4707442.5</v>
      </c>
      <c r="M46" s="4">
        <f>J46+June!M46</f>
        <v>36001026.72</v>
      </c>
      <c r="N46" s="4">
        <f t="shared" si="15"/>
        <v>-31293584.22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57</v>
      </c>
      <c r="D47" s="6">
        <v>2.62672973424E9</v>
      </c>
      <c r="E47" s="6">
        <v>5.2421717425E8</v>
      </c>
      <c r="F47" s="6">
        <f t="shared" si="13"/>
        <v>2102512560</v>
      </c>
      <c r="G47" s="6">
        <v>5.6177332049E8</v>
      </c>
      <c r="H47" s="5">
        <v>8325.0</v>
      </c>
      <c r="I47" s="6">
        <v>2.591686841E7</v>
      </c>
      <c r="J47" s="4">
        <v>8.11372028496E9</v>
      </c>
      <c r="K47" s="4">
        <f t="shared" si="14"/>
        <v>-8087803417</v>
      </c>
      <c r="L47" s="4">
        <f>I47+June!L47</f>
        <v>190385502.9</v>
      </c>
      <c r="M47" s="4">
        <f>J47+June!M47</f>
        <v>8227178653</v>
      </c>
      <c r="N47" s="4">
        <f t="shared" si="15"/>
        <v>-8036793150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1.25" customHeight="1">
      <c r="A48" s="18"/>
      <c r="B48" s="2">
        <v>32.0</v>
      </c>
      <c r="C48" s="3" t="s">
        <v>183</v>
      </c>
      <c r="D48" s="6">
        <v>1.3618178736E8</v>
      </c>
      <c r="E48" s="6">
        <v>864066.18</v>
      </c>
      <c r="F48" s="6">
        <f t="shared" si="13"/>
        <v>135317721.2</v>
      </c>
      <c r="G48" s="6">
        <v>7.03844541E7</v>
      </c>
      <c r="H48" s="5">
        <v>197.0</v>
      </c>
      <c r="I48" s="6">
        <v>13493.99</v>
      </c>
      <c r="J48" s="4">
        <v>5565.43</v>
      </c>
      <c r="K48" s="4">
        <f t="shared" si="14"/>
        <v>7928.56</v>
      </c>
      <c r="L48" s="4">
        <f>I48+June!L48</f>
        <v>3386363.25</v>
      </c>
      <c r="M48" s="4">
        <f>J48+June!M48</f>
        <v>6636385.62</v>
      </c>
      <c r="N48" s="4">
        <f t="shared" si="15"/>
        <v>-3250022.37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v>33.0</v>
      </c>
      <c r="C49" s="3" t="s">
        <v>59</v>
      </c>
      <c r="D49" s="6">
        <v>7.35564146665E9</v>
      </c>
      <c r="E49" s="6">
        <v>9.276647923E7</v>
      </c>
      <c r="F49" s="6">
        <f t="shared" si="13"/>
        <v>7262874987</v>
      </c>
      <c r="G49" s="6">
        <v>3.67234132119E9</v>
      </c>
      <c r="H49" s="5">
        <v>53333.0</v>
      </c>
      <c r="I49" s="6">
        <v>1.235438169E7</v>
      </c>
      <c r="J49" s="4">
        <v>2.277423828E7</v>
      </c>
      <c r="K49" s="4">
        <f t="shared" si="14"/>
        <v>-10419856.59</v>
      </c>
      <c r="L49" s="4">
        <f>I49+June!L49</f>
        <v>111784594.5</v>
      </c>
      <c r="M49" s="4">
        <f>J49+June!M49</f>
        <v>320339478.4</v>
      </c>
      <c r="N49" s="4">
        <f t="shared" si="15"/>
        <v>-208554884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60</v>
      </c>
      <c r="D50" s="6">
        <v>1.19267769214E9</v>
      </c>
      <c r="E50" s="6">
        <v>4.304323984E7</v>
      </c>
      <c r="F50" s="6">
        <f t="shared" si="13"/>
        <v>1149634452</v>
      </c>
      <c r="G50" s="6">
        <v>7.272363636E8</v>
      </c>
      <c r="H50" s="5">
        <v>4998.0</v>
      </c>
      <c r="I50" s="6">
        <v>0.0</v>
      </c>
      <c r="J50" s="4">
        <v>591782.54</v>
      </c>
      <c r="K50" s="4">
        <f t="shared" si="14"/>
        <v>-591782.54</v>
      </c>
      <c r="L50" s="4">
        <f>I50+June!L50</f>
        <v>0</v>
      </c>
      <c r="M50" s="4">
        <f>J50+June!M50</f>
        <v>54336939.95</v>
      </c>
      <c r="N50" s="4">
        <f t="shared" si="15"/>
        <v>-54336939.95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18" t="s">
        <v>40</v>
      </c>
      <c r="B51" s="2"/>
      <c r="C51" s="3"/>
      <c r="D51" s="6"/>
      <c r="E51" s="6"/>
      <c r="F51" s="6"/>
      <c r="G51" s="6"/>
      <c r="H51" s="5"/>
      <c r="I51" s="6"/>
      <c r="J51" s="4"/>
      <c r="K51" s="4"/>
      <c r="L51" s="4"/>
      <c r="M51" s="4"/>
      <c r="N51" s="4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v>35.0</v>
      </c>
      <c r="C52" s="3" t="s">
        <v>61</v>
      </c>
      <c r="D52" s="6">
        <v>7.113206161E7</v>
      </c>
      <c r="E52" s="6">
        <v>320678.63</v>
      </c>
      <c r="F52" s="6">
        <f t="shared" ref="F52:F54" si="16">D52-E52</f>
        <v>70811382.98</v>
      </c>
      <c r="G52" s="6">
        <v>2.56019073E7</v>
      </c>
      <c r="H52" s="5">
        <v>964.0</v>
      </c>
      <c r="I52" s="6">
        <v>451797.15</v>
      </c>
      <c r="J52" s="4">
        <v>116647.3</v>
      </c>
      <c r="K52" s="4">
        <f t="shared" ref="K52:K54" si="17">I52-J52</f>
        <v>335149.85</v>
      </c>
      <c r="L52" s="4">
        <f>I52+June!L52</f>
        <v>4824152.93</v>
      </c>
      <c r="M52" s="4">
        <f>J52+June!M52</f>
        <v>1268337.66</v>
      </c>
      <c r="N52" s="4">
        <f t="shared" ref="N52:N54" si="18">L52-M52</f>
        <v>3555815.27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62</v>
      </c>
      <c r="D53" s="6">
        <v>5.315285056E7</v>
      </c>
      <c r="E53" s="6">
        <v>278829.29</v>
      </c>
      <c r="F53" s="6">
        <f t="shared" si="16"/>
        <v>52874021.27</v>
      </c>
      <c r="G53" s="6">
        <v>4.15755933E7</v>
      </c>
      <c r="H53" s="5">
        <v>368.0</v>
      </c>
      <c r="I53" s="6">
        <v>452900.0</v>
      </c>
      <c r="J53" s="4">
        <v>10859.3</v>
      </c>
      <c r="K53" s="4">
        <f t="shared" si="17"/>
        <v>442040.7</v>
      </c>
      <c r="L53" s="4">
        <f>I53+June!L53</f>
        <v>4955088.54</v>
      </c>
      <c r="M53" s="4">
        <f>J53+June!M53</f>
        <v>381199.11</v>
      </c>
      <c r="N53" s="4">
        <f t="shared" si="18"/>
        <v>4573889.43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63</v>
      </c>
      <c r="D54" s="6">
        <v>4.505076835E7</v>
      </c>
      <c r="E54" s="6">
        <v>270947.98</v>
      </c>
      <c r="F54" s="6">
        <f t="shared" si="16"/>
        <v>44779820.37</v>
      </c>
      <c r="G54" s="6">
        <v>3.79157645E7</v>
      </c>
      <c r="H54" s="5">
        <v>172.0</v>
      </c>
      <c r="I54" s="6">
        <v>376164.0</v>
      </c>
      <c r="J54" s="4">
        <v>101414.29</v>
      </c>
      <c r="K54" s="4">
        <f t="shared" si="17"/>
        <v>274749.71</v>
      </c>
      <c r="L54" s="4">
        <f>I54+June!L54</f>
        <v>1993930.67</v>
      </c>
      <c r="M54" s="4">
        <f>J54+June!M54</f>
        <v>260027.56</v>
      </c>
      <c r="N54" s="4">
        <f t="shared" si="18"/>
        <v>1733903.11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22" t="s">
        <v>44</v>
      </c>
      <c r="B55" s="22"/>
      <c r="C55" s="1"/>
      <c r="D55" s="24">
        <f t="shared" ref="D55:N55" si="19">SUM(D41:D54)</f>
        <v>14538349259</v>
      </c>
      <c r="E55" s="24">
        <f t="shared" si="19"/>
        <v>703931408.3</v>
      </c>
      <c r="F55" s="24">
        <f t="shared" si="19"/>
        <v>13834417850</v>
      </c>
      <c r="G55" s="24">
        <f t="shared" si="19"/>
        <v>6401357647</v>
      </c>
      <c r="H55" s="24">
        <f t="shared" si="19"/>
        <v>86831</v>
      </c>
      <c r="I55" s="24">
        <f t="shared" si="19"/>
        <v>54616947.41</v>
      </c>
      <c r="J55" s="24">
        <f t="shared" si="19"/>
        <v>8144275487</v>
      </c>
      <c r="K55" s="24">
        <f t="shared" si="19"/>
        <v>-8089658539</v>
      </c>
      <c r="L55" s="24">
        <f t="shared" si="19"/>
        <v>671118718.4</v>
      </c>
      <c r="M55" s="24">
        <f t="shared" si="19"/>
        <v>8871463707</v>
      </c>
      <c r="N55" s="24">
        <f t="shared" si="19"/>
        <v>-8200344988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2.0" customHeight="1">
      <c r="A56" s="18" t="s">
        <v>45</v>
      </c>
      <c r="B56" s="2"/>
      <c r="C56" s="3"/>
      <c r="D56" s="6"/>
      <c r="E56" s="6"/>
      <c r="F56" s="6"/>
      <c r="G56" s="6"/>
      <c r="H56" s="5"/>
      <c r="I56" s="6"/>
      <c r="J56" s="4"/>
      <c r="K56" s="4"/>
      <c r="L56" s="4"/>
      <c r="M56" s="4"/>
      <c r="N56" s="4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18"/>
      <c r="B57" s="2">
        <v>38.0</v>
      </c>
      <c r="C57" s="3" t="s">
        <v>64</v>
      </c>
      <c r="D57" s="6">
        <f>55.13*1363212.42</f>
        <v>75153900.71</v>
      </c>
      <c r="E57" s="6">
        <f>55.13*6948.31</f>
        <v>383060.3303</v>
      </c>
      <c r="F57" s="6">
        <f t="shared" ref="F57:F60" si="20">D57-E57</f>
        <v>74770840.38</v>
      </c>
      <c r="G57" s="6">
        <v>0.0</v>
      </c>
      <c r="H57" s="5">
        <v>55.0</v>
      </c>
      <c r="I57" s="6">
        <v>0.0</v>
      </c>
      <c r="J57" s="6">
        <v>0.0</v>
      </c>
      <c r="K57" s="4">
        <f t="shared" ref="K57:K60" si="21">I57-J57</f>
        <v>0</v>
      </c>
      <c r="L57" s="4">
        <f>I57+June!L57</f>
        <v>5201914.981</v>
      </c>
      <c r="M57" s="4">
        <f>J57+June!M57</f>
        <v>4087392.839</v>
      </c>
      <c r="N57" s="4">
        <f t="shared" ref="N57:N60" si="22">L57-M57</f>
        <v>1114522.142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65</v>
      </c>
      <c r="D58" s="6">
        <f>55.13*6573082.01</f>
        <v>362374011.2</v>
      </c>
      <c r="E58" s="6">
        <f>55.13*416045.94</f>
        <v>22936612.67</v>
      </c>
      <c r="F58" s="6">
        <f t="shared" si="20"/>
        <v>339437398.5</v>
      </c>
      <c r="G58" s="6">
        <f>55.13*3200550.31</f>
        <v>176446338.6</v>
      </c>
      <c r="H58" s="5">
        <v>274.0</v>
      </c>
      <c r="I58" s="6">
        <f>55.13*600.39</f>
        <v>33099.5007</v>
      </c>
      <c r="J58" s="6">
        <f>55.13*1951.02</f>
        <v>107559.7326</v>
      </c>
      <c r="K58" s="4">
        <f t="shared" si="21"/>
        <v>-74460.2319</v>
      </c>
      <c r="L58" s="4">
        <f>I58+June!L58</f>
        <v>596610.8451</v>
      </c>
      <c r="M58" s="4">
        <f>J58+June!M58</f>
        <v>12341219.35</v>
      </c>
      <c r="N58" s="4">
        <f t="shared" si="22"/>
        <v>-11744608.5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3"/>
      <c r="B59" s="2">
        <v>40.0</v>
      </c>
      <c r="C59" s="3" t="s">
        <v>66</v>
      </c>
      <c r="D59" s="6">
        <f>55.13*30177700.07</f>
        <v>1663696605</v>
      </c>
      <c r="E59" s="6">
        <f>55.13*422903.74</f>
        <v>23314683.19</v>
      </c>
      <c r="F59" s="6">
        <f t="shared" si="20"/>
        <v>1640381922</v>
      </c>
      <c r="G59" s="6">
        <v>0.0</v>
      </c>
      <c r="H59" s="5">
        <v>4125.0</v>
      </c>
      <c r="I59" s="6">
        <f>55.13*40185.69</f>
        <v>2215437.09</v>
      </c>
      <c r="J59" s="6">
        <f>55.13*243330.98</f>
        <v>13414836.93</v>
      </c>
      <c r="K59" s="4">
        <f t="shared" si="21"/>
        <v>-11199399.84</v>
      </c>
      <c r="L59" s="4">
        <f>I59+June!L59</f>
        <v>60331070.35</v>
      </c>
      <c r="M59" s="4">
        <f>J59+June!M59</f>
        <v>156213957.4</v>
      </c>
      <c r="N59" s="4">
        <f t="shared" si="22"/>
        <v>-95882887.01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67</v>
      </c>
      <c r="D60" s="6">
        <f>55.13*6118303.36</f>
        <v>337302064.2</v>
      </c>
      <c r="E60" s="6">
        <f>55.13*305930.64</f>
        <v>16865956.18</v>
      </c>
      <c r="F60" s="6">
        <f t="shared" si="20"/>
        <v>320436108.1</v>
      </c>
      <c r="G60" s="6">
        <v>0.0</v>
      </c>
      <c r="H60" s="5">
        <v>705.0</v>
      </c>
      <c r="I60" s="6">
        <f>55.13*700</f>
        <v>38591</v>
      </c>
      <c r="J60" s="6">
        <f>55.13*246557.79</f>
        <v>13592730.96</v>
      </c>
      <c r="K60" s="4">
        <f t="shared" si="21"/>
        <v>-13554139.96</v>
      </c>
      <c r="L60" s="4">
        <f>I60+June!L60</f>
        <v>9994005.781</v>
      </c>
      <c r="M60" s="4">
        <f>J60+June!M60</f>
        <v>31035580.73</v>
      </c>
      <c r="N60" s="4">
        <f t="shared" si="22"/>
        <v>-21041574.95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22" t="s">
        <v>48</v>
      </c>
      <c r="B61" s="23"/>
      <c r="C61" s="1"/>
      <c r="D61" s="24">
        <f t="shared" ref="D61:N61" si="23">SUM(D57:D60)</f>
        <v>2438526581</v>
      </c>
      <c r="E61" s="24">
        <f t="shared" si="23"/>
        <v>63500312.37</v>
      </c>
      <c r="F61" s="24">
        <f t="shared" si="23"/>
        <v>2375026269</v>
      </c>
      <c r="G61" s="24">
        <f t="shared" si="23"/>
        <v>176446338.6</v>
      </c>
      <c r="H61" s="24">
        <f t="shared" si="23"/>
        <v>5159</v>
      </c>
      <c r="I61" s="24">
        <f t="shared" si="23"/>
        <v>2287127.59</v>
      </c>
      <c r="J61" s="24">
        <f t="shared" si="23"/>
        <v>27115127.62</v>
      </c>
      <c r="K61" s="24">
        <f t="shared" si="23"/>
        <v>-24828000.03</v>
      </c>
      <c r="L61" s="24">
        <f t="shared" si="23"/>
        <v>76123601.96</v>
      </c>
      <c r="M61" s="24">
        <f t="shared" si="23"/>
        <v>203678150.3</v>
      </c>
      <c r="N61" s="24">
        <f t="shared" si="23"/>
        <v>-127554548.3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2.0" customHeight="1">
      <c r="A62" s="1" t="s">
        <v>68</v>
      </c>
      <c r="B62" s="23"/>
      <c r="C62" s="1"/>
      <c r="D62" s="24">
        <f t="shared" ref="D62:N62" si="24">D55+D61</f>
        <v>16976875840</v>
      </c>
      <c r="E62" s="24">
        <f t="shared" si="24"/>
        <v>767431720.7</v>
      </c>
      <c r="F62" s="24">
        <f t="shared" si="24"/>
        <v>16209444119</v>
      </c>
      <c r="G62" s="24">
        <f t="shared" si="24"/>
        <v>6577803986</v>
      </c>
      <c r="H62" s="24">
        <f t="shared" si="24"/>
        <v>91990</v>
      </c>
      <c r="I62" s="24">
        <f t="shared" si="24"/>
        <v>56904075</v>
      </c>
      <c r="J62" s="24">
        <f t="shared" si="24"/>
        <v>8171390614</v>
      </c>
      <c r="K62" s="24">
        <f t="shared" si="24"/>
        <v>-8114486539</v>
      </c>
      <c r="L62" s="24">
        <f t="shared" si="24"/>
        <v>747242320.4</v>
      </c>
      <c r="M62" s="24">
        <f t="shared" si="24"/>
        <v>9075141857</v>
      </c>
      <c r="N62" s="24">
        <f t="shared" si="24"/>
        <v>-8327899537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69</v>
      </c>
      <c r="B63" s="2"/>
      <c r="C63" s="3"/>
      <c r="D63" s="6"/>
      <c r="E63" s="6"/>
      <c r="F63" s="6"/>
      <c r="G63" s="6"/>
      <c r="H63" s="5"/>
      <c r="I63" s="6"/>
      <c r="J63" s="4"/>
      <c r="K63" s="4"/>
      <c r="L63" s="4"/>
      <c r="M63" s="4"/>
      <c r="N63" s="4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ht="12.0" customHeight="1">
      <c r="A64" s="18" t="s">
        <v>20</v>
      </c>
      <c r="B64" s="2"/>
      <c r="C64" s="3"/>
      <c r="D64" s="6"/>
      <c r="E64" s="6"/>
      <c r="F64" s="6"/>
      <c r="G64" s="6"/>
      <c r="H64" s="5"/>
      <c r="I64" s="6"/>
      <c r="J64" s="4"/>
      <c r="K64" s="4"/>
      <c r="L64" s="4"/>
      <c r="M64" s="4"/>
      <c r="N64" s="4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3"/>
      <c r="B65" s="2">
        <v>42.0</v>
      </c>
      <c r="C65" s="3" t="s">
        <v>70</v>
      </c>
      <c r="D65" s="6">
        <v>4.175931363446E10</v>
      </c>
      <c r="E65" s="6">
        <v>2.9366217854E8</v>
      </c>
      <c r="F65" s="6">
        <f t="shared" ref="F65:F75" si="25">D65-E65</f>
        <v>41465651456</v>
      </c>
      <c r="G65" s="6">
        <v>9.3986E8</v>
      </c>
      <c r="H65" s="5">
        <v>26480.0</v>
      </c>
      <c r="I65" s="6">
        <v>3.0948229761E8</v>
      </c>
      <c r="J65" s="4">
        <v>5.8409017655E8</v>
      </c>
      <c r="K65" s="4">
        <f t="shared" ref="K65:K75" si="26">I65-J65</f>
        <v>-274607878.9</v>
      </c>
      <c r="L65" s="4">
        <f>I65+June!L65</f>
        <v>1912006088</v>
      </c>
      <c r="M65" s="4">
        <f>J65+June!M65</f>
        <v>4568149962</v>
      </c>
      <c r="N65" s="4">
        <f t="shared" ref="N65:N75" si="27">L65-M65</f>
        <v>-2656143874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184</v>
      </c>
      <c r="D66" s="6">
        <v>3.4870927507E8</v>
      </c>
      <c r="E66" s="6">
        <v>745693.54</v>
      </c>
      <c r="F66" s="6">
        <f t="shared" si="25"/>
        <v>347963581.5</v>
      </c>
      <c r="G66" s="6">
        <v>0.0</v>
      </c>
      <c r="H66" s="5">
        <v>1057.0</v>
      </c>
      <c r="I66" s="6">
        <v>4.83954366E7</v>
      </c>
      <c r="J66" s="4">
        <v>3080820.7</v>
      </c>
      <c r="K66" s="4">
        <f t="shared" si="26"/>
        <v>45314615.9</v>
      </c>
      <c r="L66" s="4">
        <f>I66+June!L66</f>
        <v>72792076.69</v>
      </c>
      <c r="M66" s="4">
        <f>J66+June!M66</f>
        <v>18110517.67</v>
      </c>
      <c r="N66" s="4">
        <f t="shared" si="27"/>
        <v>54681559.02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72</v>
      </c>
      <c r="D67" s="6">
        <v>1.169982265E9</v>
      </c>
      <c r="E67" s="6">
        <v>1.8086257220000003E7</v>
      </c>
      <c r="F67" s="6">
        <f t="shared" si="25"/>
        <v>1151896008</v>
      </c>
      <c r="G67" s="6">
        <v>0.0</v>
      </c>
      <c r="H67" s="5">
        <v>2031.0</v>
      </c>
      <c r="I67" s="6">
        <v>1677549.0299999972</v>
      </c>
      <c r="J67" s="4">
        <v>1.8897219599999994E7</v>
      </c>
      <c r="K67" s="4">
        <f t="shared" si="26"/>
        <v>-17219670.57</v>
      </c>
      <c r="L67" s="4">
        <f>I67+June!L67</f>
        <v>126082306.6</v>
      </c>
      <c r="M67" s="4">
        <f>J67+June!M67</f>
        <v>198509289</v>
      </c>
      <c r="N67" s="4">
        <f t="shared" si="27"/>
        <v>-72426982.41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1"/>
      <c r="B68" s="2">
        <v>45.0</v>
      </c>
      <c r="C68" s="3" t="s">
        <v>73</v>
      </c>
      <c r="D68" s="6">
        <v>1.9545070352E8</v>
      </c>
      <c r="E68" s="6">
        <v>295716.29</v>
      </c>
      <c r="F68" s="6">
        <f t="shared" si="25"/>
        <v>195154987.2</v>
      </c>
      <c r="G68" s="6">
        <v>5000000.0</v>
      </c>
      <c r="H68" s="5">
        <v>154.0</v>
      </c>
      <c r="I68" s="6">
        <v>154986.31</v>
      </c>
      <c r="J68" s="4">
        <v>1496653.34</v>
      </c>
      <c r="K68" s="4">
        <f t="shared" si="26"/>
        <v>-1341667.03</v>
      </c>
      <c r="L68" s="4">
        <f>I68+June!L68</f>
        <v>2192284.79</v>
      </c>
      <c r="M68" s="4">
        <f>J68+June!M68</f>
        <v>4334194.83</v>
      </c>
      <c r="N68" s="4">
        <f t="shared" si="27"/>
        <v>-2141910.04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v>46.0</v>
      </c>
      <c r="C69" s="3" t="s">
        <v>74</v>
      </c>
      <c r="D69" s="6">
        <v>1.36197947121E9</v>
      </c>
      <c r="E69" s="6">
        <v>2828481.27</v>
      </c>
      <c r="F69" s="6">
        <f t="shared" si="25"/>
        <v>1359150990</v>
      </c>
      <c r="G69" s="6">
        <v>0.0</v>
      </c>
      <c r="H69" s="5">
        <v>1863.0</v>
      </c>
      <c r="I69" s="6">
        <v>730764.0</v>
      </c>
      <c r="J69" s="4">
        <v>2.4399016E7</v>
      </c>
      <c r="K69" s="4">
        <f t="shared" si="26"/>
        <v>-23668252</v>
      </c>
      <c r="L69" s="4">
        <f>I69+June!L69</f>
        <v>27264355.41</v>
      </c>
      <c r="M69" s="4">
        <f>J69+June!M69</f>
        <v>184530872.3</v>
      </c>
      <c r="N69" s="4">
        <f t="shared" si="27"/>
        <v>-157266516.9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75</v>
      </c>
      <c r="D70" s="6">
        <v>9.6605513867E8</v>
      </c>
      <c r="E70" s="6">
        <v>8.632100233E7</v>
      </c>
      <c r="F70" s="6">
        <f t="shared" si="25"/>
        <v>879734136.3</v>
      </c>
      <c r="G70" s="6">
        <v>0.0</v>
      </c>
      <c r="H70" s="5">
        <v>536.0</v>
      </c>
      <c r="I70" s="6">
        <v>871036.74</v>
      </c>
      <c r="J70" s="4">
        <v>6.294291518E7</v>
      </c>
      <c r="K70" s="4">
        <f t="shared" si="26"/>
        <v>-62071878.44</v>
      </c>
      <c r="L70" s="4">
        <f>I70+June!L70</f>
        <v>21431383.27</v>
      </c>
      <c r="M70" s="4">
        <f>J70+June!M70</f>
        <v>130705915.3</v>
      </c>
      <c r="N70" s="4">
        <f t="shared" si="27"/>
        <v>-109274532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76</v>
      </c>
      <c r="D71" s="6">
        <v>2.54167466075E9</v>
      </c>
      <c r="E71" s="6">
        <v>3.00079879E7</v>
      </c>
      <c r="F71" s="6">
        <f t="shared" si="25"/>
        <v>2511666673</v>
      </c>
      <c r="G71" s="6">
        <v>0.0</v>
      </c>
      <c r="H71" s="5">
        <v>5122.0</v>
      </c>
      <c r="I71" s="6">
        <v>2.673771547E7</v>
      </c>
      <c r="J71" s="4">
        <v>3.76849274796E9</v>
      </c>
      <c r="K71" s="4">
        <f t="shared" si="26"/>
        <v>-3741755032</v>
      </c>
      <c r="L71" s="4">
        <f>I71+June!L71</f>
        <v>216613926.3</v>
      </c>
      <c r="M71" s="4">
        <f>J71+June!M71</f>
        <v>4165000152</v>
      </c>
      <c r="N71" s="4">
        <f t="shared" si="27"/>
        <v>-3948386226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77</v>
      </c>
      <c r="D72" s="6">
        <v>3.18102741040344E8</v>
      </c>
      <c r="E72" s="6">
        <v>454955.596300099</v>
      </c>
      <c r="F72" s="6">
        <f t="shared" si="25"/>
        <v>317647785.4</v>
      </c>
      <c r="G72" s="6">
        <v>0.0</v>
      </c>
      <c r="H72" s="5">
        <v>4172.0</v>
      </c>
      <c r="I72" s="6">
        <v>598841.0</v>
      </c>
      <c r="J72" s="4">
        <v>1301489.24</v>
      </c>
      <c r="K72" s="4">
        <f t="shared" si="26"/>
        <v>-702648.24</v>
      </c>
      <c r="L72" s="4">
        <f>I72+June!L72</f>
        <v>29615850.19</v>
      </c>
      <c r="M72" s="4">
        <f>J72+June!M72</f>
        <v>19393010.74</v>
      </c>
      <c r="N72" s="4">
        <f t="shared" si="27"/>
        <v>10222839.45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78</v>
      </c>
      <c r="D73" s="6">
        <v>1.08096423649E9</v>
      </c>
      <c r="E73" s="28">
        <v>2574675.77</v>
      </c>
      <c r="F73" s="6">
        <f t="shared" si="25"/>
        <v>1078389561</v>
      </c>
      <c r="G73" s="6">
        <v>0.0</v>
      </c>
      <c r="H73" s="5">
        <v>838.0</v>
      </c>
      <c r="I73" s="6">
        <v>7.642029573E7</v>
      </c>
      <c r="J73" s="4">
        <v>5393417.95</v>
      </c>
      <c r="K73" s="4">
        <f t="shared" si="26"/>
        <v>71026877.78</v>
      </c>
      <c r="L73" s="4">
        <f>I73+June!L73</f>
        <v>182560454.3</v>
      </c>
      <c r="M73" s="4">
        <f>J73+June!M73</f>
        <v>9363426.57</v>
      </c>
      <c r="N73" s="4">
        <f t="shared" si="27"/>
        <v>173197027.7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79</v>
      </c>
      <c r="D74" s="6">
        <v>4.3859426241E9</v>
      </c>
      <c r="E74" s="6">
        <v>6902337.64</v>
      </c>
      <c r="F74" s="6">
        <f t="shared" si="25"/>
        <v>4379040286</v>
      </c>
      <c r="G74" s="6">
        <v>0.0</v>
      </c>
      <c r="H74" s="5">
        <v>16182.0</v>
      </c>
      <c r="I74" s="6">
        <v>4.032749606E7</v>
      </c>
      <c r="J74" s="4">
        <v>6.83174445E7</v>
      </c>
      <c r="K74" s="4">
        <f t="shared" si="26"/>
        <v>-27989948.44</v>
      </c>
      <c r="L74" s="4">
        <f>I74+June!L74</f>
        <v>281433545</v>
      </c>
      <c r="M74" s="4">
        <f>J74+June!M74</f>
        <v>539385438.9</v>
      </c>
      <c r="N74" s="4">
        <f t="shared" si="27"/>
        <v>-257951893.9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80</v>
      </c>
      <c r="D75" s="6">
        <v>1.3845706943E8</v>
      </c>
      <c r="E75" s="6">
        <v>1090592.35</v>
      </c>
      <c r="F75" s="6">
        <f t="shared" si="25"/>
        <v>137366477.1</v>
      </c>
      <c r="G75" s="6">
        <v>0.0</v>
      </c>
      <c r="H75" s="5">
        <v>2582.0</v>
      </c>
      <c r="I75" s="6">
        <v>306074.65</v>
      </c>
      <c r="J75" s="4">
        <v>3675832.25</v>
      </c>
      <c r="K75" s="4">
        <f t="shared" si="26"/>
        <v>-3369757.6</v>
      </c>
      <c r="L75" s="4">
        <f>I75+June!L75</f>
        <v>4853418.46</v>
      </c>
      <c r="M75" s="4">
        <f>J75+June!M75</f>
        <v>27022625.31</v>
      </c>
      <c r="N75" s="4">
        <f t="shared" si="27"/>
        <v>-22169206.85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22" t="s">
        <v>44</v>
      </c>
      <c r="B76" s="1"/>
      <c r="C76" s="1"/>
      <c r="D76" s="24">
        <f t="shared" ref="D76:N76" si="28">SUM(D65:D75)</f>
        <v>54266631820</v>
      </c>
      <c r="E76" s="24">
        <f t="shared" si="28"/>
        <v>442969878.4</v>
      </c>
      <c r="F76" s="24">
        <f t="shared" si="28"/>
        <v>53823661941</v>
      </c>
      <c r="G76" s="24">
        <f t="shared" si="28"/>
        <v>944860000</v>
      </c>
      <c r="H76" s="24">
        <f t="shared" si="28"/>
        <v>61017</v>
      </c>
      <c r="I76" s="24">
        <f t="shared" si="28"/>
        <v>505702493.2</v>
      </c>
      <c r="J76" s="24">
        <f t="shared" si="28"/>
        <v>4542087733</v>
      </c>
      <c r="K76" s="24">
        <f t="shared" si="28"/>
        <v>-4036385240</v>
      </c>
      <c r="L76" s="24">
        <f t="shared" si="28"/>
        <v>2876845689</v>
      </c>
      <c r="M76" s="24">
        <f t="shared" si="28"/>
        <v>9864505405</v>
      </c>
      <c r="N76" s="24">
        <f t="shared" si="28"/>
        <v>-6987659716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18" t="s">
        <v>45</v>
      </c>
      <c r="B77" s="2"/>
      <c r="C77" s="3"/>
      <c r="D77" s="6"/>
      <c r="E77" s="6"/>
      <c r="F77" s="6"/>
      <c r="G77" s="6"/>
      <c r="H77" s="5"/>
      <c r="I77" s="6"/>
      <c r="J77" s="4"/>
      <c r="K77" s="4"/>
      <c r="L77" s="4"/>
      <c r="M77" s="4"/>
      <c r="N77" s="4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3"/>
      <c r="B78" s="2">
        <v>53.0</v>
      </c>
      <c r="C78" s="3" t="s">
        <v>81</v>
      </c>
      <c r="D78" s="6">
        <f>55.13*267476567.75</f>
        <v>14745983180</v>
      </c>
      <c r="E78" s="6">
        <f>55.13*1451259.39</f>
        <v>80007930.17</v>
      </c>
      <c r="F78" s="6">
        <f t="shared" ref="F78:F84" si="29">D78-E78</f>
        <v>14665975250</v>
      </c>
      <c r="G78" s="6">
        <v>0.0</v>
      </c>
      <c r="H78" s="5">
        <v>9520.0</v>
      </c>
      <c r="I78" s="6">
        <f>55.13*1001625.37</f>
        <v>55219606.65</v>
      </c>
      <c r="J78" s="4">
        <f>55.13*5634040.11</f>
        <v>310604631.3</v>
      </c>
      <c r="K78" s="4">
        <f t="shared" ref="K78:K84" si="30">I78-J78</f>
        <v>-255385024.6</v>
      </c>
      <c r="L78" s="4">
        <f>I78+June!L78</f>
        <v>705351297.2</v>
      </c>
      <c r="M78" s="4">
        <f>J78+June!M78</f>
        <v>4510471906</v>
      </c>
      <c r="N78" s="4">
        <f t="shared" ref="N78:N84" si="31">L78-M78</f>
        <v>-3805120609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185</v>
      </c>
      <c r="D79" s="6">
        <v>4.392934038667E8</v>
      </c>
      <c r="E79" s="6">
        <v>8.4936056552E7</v>
      </c>
      <c r="F79" s="6">
        <f t="shared" si="29"/>
        <v>354357347.3</v>
      </c>
      <c r="G79" s="6">
        <v>0.0</v>
      </c>
      <c r="H79" s="5">
        <v>197.0</v>
      </c>
      <c r="I79" s="6">
        <v>855343.05</v>
      </c>
      <c r="J79" s="4">
        <v>5.893642108E7</v>
      </c>
      <c r="K79" s="4">
        <f t="shared" si="30"/>
        <v>-58081078.03</v>
      </c>
      <c r="L79" s="4">
        <f>I79+June!L79</f>
        <v>19820489.45</v>
      </c>
      <c r="M79" s="4">
        <f>J79+June!M79</f>
        <v>441374432.4</v>
      </c>
      <c r="N79" s="4">
        <f t="shared" si="31"/>
        <v>-421553942.9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83</v>
      </c>
      <c r="D80" s="6">
        <v>5.008249032039E8</v>
      </c>
      <c r="E80" s="6">
        <v>3479416.9335</v>
      </c>
      <c r="F80" s="6">
        <f t="shared" si="29"/>
        <v>497345486.3</v>
      </c>
      <c r="G80" s="6">
        <v>0.0</v>
      </c>
      <c r="H80" s="5">
        <v>155.0</v>
      </c>
      <c r="I80" s="6">
        <v>1.4192619731815552E7</v>
      </c>
      <c r="J80" s="4">
        <v>2.4395493295601657E8</v>
      </c>
      <c r="K80" s="4">
        <f t="shared" si="30"/>
        <v>-229762313.2</v>
      </c>
      <c r="L80" s="4">
        <f>I80+June!L80</f>
        <v>15501916.84</v>
      </c>
      <c r="M80" s="4">
        <f>J80+June!M80</f>
        <v>258520657.4</v>
      </c>
      <c r="N80" s="4">
        <f t="shared" si="31"/>
        <v>-243018740.5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1.25" customHeight="1">
      <c r="A81" s="18"/>
      <c r="B81" s="2">
        <v>56.0</v>
      </c>
      <c r="C81" s="3" t="s">
        <v>84</v>
      </c>
      <c r="D81" s="6">
        <f>55.13*1182867.62</f>
        <v>65211491.89</v>
      </c>
      <c r="E81" s="6">
        <f>55.13*225159.1</f>
        <v>12413021.18</v>
      </c>
      <c r="F81" s="6">
        <f t="shared" si="29"/>
        <v>52798470.71</v>
      </c>
      <c r="G81" s="6">
        <v>0.0</v>
      </c>
      <c r="H81" s="5">
        <v>26.0</v>
      </c>
      <c r="I81" s="6">
        <v>0.0</v>
      </c>
      <c r="J81" s="6">
        <v>0.0</v>
      </c>
      <c r="K81" s="4">
        <f t="shared" si="30"/>
        <v>0</v>
      </c>
      <c r="L81" s="4">
        <f>I81+June!L81</f>
        <v>684910.0473</v>
      </c>
      <c r="M81" s="4">
        <f>J81+June!M81</f>
        <v>1188416.954</v>
      </c>
      <c r="N81" s="4">
        <f t="shared" si="31"/>
        <v>-503506.9064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v>57.0</v>
      </c>
      <c r="C82" s="3" t="s">
        <v>85</v>
      </c>
      <c r="D82" s="6">
        <f>55.13*40675197.86</f>
        <v>2242423658</v>
      </c>
      <c r="E82" s="6">
        <f>55.13*412428.73</f>
        <v>22737195.88</v>
      </c>
      <c r="F82" s="6">
        <f t="shared" si="29"/>
        <v>2219686462</v>
      </c>
      <c r="G82" s="6">
        <v>0.0</v>
      </c>
      <c r="H82" s="5">
        <v>2019.0</v>
      </c>
      <c r="I82" s="6">
        <f>55.13*2673.77</f>
        <v>147404.9401</v>
      </c>
      <c r="J82" s="6">
        <f>55.13*7882285.18</f>
        <v>434550382</v>
      </c>
      <c r="K82" s="4">
        <f t="shared" si="30"/>
        <v>-434402977</v>
      </c>
      <c r="L82" s="4">
        <f>I82+June!L82</f>
        <v>268301504.7</v>
      </c>
      <c r="M82" s="4">
        <f>J82+June!M82</f>
        <v>505498428.9</v>
      </c>
      <c r="N82" s="4">
        <f t="shared" si="31"/>
        <v>-237196924.2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86</v>
      </c>
      <c r="D83" s="6">
        <v>2.361808899113E8</v>
      </c>
      <c r="E83" s="6">
        <v>602941.9249</v>
      </c>
      <c r="F83" s="6">
        <f t="shared" si="29"/>
        <v>235577948</v>
      </c>
      <c r="G83" s="6">
        <v>0.0</v>
      </c>
      <c r="H83" s="5">
        <v>125.0</v>
      </c>
      <c r="I83" s="6">
        <v>0.0</v>
      </c>
      <c r="J83" s="4">
        <v>158534.58450000003</v>
      </c>
      <c r="K83" s="4">
        <f t="shared" si="30"/>
        <v>-158534.5845</v>
      </c>
      <c r="L83" s="4">
        <f>I83+June!L83</f>
        <v>1280795</v>
      </c>
      <c r="M83" s="4">
        <f>J83+June!M83</f>
        <v>2154226.79</v>
      </c>
      <c r="N83" s="4">
        <f t="shared" si="31"/>
        <v>-873431.7904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87</v>
      </c>
      <c r="D84" s="6">
        <f>55.13*10141873.03</f>
        <v>559121460.1</v>
      </c>
      <c r="E84" s="6">
        <f>55.13*1225044.38</f>
        <v>67536696.67</v>
      </c>
      <c r="F84" s="6">
        <f t="shared" si="29"/>
        <v>491584763.5</v>
      </c>
      <c r="G84" s="6">
        <v>0.0</v>
      </c>
      <c r="H84" s="5">
        <v>2517.0</v>
      </c>
      <c r="I84" s="6">
        <f>55.13*10526.95</f>
        <v>580350.7535</v>
      </c>
      <c r="J84" s="4">
        <f>55.13*60846.48</f>
        <v>3354466.442</v>
      </c>
      <c r="K84" s="4">
        <f t="shared" si="30"/>
        <v>-2774115.689</v>
      </c>
      <c r="L84" s="4">
        <f>I84+June!L84</f>
        <v>19890792.96</v>
      </c>
      <c r="M84" s="4">
        <f>J84+June!M84</f>
        <v>44914875.12</v>
      </c>
      <c r="N84" s="4">
        <f t="shared" si="31"/>
        <v>-25024082.17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22" t="s">
        <v>88</v>
      </c>
      <c r="B85" s="23"/>
      <c r="C85" s="29"/>
      <c r="D85" s="24">
        <f t="shared" ref="D85:N85" si="32">SUM(D78:D84)</f>
        <v>18789038987</v>
      </c>
      <c r="E85" s="24">
        <f t="shared" si="32"/>
        <v>271713259.3</v>
      </c>
      <c r="F85" s="24">
        <f t="shared" si="32"/>
        <v>18517325728</v>
      </c>
      <c r="G85" s="24">
        <f t="shared" si="32"/>
        <v>0</v>
      </c>
      <c r="H85" s="24">
        <f t="shared" si="32"/>
        <v>14559</v>
      </c>
      <c r="I85" s="24">
        <f t="shared" si="32"/>
        <v>70995325.12</v>
      </c>
      <c r="J85" s="24">
        <f t="shared" si="32"/>
        <v>1051559368</v>
      </c>
      <c r="K85" s="24">
        <f t="shared" si="32"/>
        <v>-980564043.2</v>
      </c>
      <c r="L85" s="24">
        <f t="shared" si="32"/>
        <v>1030831706</v>
      </c>
      <c r="M85" s="24">
        <f t="shared" si="32"/>
        <v>5764122944</v>
      </c>
      <c r="N85" s="24">
        <f t="shared" si="32"/>
        <v>-4733291237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v>60.0</v>
      </c>
      <c r="C86" s="3" t="s">
        <v>89</v>
      </c>
      <c r="D86" s="6">
        <f>56.282217*15736196.55</f>
        <v>885668029</v>
      </c>
      <c r="E86" s="6">
        <f>56.282217*94845.22</f>
        <v>5338099.253</v>
      </c>
      <c r="F86" s="6">
        <f>D86-E86</f>
        <v>880329929.7</v>
      </c>
      <c r="G86" s="6">
        <v>0.0</v>
      </c>
      <c r="H86" s="5">
        <v>676.0</v>
      </c>
      <c r="I86" s="6">
        <f>56.282217*50127.59</f>
        <v>2821291.898</v>
      </c>
      <c r="J86" s="4">
        <f>56.282217*133420.7</f>
        <v>7509212.79</v>
      </c>
      <c r="K86" s="4">
        <f>I86-J86</f>
        <v>-4687920.892</v>
      </c>
      <c r="L86" s="4">
        <f>I86+June!L86</f>
        <v>22215028.08</v>
      </c>
      <c r="M86" s="4">
        <f>J86+June!M86</f>
        <v>71124309.25</v>
      </c>
      <c r="N86" s="4">
        <f>L86-M86</f>
        <v>-48909281.17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22" t="s">
        <v>90</v>
      </c>
      <c r="B87" s="29"/>
      <c r="C87" s="1"/>
      <c r="D87" s="24">
        <f t="shared" ref="D87:N87" si="33">SUM(D86)</f>
        <v>885668029</v>
      </c>
      <c r="E87" s="24">
        <f t="shared" si="33"/>
        <v>5338099.253</v>
      </c>
      <c r="F87" s="24">
        <f t="shared" si="33"/>
        <v>880329929.7</v>
      </c>
      <c r="G87" s="24">
        <f t="shared" si="33"/>
        <v>0</v>
      </c>
      <c r="H87" s="24">
        <f t="shared" si="33"/>
        <v>676</v>
      </c>
      <c r="I87" s="24">
        <f t="shared" si="33"/>
        <v>2821291.898</v>
      </c>
      <c r="J87" s="24">
        <f t="shared" si="33"/>
        <v>7509212.79</v>
      </c>
      <c r="K87" s="24">
        <f t="shared" si="33"/>
        <v>-4687920.892</v>
      </c>
      <c r="L87" s="24">
        <f t="shared" si="33"/>
        <v>22215028.08</v>
      </c>
      <c r="M87" s="24">
        <f t="shared" si="33"/>
        <v>71124309.25</v>
      </c>
      <c r="N87" s="24">
        <f t="shared" si="33"/>
        <v>-48909281.17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1" t="s">
        <v>91</v>
      </c>
      <c r="B88" s="23"/>
      <c r="C88" s="29"/>
      <c r="D88" s="24">
        <f t="shared" ref="D88:N88" si="34">D76+D85+D87</f>
        <v>73941338836</v>
      </c>
      <c r="E88" s="24">
        <f t="shared" si="34"/>
        <v>720021237</v>
      </c>
      <c r="F88" s="24">
        <f t="shared" si="34"/>
        <v>73221317599</v>
      </c>
      <c r="G88" s="24">
        <f t="shared" si="34"/>
        <v>944860000</v>
      </c>
      <c r="H88" s="24">
        <f t="shared" si="34"/>
        <v>76252</v>
      </c>
      <c r="I88" s="24">
        <f t="shared" si="34"/>
        <v>579519110.2</v>
      </c>
      <c r="J88" s="24">
        <f t="shared" si="34"/>
        <v>5601156314</v>
      </c>
      <c r="K88" s="24">
        <f t="shared" si="34"/>
        <v>-5021637204</v>
      </c>
      <c r="L88" s="24">
        <f t="shared" si="34"/>
        <v>3929892423</v>
      </c>
      <c r="M88" s="24">
        <f t="shared" si="34"/>
        <v>15699752658</v>
      </c>
      <c r="N88" s="24">
        <f t="shared" si="34"/>
        <v>-11769860234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92</v>
      </c>
      <c r="B89" s="2"/>
      <c r="C89" s="30"/>
      <c r="D89" s="6"/>
      <c r="E89" s="6"/>
      <c r="F89" s="6"/>
      <c r="G89" s="6"/>
      <c r="H89" s="5"/>
      <c r="I89" s="6"/>
      <c r="J89" s="4"/>
      <c r="K89" s="4"/>
      <c r="L89" s="4"/>
      <c r="M89" s="4"/>
      <c r="N89" s="4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8" t="s">
        <v>20</v>
      </c>
      <c r="B90" s="2"/>
      <c r="C90" s="30"/>
      <c r="D90" s="6"/>
      <c r="E90" s="6"/>
      <c r="F90" s="6"/>
      <c r="G90" s="6"/>
      <c r="H90" s="5"/>
      <c r="I90" s="6"/>
      <c r="J90" s="4"/>
      <c r="K90" s="4"/>
      <c r="L90" s="4"/>
      <c r="M90" s="4"/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/>
      <c r="B91" s="2">
        <v>61.0</v>
      </c>
      <c r="C91" s="3" t="s">
        <v>93</v>
      </c>
      <c r="D91" s="6">
        <v>6.130791272903E10</v>
      </c>
      <c r="E91" s="6">
        <v>3.925965969E7</v>
      </c>
      <c r="F91" s="6">
        <f t="shared" ref="F91:F93" si="35">D91-E91</f>
        <v>61268653069</v>
      </c>
      <c r="G91" s="6">
        <v>0.0</v>
      </c>
      <c r="H91" s="5">
        <v>34202.0</v>
      </c>
      <c r="I91" s="6">
        <v>2.33509004E9</v>
      </c>
      <c r="J91" s="4">
        <v>2.36556001989E9</v>
      </c>
      <c r="K91" s="4">
        <f t="shared" ref="K91:K93" si="36">I91-J91</f>
        <v>-30469979.89</v>
      </c>
      <c r="L91" s="4">
        <f>I91+June!L91</f>
        <v>21646572998</v>
      </c>
      <c r="M91" s="4">
        <f>J91+June!M91</f>
        <v>20209924758</v>
      </c>
      <c r="N91" s="4">
        <f t="shared" ref="N91:N93" si="37">L91-M91</f>
        <v>1436648240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94</v>
      </c>
      <c r="D92" s="6">
        <v>2.98769166893E9</v>
      </c>
      <c r="E92" s="6">
        <v>3.904132081E7</v>
      </c>
      <c r="F92" s="6">
        <f t="shared" si="35"/>
        <v>2948650348</v>
      </c>
      <c r="G92" s="6">
        <v>0.0</v>
      </c>
      <c r="H92" s="5">
        <v>623.0</v>
      </c>
      <c r="I92" s="6">
        <v>4.5639071092E8</v>
      </c>
      <c r="J92" s="4">
        <v>2.4930493361E8</v>
      </c>
      <c r="K92" s="4">
        <f t="shared" si="36"/>
        <v>207085777.3</v>
      </c>
      <c r="L92" s="4">
        <f>I92+June!L92</f>
        <v>1772501224</v>
      </c>
      <c r="M92" s="4">
        <f>J92+June!M92</f>
        <v>1613394311</v>
      </c>
      <c r="N92" s="4">
        <f t="shared" si="37"/>
        <v>159106912.6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/>
      <c r="B93" s="2">
        <v>63.0</v>
      </c>
      <c r="C93" s="3" t="s">
        <v>95</v>
      </c>
      <c r="D93" s="6">
        <v>1.2245556219115E11</v>
      </c>
      <c r="E93" s="6">
        <v>6.6324522382E8</v>
      </c>
      <c r="F93" s="6">
        <f t="shared" si="35"/>
        <v>121792316967</v>
      </c>
      <c r="G93" s="6">
        <v>0.0</v>
      </c>
      <c r="H93" s="5">
        <v>61170.0</v>
      </c>
      <c r="I93" s="6">
        <v>1.280529404258E10</v>
      </c>
      <c r="J93" s="4">
        <v>1.918474389325E10</v>
      </c>
      <c r="K93" s="4">
        <f t="shared" si="36"/>
        <v>-6379449851</v>
      </c>
      <c r="L93" s="4">
        <f>I93+June!L93</f>
        <v>118863553735</v>
      </c>
      <c r="M93" s="4">
        <f>J93+June!M93</f>
        <v>125320387047</v>
      </c>
      <c r="N93" s="4">
        <f t="shared" si="37"/>
        <v>-6456833312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2" t="s">
        <v>44</v>
      </c>
      <c r="B94" s="2"/>
      <c r="C94" s="3"/>
      <c r="D94" s="24">
        <f t="shared" ref="D94:N94" si="38">SUM(D91:D93)</f>
        <v>186751166589</v>
      </c>
      <c r="E94" s="24">
        <f t="shared" si="38"/>
        <v>741546204.3</v>
      </c>
      <c r="F94" s="24">
        <f t="shared" si="38"/>
        <v>186009620385</v>
      </c>
      <c r="G94" s="24">
        <f t="shared" si="38"/>
        <v>0</v>
      </c>
      <c r="H94" s="24">
        <f t="shared" si="38"/>
        <v>95995</v>
      </c>
      <c r="I94" s="24">
        <f t="shared" si="38"/>
        <v>15596774794</v>
      </c>
      <c r="J94" s="24">
        <f t="shared" si="38"/>
        <v>21799608847</v>
      </c>
      <c r="K94" s="24">
        <f t="shared" si="38"/>
        <v>-6202834053</v>
      </c>
      <c r="L94" s="24">
        <f t="shared" si="38"/>
        <v>142282627957</v>
      </c>
      <c r="M94" s="24">
        <f t="shared" si="38"/>
        <v>147143706116</v>
      </c>
      <c r="N94" s="24">
        <f t="shared" si="38"/>
        <v>-4861078159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45</v>
      </c>
      <c r="B95" s="2"/>
      <c r="C95" s="3"/>
      <c r="D95" s="6"/>
      <c r="E95" s="6"/>
      <c r="F95" s="6"/>
      <c r="G95" s="6"/>
      <c r="H95" s="5"/>
      <c r="I95" s="6"/>
      <c r="J95" s="4"/>
      <c r="K95" s="4"/>
      <c r="L95" s="4"/>
      <c r="M95" s="4"/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64.0</v>
      </c>
      <c r="C96" s="3" t="s">
        <v>96</v>
      </c>
      <c r="D96" s="6">
        <f>55.13*248893116.84</f>
        <v>13721477531</v>
      </c>
      <c r="E96" s="6">
        <f>55.13*4615454.58</f>
        <v>254450011</v>
      </c>
      <c r="F96" s="6">
        <f>D96-E96</f>
        <v>13467027520</v>
      </c>
      <c r="G96" s="6">
        <v>0.0</v>
      </c>
      <c r="H96" s="5">
        <v>3110.0</v>
      </c>
      <c r="I96" s="6">
        <f>55.13*35807191.08</f>
        <v>1974050444</v>
      </c>
      <c r="J96" s="6">
        <f>55.13*41793383.03</f>
        <v>2304069206</v>
      </c>
      <c r="K96" s="4">
        <f>I96-J96</f>
        <v>-330018762.2</v>
      </c>
      <c r="L96" s="4">
        <f>I96+June!L96</f>
        <v>19449912225</v>
      </c>
      <c r="M96" s="4">
        <f>J96+June!M96</f>
        <v>16472714271</v>
      </c>
      <c r="N96" s="4">
        <f>L96-M96</f>
        <v>2977197954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2" t="s">
        <v>88</v>
      </c>
      <c r="B97" s="2"/>
      <c r="C97" s="3"/>
      <c r="D97" s="24">
        <f t="shared" ref="D97:N97" si="39">SUM(D96)</f>
        <v>13721477531</v>
      </c>
      <c r="E97" s="24">
        <f t="shared" si="39"/>
        <v>254450011</v>
      </c>
      <c r="F97" s="24">
        <f t="shared" si="39"/>
        <v>13467027520</v>
      </c>
      <c r="G97" s="24">
        <f t="shared" si="39"/>
        <v>0</v>
      </c>
      <c r="H97" s="24">
        <f t="shared" si="39"/>
        <v>3110</v>
      </c>
      <c r="I97" s="24">
        <f t="shared" si="39"/>
        <v>1974050444</v>
      </c>
      <c r="J97" s="24">
        <f t="shared" si="39"/>
        <v>2304069206</v>
      </c>
      <c r="K97" s="24">
        <f t="shared" si="39"/>
        <v>-330018762.2</v>
      </c>
      <c r="L97" s="24">
        <f t="shared" si="39"/>
        <v>19449912225</v>
      </c>
      <c r="M97" s="24">
        <f t="shared" si="39"/>
        <v>16472714271</v>
      </c>
      <c r="N97" s="24">
        <f t="shared" si="39"/>
        <v>2977197954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 t="s">
        <v>97</v>
      </c>
      <c r="B98" s="2"/>
      <c r="C98" s="3"/>
      <c r="D98" s="24">
        <f t="shared" ref="D98:N98" si="40">D94+D97</f>
        <v>200472644120</v>
      </c>
      <c r="E98" s="24">
        <f t="shared" si="40"/>
        <v>995996215.3</v>
      </c>
      <c r="F98" s="24">
        <f t="shared" si="40"/>
        <v>199476647905</v>
      </c>
      <c r="G98" s="24">
        <f t="shared" si="40"/>
        <v>0</v>
      </c>
      <c r="H98" s="24">
        <f t="shared" si="40"/>
        <v>99105</v>
      </c>
      <c r="I98" s="24">
        <f t="shared" si="40"/>
        <v>17570825238</v>
      </c>
      <c r="J98" s="24">
        <f t="shared" si="40"/>
        <v>24103678053</v>
      </c>
      <c r="K98" s="24">
        <f t="shared" si="40"/>
        <v>-6532852815</v>
      </c>
      <c r="L98" s="24">
        <f t="shared" si="40"/>
        <v>161732540182</v>
      </c>
      <c r="M98" s="24">
        <f t="shared" si="40"/>
        <v>163616420387</v>
      </c>
      <c r="N98" s="24">
        <f t="shared" si="40"/>
        <v>-1883880205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 t="s">
        <v>98</v>
      </c>
      <c r="B99" s="2"/>
      <c r="C99" s="3"/>
      <c r="D99" s="6"/>
      <c r="E99" s="6"/>
      <c r="F99" s="6"/>
      <c r="G99" s="6"/>
      <c r="H99" s="5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8" t="s">
        <v>99</v>
      </c>
      <c r="B100" s="2"/>
      <c r="C100" s="3"/>
      <c r="D100" s="6"/>
      <c r="E100" s="6"/>
      <c r="F100" s="6"/>
      <c r="G100" s="6"/>
      <c r="H100" s="5"/>
      <c r="I100" s="6"/>
      <c r="J100" s="6"/>
      <c r="K100" s="4"/>
      <c r="L100" s="4"/>
      <c r="M100" s="4"/>
      <c r="N100" s="4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8"/>
      <c r="B101" s="2">
        <v>65.0</v>
      </c>
      <c r="C101" s="3" t="s">
        <v>100</v>
      </c>
      <c r="D101" s="6">
        <v>9.29141371736E9</v>
      </c>
      <c r="E101" s="6">
        <v>1.4610413114E8</v>
      </c>
      <c r="F101" s="6">
        <f t="shared" ref="F101:F102" si="41">D101-E101</f>
        <v>9145309586</v>
      </c>
      <c r="G101" s="6">
        <v>0.0</v>
      </c>
      <c r="H101" s="5">
        <v>33492.0</v>
      </c>
      <c r="I101" s="6">
        <v>1.3506664818E8</v>
      </c>
      <c r="J101" s="6">
        <v>2.126157712E8</v>
      </c>
      <c r="K101" s="4">
        <f t="shared" ref="K101:K102" si="42">I101-J101</f>
        <v>-77549123.02</v>
      </c>
      <c r="L101" s="4">
        <f>I101+June!L101</f>
        <v>2728466962</v>
      </c>
      <c r="M101" s="4">
        <f>J101+June!M101</f>
        <v>607487714.1</v>
      </c>
      <c r="N101" s="4">
        <f t="shared" ref="N101:N102" si="43">L101-M101</f>
        <v>2120979248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/>
      <c r="B102" s="2">
        <v>66.0</v>
      </c>
      <c r="C102" s="3" t="s">
        <v>101</v>
      </c>
      <c r="D102" s="6">
        <v>3.3997831253E9</v>
      </c>
      <c r="E102" s="6">
        <v>1.827942778E7</v>
      </c>
      <c r="F102" s="6">
        <f t="shared" si="41"/>
        <v>3381503698</v>
      </c>
      <c r="G102" s="6">
        <v>0.0</v>
      </c>
      <c r="H102" s="5">
        <v>5593.0</v>
      </c>
      <c r="I102" s="6">
        <v>2.179054739E7</v>
      </c>
      <c r="J102" s="6">
        <v>8.742423053E7</v>
      </c>
      <c r="K102" s="4">
        <f t="shared" si="42"/>
        <v>-65633683.14</v>
      </c>
      <c r="L102" s="4">
        <f>I102+June!L102</f>
        <v>935526039.2</v>
      </c>
      <c r="M102" s="4">
        <f>J102+June!M102</f>
        <v>991931633.7</v>
      </c>
      <c r="N102" s="4">
        <f t="shared" si="43"/>
        <v>-56405594.47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22" t="s">
        <v>44</v>
      </c>
      <c r="B103" s="2"/>
      <c r="C103" s="3"/>
      <c r="D103" s="24">
        <f t="shared" ref="D103:N103" si="44">D101+D102</f>
        <v>12691196843</v>
      </c>
      <c r="E103" s="24">
        <f t="shared" si="44"/>
        <v>164383558.9</v>
      </c>
      <c r="F103" s="24">
        <f t="shared" si="44"/>
        <v>12526813284</v>
      </c>
      <c r="G103" s="24">
        <f t="shared" si="44"/>
        <v>0</v>
      </c>
      <c r="H103" s="24">
        <f t="shared" si="44"/>
        <v>39085</v>
      </c>
      <c r="I103" s="24">
        <f t="shared" si="44"/>
        <v>156857195.6</v>
      </c>
      <c r="J103" s="24">
        <f t="shared" si="44"/>
        <v>300040001.7</v>
      </c>
      <c r="K103" s="24">
        <f t="shared" si="44"/>
        <v>-143182806.2</v>
      </c>
      <c r="L103" s="24">
        <f t="shared" si="44"/>
        <v>3663993001</v>
      </c>
      <c r="M103" s="24">
        <f t="shared" si="44"/>
        <v>1599419348</v>
      </c>
      <c r="N103" s="24">
        <f t="shared" si="44"/>
        <v>2064573653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 t="s">
        <v>102</v>
      </c>
      <c r="B104" s="2"/>
      <c r="C104" s="3"/>
      <c r="D104" s="6"/>
      <c r="E104" s="6"/>
      <c r="F104" s="6"/>
      <c r="G104" s="6"/>
      <c r="H104" s="5"/>
      <c r="I104" s="6"/>
      <c r="J104" s="6"/>
      <c r="K104" s="4"/>
      <c r="L104" s="4"/>
      <c r="M104" s="4"/>
      <c r="N104" s="4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67.0</v>
      </c>
      <c r="C105" s="3" t="s">
        <v>103</v>
      </c>
      <c r="D105" s="6">
        <f>55.13*188950648.27</f>
        <v>10416849239</v>
      </c>
      <c r="E105" s="6">
        <f>55.13*709316.7</f>
        <v>39104629.67</v>
      </c>
      <c r="F105" s="6">
        <f>D105-E105</f>
        <v>10377744609</v>
      </c>
      <c r="G105" s="6">
        <v>0.0</v>
      </c>
      <c r="H105" s="5">
        <v>8509.0</v>
      </c>
      <c r="I105" s="6">
        <f>55.13*1106023.84</f>
        <v>60975094.3</v>
      </c>
      <c r="J105" s="6">
        <f>55.13*2192706.88</f>
        <v>120883930.3</v>
      </c>
      <c r="K105" s="4">
        <f>I105-J105</f>
        <v>-59908836</v>
      </c>
      <c r="L105" s="4">
        <f>I105+June!L105</f>
        <v>1356847750</v>
      </c>
      <c r="M105" s="4">
        <f>J105+June!M105</f>
        <v>778834197.4</v>
      </c>
      <c r="N105" s="4">
        <f>L105-M105</f>
        <v>578013552.1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2" t="s">
        <v>88</v>
      </c>
      <c r="B106" s="23"/>
      <c r="C106" s="1"/>
      <c r="D106" s="24">
        <f t="shared" ref="D106:N106" si="45">SUM(D105)</f>
        <v>10416849239</v>
      </c>
      <c r="E106" s="24">
        <f t="shared" si="45"/>
        <v>39104629.67</v>
      </c>
      <c r="F106" s="24">
        <f t="shared" si="45"/>
        <v>10377744609</v>
      </c>
      <c r="G106" s="24">
        <f t="shared" si="45"/>
        <v>0</v>
      </c>
      <c r="H106" s="24">
        <f t="shared" si="45"/>
        <v>8509</v>
      </c>
      <c r="I106" s="24">
        <f t="shared" si="45"/>
        <v>60975094.3</v>
      </c>
      <c r="J106" s="24">
        <f t="shared" si="45"/>
        <v>120883930.3</v>
      </c>
      <c r="K106" s="24">
        <f t="shared" si="45"/>
        <v>-59908836</v>
      </c>
      <c r="L106" s="24">
        <f t="shared" si="45"/>
        <v>1356847750</v>
      </c>
      <c r="M106" s="24">
        <f t="shared" si="45"/>
        <v>778834197.4</v>
      </c>
      <c r="N106" s="24">
        <f t="shared" si="45"/>
        <v>578013552.1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" t="s">
        <v>104</v>
      </c>
      <c r="B107" s="31"/>
      <c r="C107" s="29"/>
      <c r="D107" s="24">
        <f t="shared" ref="D107:N107" si="46">SUM(D103+D106)</f>
        <v>23108046082</v>
      </c>
      <c r="E107" s="24">
        <f t="shared" si="46"/>
        <v>203488188.6</v>
      </c>
      <c r="F107" s="24">
        <f t="shared" si="46"/>
        <v>22904557893</v>
      </c>
      <c r="G107" s="24">
        <f t="shared" si="46"/>
        <v>0</v>
      </c>
      <c r="H107" s="24">
        <f t="shared" si="46"/>
        <v>47594</v>
      </c>
      <c r="I107" s="24">
        <f t="shared" si="46"/>
        <v>217832289.9</v>
      </c>
      <c r="J107" s="24">
        <f t="shared" si="46"/>
        <v>420923932</v>
      </c>
      <c r="K107" s="24">
        <f t="shared" si="46"/>
        <v>-203091642.2</v>
      </c>
      <c r="L107" s="24">
        <f t="shared" si="46"/>
        <v>5020840751</v>
      </c>
      <c r="M107" s="24">
        <f t="shared" si="46"/>
        <v>2378253545</v>
      </c>
      <c r="N107" s="24">
        <f t="shared" si="46"/>
        <v>2642587206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32" t="s">
        <v>105</v>
      </c>
      <c r="B108" s="33"/>
      <c r="C108" s="34"/>
      <c r="D108" s="35">
        <f t="shared" ref="D108:N108" si="47">D38+D62+D88+D98+D107</f>
        <v>402055584895</v>
      </c>
      <c r="E108" s="35">
        <f t="shared" si="47"/>
        <v>18097150260</v>
      </c>
      <c r="F108" s="35">
        <f t="shared" si="47"/>
        <v>383958434635</v>
      </c>
      <c r="G108" s="35">
        <f t="shared" si="47"/>
        <v>73326795640</v>
      </c>
      <c r="H108" s="35">
        <f t="shared" si="47"/>
        <v>849198</v>
      </c>
      <c r="I108" s="35">
        <f t="shared" si="47"/>
        <v>19222217146</v>
      </c>
      <c r="J108" s="35">
        <f t="shared" si="47"/>
        <v>75409190894</v>
      </c>
      <c r="K108" s="35">
        <f t="shared" si="47"/>
        <v>-56186973748</v>
      </c>
      <c r="L108" s="35">
        <f t="shared" si="47"/>
        <v>179307928417</v>
      </c>
      <c r="M108" s="35">
        <f t="shared" si="47"/>
        <v>232974695570</v>
      </c>
      <c r="N108" s="35">
        <f t="shared" si="47"/>
        <v>-53666767153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2.0" customHeight="1">
      <c r="A109" s="3"/>
      <c r="B109" s="2"/>
      <c r="C109" s="36"/>
      <c r="D109" s="4"/>
      <c r="E109" s="4"/>
      <c r="F109" s="4"/>
      <c r="G109" s="4"/>
      <c r="H109" s="5"/>
      <c r="I109" s="6"/>
      <c r="J109" s="4"/>
      <c r="K109" s="4"/>
      <c r="L109" s="4"/>
      <c r="M109" s="4"/>
      <c r="N109" s="4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30"/>
      <c r="B110" s="36"/>
      <c r="C110" s="36"/>
      <c r="D110" s="4"/>
      <c r="E110" s="4"/>
      <c r="F110" s="4"/>
      <c r="G110" s="4"/>
      <c r="H110" s="5"/>
      <c r="I110" s="4"/>
      <c r="J110" s="4"/>
      <c r="K110" s="4"/>
      <c r="L110" s="4"/>
      <c r="M110" s="4"/>
      <c r="N110" s="4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6"/>
      <c r="B111" s="36"/>
      <c r="C111" s="36"/>
      <c r="D111" s="4"/>
      <c r="E111" s="4"/>
      <c r="F111" s="4"/>
      <c r="G111" s="4"/>
      <c r="H111" s="5"/>
      <c r="I111" s="6"/>
      <c r="J111" s="4"/>
      <c r="K111" s="4"/>
      <c r="L111" s="4"/>
      <c r="M111" s="4"/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36"/>
      <c r="B112" s="36"/>
      <c r="C112" s="36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6"/>
      <c r="B113" s="36"/>
      <c r="C113" s="36"/>
      <c r="D113" s="4"/>
      <c r="E113" s="4"/>
      <c r="F113" s="4"/>
      <c r="G113" s="4"/>
      <c r="H113" s="5"/>
      <c r="I113" s="6"/>
      <c r="J113" s="4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6"/>
      <c r="B114" s="36"/>
      <c r="C114" s="36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6"/>
      <c r="B115" s="36"/>
      <c r="C115" s="36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6"/>
      <c r="B116" s="36"/>
      <c r="C116" s="36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6"/>
      <c r="B117" s="36"/>
      <c r="C117" s="36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6"/>
      <c r="B118" s="36"/>
      <c r="C118" s="36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6"/>
      <c r="B119" s="36"/>
      <c r="C119" s="36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0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176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4.67258793525E9</v>
      </c>
      <c r="E9" s="6">
        <v>4.678504844E7</v>
      </c>
      <c r="F9" s="6">
        <f t="shared" ref="F9:F27" si="1">D9-E9</f>
        <v>4625802887</v>
      </c>
      <c r="G9" s="6">
        <v>4.1001638725E9</v>
      </c>
      <c r="H9" s="5">
        <v>7495.0</v>
      </c>
      <c r="I9" s="6">
        <v>1.492177673E7</v>
      </c>
      <c r="J9" s="4">
        <v>2.861031144E7</v>
      </c>
      <c r="K9" s="4">
        <f t="shared" ref="K9:K27" si="2">I9-J9</f>
        <v>-13688534.71</v>
      </c>
      <c r="L9" s="4">
        <f>I9+June!L9</f>
        <v>117311876.5</v>
      </c>
      <c r="M9" s="4">
        <f>J9+June!M9</f>
        <v>286615571.4</v>
      </c>
      <c r="N9" s="4">
        <f t="shared" ref="N9:N27" si="3">L9-M9</f>
        <v>-169303695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186</v>
      </c>
      <c r="D10" s="6">
        <v>7.276479565E8</v>
      </c>
      <c r="E10" s="6">
        <v>1.7125744E7</v>
      </c>
      <c r="F10" s="6">
        <f t="shared" si="1"/>
        <v>710522212.5</v>
      </c>
      <c r="G10" s="6">
        <v>6.7250828533E8</v>
      </c>
      <c r="H10" s="5">
        <v>4271.0</v>
      </c>
      <c r="I10" s="6">
        <v>4854823.06</v>
      </c>
      <c r="J10" s="4">
        <v>3935400.47</v>
      </c>
      <c r="K10" s="4">
        <f t="shared" si="2"/>
        <v>919422.59</v>
      </c>
      <c r="L10" s="4">
        <f>I10+June!L10</f>
        <v>185743024.5</v>
      </c>
      <c r="M10" s="4">
        <f>J10+June!M10</f>
        <v>127609169.5</v>
      </c>
      <c r="N10" s="4">
        <f t="shared" si="3"/>
        <v>58133855.05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187</v>
      </c>
      <c r="D11" s="6">
        <v>9.8741830021E8</v>
      </c>
      <c r="E11" s="6">
        <v>1.903486429E7</v>
      </c>
      <c r="F11" s="6">
        <f t="shared" si="1"/>
        <v>968383435.9</v>
      </c>
      <c r="G11" s="6">
        <v>9.05084674E8</v>
      </c>
      <c r="H11" s="5">
        <v>2770.0</v>
      </c>
      <c r="I11" s="6">
        <v>8490138.28</v>
      </c>
      <c r="J11" s="4">
        <v>8399409.97</v>
      </c>
      <c r="K11" s="4">
        <f t="shared" si="2"/>
        <v>90728.31</v>
      </c>
      <c r="L11" s="4">
        <f>I11+June!L11</f>
        <v>82796250.99</v>
      </c>
      <c r="M11" s="4">
        <f>J11+June!M11</f>
        <v>123040081.9</v>
      </c>
      <c r="N11" s="4">
        <f t="shared" si="3"/>
        <v>-40243830.94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6">
        <v>3.4211827582E8</v>
      </c>
      <c r="E12" s="6">
        <v>6736945.18</v>
      </c>
      <c r="F12" s="6">
        <f t="shared" si="1"/>
        <v>335381330.6</v>
      </c>
      <c r="G12" s="6">
        <v>2.0878393298E8</v>
      </c>
      <c r="H12" s="5">
        <v>1659.0</v>
      </c>
      <c r="I12" s="6">
        <v>1086468.43</v>
      </c>
      <c r="J12" s="4">
        <v>234551.84</v>
      </c>
      <c r="K12" s="4">
        <f t="shared" si="2"/>
        <v>851916.59</v>
      </c>
      <c r="L12" s="4">
        <f>I12+June!L12</f>
        <v>21537379.2</v>
      </c>
      <c r="M12" s="4">
        <f>J12+June!M12</f>
        <v>10346718.58</v>
      </c>
      <c r="N12" s="4">
        <f t="shared" si="3"/>
        <v>11190660.62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25</v>
      </c>
      <c r="D13" s="6">
        <v>5.156904598E8</v>
      </c>
      <c r="E13" s="6">
        <v>5713271.2</v>
      </c>
      <c r="F13" s="6">
        <f t="shared" si="1"/>
        <v>509977188.6</v>
      </c>
      <c r="G13" s="6">
        <v>2.4063669265E8</v>
      </c>
      <c r="H13" s="5">
        <v>1484.0</v>
      </c>
      <c r="I13" s="6">
        <v>646345.05</v>
      </c>
      <c r="J13" s="4">
        <v>271003.1</v>
      </c>
      <c r="K13" s="4">
        <f t="shared" si="2"/>
        <v>375341.95</v>
      </c>
      <c r="L13" s="4">
        <f>I13+June!L13</f>
        <v>22890875.96</v>
      </c>
      <c r="M13" s="4">
        <f>J13+June!M13</f>
        <v>14279399.59</v>
      </c>
      <c r="N13" s="4">
        <f t="shared" si="3"/>
        <v>8611476.369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6">
        <v>4.18946271645E9</v>
      </c>
      <c r="E14" s="6">
        <v>1.0028312932E8</v>
      </c>
      <c r="F14" s="6">
        <f t="shared" si="1"/>
        <v>4089179587</v>
      </c>
      <c r="G14" s="6">
        <v>3.16960362018E9</v>
      </c>
      <c r="H14" s="5">
        <v>16471.0</v>
      </c>
      <c r="I14" s="6">
        <v>9142275.65</v>
      </c>
      <c r="J14" s="4">
        <v>6714863.58</v>
      </c>
      <c r="K14" s="4">
        <f t="shared" si="2"/>
        <v>2427412.07</v>
      </c>
      <c r="L14" s="4">
        <f>I14+June!L14</f>
        <v>507912570.4</v>
      </c>
      <c r="M14" s="4">
        <f>J14+June!M14</f>
        <v>324294924.6</v>
      </c>
      <c r="N14" s="4">
        <f t="shared" si="3"/>
        <v>183617645.8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188</v>
      </c>
      <c r="D15" s="6">
        <v>9.148552523E7</v>
      </c>
      <c r="E15" s="6">
        <v>555198.47</v>
      </c>
      <c r="F15" s="6">
        <f t="shared" si="1"/>
        <v>90930326.76</v>
      </c>
      <c r="G15" s="6">
        <v>8.722362412E7</v>
      </c>
      <c r="H15" s="5">
        <v>557.0</v>
      </c>
      <c r="I15" s="6">
        <v>1981424.0</v>
      </c>
      <c r="J15" s="4">
        <v>224716.12</v>
      </c>
      <c r="K15" s="4">
        <f t="shared" si="2"/>
        <v>1756707.88</v>
      </c>
      <c r="L15" s="4">
        <f>I15+June!L15</f>
        <v>16657912.48</v>
      </c>
      <c r="M15" s="4">
        <f>J15+June!M15</f>
        <v>6654123.041</v>
      </c>
      <c r="N15" s="4">
        <f t="shared" si="3"/>
        <v>10003789.44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6">
        <v>1.2037607505E8</v>
      </c>
      <c r="E16" s="6">
        <v>1729784.67</v>
      </c>
      <c r="F16" s="6">
        <f t="shared" si="1"/>
        <v>118646290.4</v>
      </c>
      <c r="G16" s="6">
        <v>1.1027766689E8</v>
      </c>
      <c r="H16" s="5">
        <v>52.0</v>
      </c>
      <c r="I16" s="50">
        <v>200100.0</v>
      </c>
      <c r="J16" s="51">
        <v>660645.85</v>
      </c>
      <c r="K16" s="4">
        <f t="shared" si="2"/>
        <v>-460545.85</v>
      </c>
      <c r="L16" s="4">
        <f>I16+June!L16</f>
        <v>1800100</v>
      </c>
      <c r="M16" s="4">
        <f>J16+June!M16</f>
        <v>8081424.68</v>
      </c>
      <c r="N16" s="4">
        <f t="shared" si="3"/>
        <v>-6281324.68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6">
        <v>1.603091800337E10</v>
      </c>
      <c r="E17" s="6">
        <v>1.441211069839E10</v>
      </c>
      <c r="F17" s="6">
        <f t="shared" si="1"/>
        <v>1618807305</v>
      </c>
      <c r="G17" s="6">
        <v>1.64848060342E9</v>
      </c>
      <c r="H17" s="5">
        <v>12626.0</v>
      </c>
      <c r="I17" s="6">
        <v>1.4974654785E8</v>
      </c>
      <c r="J17" s="4">
        <v>1.429458788852E10</v>
      </c>
      <c r="K17" s="4">
        <f t="shared" si="2"/>
        <v>-14144841341</v>
      </c>
      <c r="L17" s="4">
        <f>I17+June!L17</f>
        <v>1343659286</v>
      </c>
      <c r="M17" s="4">
        <f>J17+June!M17</f>
        <v>14377102468</v>
      </c>
      <c r="N17" s="4">
        <f t="shared" si="3"/>
        <v>-13033443182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6">
        <v>8.74411072635E9</v>
      </c>
      <c r="E18" s="6">
        <v>2.099493826E8</v>
      </c>
      <c r="F18" s="6">
        <f t="shared" si="1"/>
        <v>8534161344</v>
      </c>
      <c r="G18" s="6">
        <v>7.62859375363E9</v>
      </c>
      <c r="H18" s="5">
        <v>12524.0</v>
      </c>
      <c r="I18" s="6">
        <v>6.874146919E7</v>
      </c>
      <c r="J18" s="4">
        <v>2.247532785581E10</v>
      </c>
      <c r="K18" s="4">
        <f t="shared" si="2"/>
        <v>-22406586387</v>
      </c>
      <c r="L18" s="4">
        <f>I18+June!L18</f>
        <v>684164386.1</v>
      </c>
      <c r="M18" s="4">
        <f>J18+June!M18</f>
        <v>22971191084</v>
      </c>
      <c r="N18" s="4">
        <f t="shared" si="3"/>
        <v>-22287026698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6">
        <v>2.09760815032455E9</v>
      </c>
      <c r="E19" s="6">
        <v>2443473.86400001</v>
      </c>
      <c r="F19" s="6">
        <f t="shared" si="1"/>
        <v>2095164676</v>
      </c>
      <c r="G19" s="6">
        <v>1.83067966749196E9</v>
      </c>
      <c r="H19" s="5">
        <v>5700.0</v>
      </c>
      <c r="I19" s="6">
        <v>3284268.98</v>
      </c>
      <c r="J19" s="4">
        <v>1827411.61</v>
      </c>
      <c r="K19" s="4">
        <f t="shared" si="2"/>
        <v>1456857.37</v>
      </c>
      <c r="L19" s="4">
        <f>I19+June!L19</f>
        <v>101272075.5</v>
      </c>
      <c r="M19" s="4">
        <f>J19+June!M19</f>
        <v>266822238.7</v>
      </c>
      <c r="N19" s="4">
        <f t="shared" si="3"/>
        <v>-165550163.2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6">
        <v>9.4558386904657E9</v>
      </c>
      <c r="E20" s="6">
        <v>1.82879719794998E7</v>
      </c>
      <c r="F20" s="6">
        <f t="shared" si="1"/>
        <v>9437550718</v>
      </c>
      <c r="G20" s="6">
        <v>8.64515161039E9</v>
      </c>
      <c r="H20" s="5">
        <v>36841.0</v>
      </c>
      <c r="I20" s="6">
        <v>1.489475233E7</v>
      </c>
      <c r="J20" s="4">
        <v>2.081071521E7</v>
      </c>
      <c r="K20" s="4">
        <f t="shared" si="2"/>
        <v>-5915962.88</v>
      </c>
      <c r="L20" s="4">
        <f>I20+June!L20</f>
        <v>200729677.1</v>
      </c>
      <c r="M20" s="4">
        <f>J20+June!M20</f>
        <v>348394134.5</v>
      </c>
      <c r="N20" s="4">
        <f t="shared" si="3"/>
        <v>-147664457.4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6">
        <v>3.07359268817189E8</v>
      </c>
      <c r="E21" s="6">
        <v>597055.660000111</v>
      </c>
      <c r="F21" s="6">
        <f t="shared" si="1"/>
        <v>306762213.2</v>
      </c>
      <c r="G21" s="6">
        <v>3.0430786055E8</v>
      </c>
      <c r="H21" s="5">
        <v>1027.0</v>
      </c>
      <c r="I21" s="6">
        <v>398645.19</v>
      </c>
      <c r="J21" s="4">
        <v>112149.97</v>
      </c>
      <c r="K21" s="4">
        <f t="shared" si="2"/>
        <v>286495.22</v>
      </c>
      <c r="L21" s="4">
        <f>I21+June!L21</f>
        <v>5367623.55</v>
      </c>
      <c r="M21" s="4">
        <f>J21+June!M21</f>
        <v>3584087.96</v>
      </c>
      <c r="N21" s="4">
        <f t="shared" si="3"/>
        <v>1783535.59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6">
        <v>3.6328083553516E9</v>
      </c>
      <c r="E22" s="6">
        <v>6063476.11679989</v>
      </c>
      <c r="F22" s="6">
        <f t="shared" si="1"/>
        <v>3626744879</v>
      </c>
      <c r="G22" s="6">
        <v>3.55454177276869E9</v>
      </c>
      <c r="H22" s="5">
        <v>27634.0</v>
      </c>
      <c r="I22" s="6">
        <v>1.923481869E7</v>
      </c>
      <c r="J22" s="4">
        <v>6434398.6</v>
      </c>
      <c r="K22" s="4">
        <f t="shared" si="2"/>
        <v>12800420.09</v>
      </c>
      <c r="L22" s="4">
        <f>I22+June!L22</f>
        <v>325460382.6</v>
      </c>
      <c r="M22" s="4">
        <f>J22+June!M22</f>
        <v>207223596.4</v>
      </c>
      <c r="N22" s="4">
        <f t="shared" si="3"/>
        <v>118236786.2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6">
        <v>9.0197845275E9</v>
      </c>
      <c r="E23" s="6">
        <v>1.232161125E7</v>
      </c>
      <c r="F23" s="6">
        <f t="shared" si="1"/>
        <v>9007462916</v>
      </c>
      <c r="G23" s="6">
        <v>8.97293193516E9</v>
      </c>
      <c r="H23" s="5">
        <v>14999.0</v>
      </c>
      <c r="I23" s="6">
        <v>1122357.68</v>
      </c>
      <c r="J23" s="4">
        <v>7.337764296E7</v>
      </c>
      <c r="K23" s="4">
        <f t="shared" si="2"/>
        <v>-72255285.28</v>
      </c>
      <c r="L23" s="4">
        <f>I23+June!L23</f>
        <v>39487849.54</v>
      </c>
      <c r="M23" s="4">
        <f>J23+June!M23</f>
        <v>891558203.2</v>
      </c>
      <c r="N23" s="4">
        <f t="shared" si="3"/>
        <v>-852070353.7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52" t="s">
        <v>36</v>
      </c>
      <c r="D24" s="6">
        <v>2.64252322513E9</v>
      </c>
      <c r="E24" s="6">
        <v>5.456860397E7</v>
      </c>
      <c r="F24" s="6">
        <f t="shared" si="1"/>
        <v>2587954621</v>
      </c>
      <c r="G24" s="6">
        <v>2.43420555235E9</v>
      </c>
      <c r="H24" s="53">
        <v>12558.0</v>
      </c>
      <c r="I24" s="6">
        <v>9.347079818E7</v>
      </c>
      <c r="J24" s="4">
        <v>1864162.36</v>
      </c>
      <c r="K24" s="4">
        <f t="shared" si="2"/>
        <v>91606635.82</v>
      </c>
      <c r="L24" s="4">
        <f>I24+June!L24</f>
        <v>498840817.7</v>
      </c>
      <c r="M24" s="4">
        <f>J24+June!M24</f>
        <v>14520373.9</v>
      </c>
      <c r="N24" s="4">
        <f t="shared" si="3"/>
        <v>484320443.8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v>17.0</v>
      </c>
      <c r="C25" s="21" t="s">
        <v>37</v>
      </c>
      <c r="D25" s="6">
        <v>7.17591350374E9</v>
      </c>
      <c r="E25" s="6">
        <v>1.3385185719E8</v>
      </c>
      <c r="F25" s="6">
        <f t="shared" si="1"/>
        <v>7042061647</v>
      </c>
      <c r="G25" s="6">
        <v>6.92357891125E9</v>
      </c>
      <c r="H25" s="5">
        <v>65969.0</v>
      </c>
      <c r="I25" s="6">
        <v>2.948880864E7</v>
      </c>
      <c r="J25" s="4">
        <v>3.483301633E7</v>
      </c>
      <c r="K25" s="4">
        <f t="shared" si="2"/>
        <v>-5344207.69</v>
      </c>
      <c r="L25" s="4">
        <f>I25+June!L25</f>
        <v>720683622.7</v>
      </c>
      <c r="M25" s="4">
        <f>J25+June!M25</f>
        <v>488649855.8</v>
      </c>
      <c r="N25" s="4">
        <f t="shared" si="3"/>
        <v>232033766.9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v>18.0</v>
      </c>
      <c r="C26" s="21" t="s">
        <v>38</v>
      </c>
      <c r="D26" s="6">
        <v>1.106226554489E10</v>
      </c>
      <c r="E26" s="6">
        <v>8.467881003E7</v>
      </c>
      <c r="F26" s="6">
        <f t="shared" si="1"/>
        <v>10977586735</v>
      </c>
      <c r="G26" s="6">
        <v>1.095116229375E10</v>
      </c>
      <c r="H26" s="5">
        <v>56293.0</v>
      </c>
      <c r="I26" s="6">
        <v>1.4153516914E8</v>
      </c>
      <c r="J26" s="4">
        <v>1.0761032606E8</v>
      </c>
      <c r="K26" s="4">
        <f t="shared" si="2"/>
        <v>33924843.08</v>
      </c>
      <c r="L26" s="4">
        <f>I26+June!L26</f>
        <v>1848259033</v>
      </c>
      <c r="M26" s="4">
        <f>J26+June!M26</f>
        <v>1338468090</v>
      </c>
      <c r="N26" s="4">
        <f t="shared" si="3"/>
        <v>509790942.7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6">
        <v>5.77323300038E8</v>
      </c>
      <c r="E27" s="6">
        <v>3017516.629999996</v>
      </c>
      <c r="F27" s="6">
        <f t="shared" si="1"/>
        <v>574305783.4</v>
      </c>
      <c r="G27" s="6">
        <v>5.2194445330000037E8</v>
      </c>
      <c r="H27" s="5">
        <v>1306.0</v>
      </c>
      <c r="I27" s="6">
        <v>455145.05</v>
      </c>
      <c r="J27" s="4">
        <v>864618.78</v>
      </c>
      <c r="K27" s="4">
        <f t="shared" si="2"/>
        <v>-409473.73</v>
      </c>
      <c r="L27" s="4">
        <f>I27+June!L27</f>
        <v>13218574.6</v>
      </c>
      <c r="M27" s="4">
        <f>J27+June!M27</f>
        <v>8051586.63</v>
      </c>
      <c r="N27" s="4">
        <f t="shared" si="3"/>
        <v>5166987.97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5"/>
      <c r="I28" s="6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3"/>
      <c r="B29" s="2">
        <v>20.0</v>
      </c>
      <c r="C29" s="3" t="s">
        <v>41</v>
      </c>
      <c r="D29" s="6">
        <v>3.40686330116001E8</v>
      </c>
      <c r="E29" s="6">
        <v>1.2982569659E7</v>
      </c>
      <c r="F29" s="6">
        <f t="shared" ref="F29:F30" si="4">D29-E29</f>
        <v>327703760.5</v>
      </c>
      <c r="G29" s="6">
        <v>2.7615957293E8</v>
      </c>
      <c r="H29" s="5">
        <v>1449.0</v>
      </c>
      <c r="I29" s="6">
        <v>1448764.86</v>
      </c>
      <c r="J29" s="4">
        <v>229880.08</v>
      </c>
      <c r="K29" s="4">
        <f t="shared" ref="K29:K30" si="5">I29-J29</f>
        <v>1218884.78</v>
      </c>
      <c r="L29" s="4">
        <f>I29+June!L29</f>
        <v>74990241.13</v>
      </c>
      <c r="M29" s="4">
        <f>J29+June!M29</f>
        <v>26134864.38</v>
      </c>
      <c r="N29" s="4">
        <f t="shared" ref="N29:N30" si="6">L29-M29</f>
        <v>48855376.75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54" t="s">
        <v>35</v>
      </c>
      <c r="D30" s="6">
        <v>3.9897922927E8</v>
      </c>
      <c r="E30" s="6">
        <v>9089782.26</v>
      </c>
      <c r="F30" s="6">
        <f t="shared" si="4"/>
        <v>389889447</v>
      </c>
      <c r="G30" s="6">
        <v>3.884657468E8</v>
      </c>
      <c r="H30" s="53">
        <v>179407.0</v>
      </c>
      <c r="I30" s="6">
        <v>4.267050678E7</v>
      </c>
      <c r="J30" s="4">
        <v>6086609.7</v>
      </c>
      <c r="K30" s="4">
        <f t="shared" si="5"/>
        <v>36583897.08</v>
      </c>
      <c r="L30" s="4">
        <f>I30+June!L30</f>
        <v>516024094.9</v>
      </c>
      <c r="M30" s="4">
        <f>J30+June!M30</f>
        <v>82833817.98</v>
      </c>
      <c r="N30" s="4">
        <f t="shared" si="6"/>
        <v>433190276.9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18" t="s">
        <v>42</v>
      </c>
      <c r="B31" s="2"/>
      <c r="C31" s="3"/>
      <c r="D31" s="6"/>
      <c r="E31" s="6"/>
      <c r="F31" s="6"/>
      <c r="G31" s="6"/>
      <c r="H31" s="5"/>
      <c r="I31" s="6"/>
      <c r="J31" s="4"/>
      <c r="K31" s="4"/>
      <c r="L31" s="4"/>
      <c r="M31" s="4"/>
      <c r="N31" s="4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1.25" customHeight="1">
      <c r="A32" s="3"/>
      <c r="B32" s="2">
        <v>22.0</v>
      </c>
      <c r="C32" s="3" t="s">
        <v>43</v>
      </c>
      <c r="D32" s="6">
        <v>2.4016807303E9</v>
      </c>
      <c r="E32" s="6">
        <v>1.7503103379E8</v>
      </c>
      <c r="F32" s="6">
        <f>D32-E32</f>
        <v>2226649697</v>
      </c>
      <c r="G32" s="6">
        <v>2.22964555143E9</v>
      </c>
      <c r="H32" s="5">
        <v>3261.0</v>
      </c>
      <c r="I32" s="6">
        <v>1.8443794E8</v>
      </c>
      <c r="J32" s="4">
        <v>960464.0</v>
      </c>
      <c r="K32" s="4">
        <f>I32-J32</f>
        <v>183477476</v>
      </c>
      <c r="L32" s="4">
        <f>I32+June!L32</f>
        <v>291511505</v>
      </c>
      <c r="M32" s="4">
        <f>J32+June!M32</f>
        <v>14643849</v>
      </c>
      <c r="N32" s="4">
        <f>L32-M32</f>
        <v>276867656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22" t="s">
        <v>44</v>
      </c>
      <c r="B33" s="23"/>
      <c r="C33" s="1"/>
      <c r="D33" s="24">
        <f t="shared" ref="D33:N33" si="7">SUM(D9:D32)</f>
        <v>85534586830</v>
      </c>
      <c r="E33" s="24">
        <f t="shared" si="7"/>
        <v>15332957829</v>
      </c>
      <c r="F33" s="24">
        <f t="shared" si="7"/>
        <v>70201629001</v>
      </c>
      <c r="G33" s="24">
        <f t="shared" si="7"/>
        <v>65804131654</v>
      </c>
      <c r="H33" s="24">
        <f t="shared" si="7"/>
        <v>466353</v>
      </c>
      <c r="I33" s="24">
        <f t="shared" si="7"/>
        <v>792253343.8</v>
      </c>
      <c r="J33" s="24">
        <f t="shared" si="7"/>
        <v>37073978042</v>
      </c>
      <c r="K33" s="24">
        <f t="shared" si="7"/>
        <v>-36281724699</v>
      </c>
      <c r="L33" s="24">
        <f t="shared" si="7"/>
        <v>7620319159</v>
      </c>
      <c r="M33" s="24">
        <f t="shared" si="7"/>
        <v>41940099664</v>
      </c>
      <c r="N33" s="24">
        <f t="shared" si="7"/>
        <v>-34319780505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2.0" customHeight="1">
      <c r="A34" s="18" t="s">
        <v>45</v>
      </c>
      <c r="B34" s="2"/>
      <c r="C34" s="3"/>
      <c r="D34" s="6"/>
      <c r="E34" s="6"/>
      <c r="F34" s="6"/>
      <c r="G34" s="6"/>
      <c r="H34" s="5"/>
      <c r="I34" s="6"/>
      <c r="J34" s="4"/>
      <c r="K34" s="4"/>
      <c r="L34" s="4"/>
      <c r="M34" s="4"/>
      <c r="N34" s="4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2.0" customHeight="1">
      <c r="A35" s="3"/>
      <c r="B35" s="2">
        <v>23.0</v>
      </c>
      <c r="C35" s="3" t="s">
        <v>189</v>
      </c>
      <c r="D35" s="6">
        <v>4.0156086121300004E7</v>
      </c>
      <c r="E35" s="6">
        <v>929467.5428000002</v>
      </c>
      <c r="F35" s="6">
        <f t="shared" ref="F35:F36" si="8">D35-E35</f>
        <v>39226618.58</v>
      </c>
      <c r="G35" s="27">
        <v>0.0</v>
      </c>
      <c r="H35" s="5">
        <v>57.0</v>
      </c>
      <c r="I35" s="6">
        <v>32985.38</v>
      </c>
      <c r="J35" s="4">
        <v>0.0</v>
      </c>
      <c r="K35" s="4">
        <f t="shared" ref="K35:K36" si="9">I35-J35</f>
        <v>32985.38</v>
      </c>
      <c r="L35" s="4">
        <f>I35+June!L35</f>
        <v>961589.08</v>
      </c>
      <c r="M35" s="4">
        <f>J35+June!M35</f>
        <v>5540207.95</v>
      </c>
      <c r="N35" s="4">
        <f t="shared" ref="N35:N36" si="10">L35-M35</f>
        <v>-4578618.87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47</v>
      </c>
      <c r="D36" s="6">
        <f>55.13*35950246.72</f>
        <v>1981937102</v>
      </c>
      <c r="E36" s="6">
        <f>55.13*1384465.85</f>
        <v>76325602.31</v>
      </c>
      <c r="F36" s="6">
        <f t="shared" si="8"/>
        <v>1905611499</v>
      </c>
      <c r="G36" s="6">
        <v>0.0</v>
      </c>
      <c r="H36" s="5">
        <v>2819.0</v>
      </c>
      <c r="I36" s="6">
        <f>55.13*87975.77</f>
        <v>4850104.2</v>
      </c>
      <c r="J36" s="6">
        <f>55.13*690439.65</f>
        <v>38063937.9</v>
      </c>
      <c r="K36" s="4">
        <f t="shared" si="9"/>
        <v>-33213833.7</v>
      </c>
      <c r="L36" s="4">
        <f>I36+June!L36</f>
        <v>256131992.5</v>
      </c>
      <c r="M36" s="4">
        <f>J36+June!M36</f>
        <v>259487251.2</v>
      </c>
      <c r="N36" s="4">
        <f t="shared" si="10"/>
        <v>-3355258.643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22" t="s">
        <v>48</v>
      </c>
      <c r="B37" s="23"/>
      <c r="C37" s="1"/>
      <c r="D37" s="24">
        <f t="shared" ref="D37:N37" si="11">SUM(D35:D36)</f>
        <v>2022093188</v>
      </c>
      <c r="E37" s="24">
        <f t="shared" si="11"/>
        <v>77255069.85</v>
      </c>
      <c r="F37" s="24">
        <f t="shared" si="11"/>
        <v>1944838118</v>
      </c>
      <c r="G37" s="24">
        <f t="shared" si="11"/>
        <v>0</v>
      </c>
      <c r="H37" s="24">
        <f t="shared" si="11"/>
        <v>2876</v>
      </c>
      <c r="I37" s="24">
        <f t="shared" si="11"/>
        <v>4883089.58</v>
      </c>
      <c r="J37" s="24">
        <f t="shared" si="11"/>
        <v>38063937.9</v>
      </c>
      <c r="K37" s="24">
        <f t="shared" si="11"/>
        <v>-33180848.32</v>
      </c>
      <c r="L37" s="24">
        <f t="shared" si="11"/>
        <v>257093581.6</v>
      </c>
      <c r="M37" s="24">
        <f t="shared" si="11"/>
        <v>265027459.1</v>
      </c>
      <c r="N37" s="24">
        <f t="shared" si="11"/>
        <v>-7933877.513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2.0" customHeight="1">
      <c r="A38" s="1" t="s">
        <v>49</v>
      </c>
      <c r="B38" s="23"/>
      <c r="C38" s="1"/>
      <c r="D38" s="24">
        <f t="shared" ref="D38:N38" si="12">D33+D37</f>
        <v>87556680018</v>
      </c>
      <c r="E38" s="24">
        <f t="shared" si="12"/>
        <v>15410212899</v>
      </c>
      <c r="F38" s="24">
        <f t="shared" si="12"/>
        <v>72146467119</v>
      </c>
      <c r="G38" s="24">
        <f t="shared" si="12"/>
        <v>65804131654</v>
      </c>
      <c r="H38" s="24">
        <f t="shared" si="12"/>
        <v>469229</v>
      </c>
      <c r="I38" s="24">
        <f t="shared" si="12"/>
        <v>797136433.3</v>
      </c>
      <c r="J38" s="24">
        <f t="shared" si="12"/>
        <v>37112041980</v>
      </c>
      <c r="K38" s="24">
        <f t="shared" si="12"/>
        <v>-36314905547</v>
      </c>
      <c r="L38" s="24">
        <f t="shared" si="12"/>
        <v>7877412741</v>
      </c>
      <c r="M38" s="24">
        <f t="shared" si="12"/>
        <v>42205127123</v>
      </c>
      <c r="N38" s="24">
        <f t="shared" si="12"/>
        <v>-34327714382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50</v>
      </c>
      <c r="B39" s="2"/>
      <c r="C39" s="3"/>
      <c r="D39" s="6"/>
      <c r="E39" s="6"/>
      <c r="F39" s="6"/>
      <c r="G39" s="6"/>
      <c r="H39" s="5"/>
      <c r="I39" s="6"/>
      <c r="J39" s="4"/>
      <c r="K39" s="4"/>
      <c r="L39" s="4"/>
      <c r="M39" s="4"/>
      <c r="N39" s="4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ht="12.0" customHeight="1">
      <c r="A40" s="18" t="s">
        <v>20</v>
      </c>
      <c r="B40" s="2"/>
      <c r="C40" s="3"/>
      <c r="D40" s="6"/>
      <c r="E40" s="6"/>
      <c r="F40" s="6"/>
      <c r="G40" s="6"/>
      <c r="H40" s="5"/>
      <c r="I40" s="6"/>
      <c r="J40" s="4"/>
      <c r="K40" s="4"/>
      <c r="L40" s="4"/>
      <c r="M40" s="4"/>
      <c r="N40" s="4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/>
      <c r="B41" s="2">
        <v>25.0</v>
      </c>
      <c r="C41" s="3" t="s">
        <v>190</v>
      </c>
      <c r="D41" s="6">
        <v>1.2377735202E8</v>
      </c>
      <c r="E41" s="6">
        <v>917736.31</v>
      </c>
      <c r="F41" s="6">
        <f t="shared" ref="F41:F50" si="13">D41-E41</f>
        <v>122859615.7</v>
      </c>
      <c r="G41" s="6">
        <v>3.002527E7</v>
      </c>
      <c r="H41" s="5">
        <v>729.0</v>
      </c>
      <c r="I41" s="6">
        <v>398023.5800000001</v>
      </c>
      <c r="J41" s="4">
        <v>272293.83</v>
      </c>
      <c r="K41" s="4">
        <f t="shared" ref="K41:K50" si="14">I41-J41</f>
        <v>125729.75</v>
      </c>
      <c r="L41" s="4">
        <f>I41+June!L41</f>
        <v>9464005.65</v>
      </c>
      <c r="M41" s="4">
        <f>J41+June!M41</f>
        <v>3896417.79</v>
      </c>
      <c r="N41" s="4">
        <f t="shared" ref="N41:N50" si="15">L41-M41</f>
        <v>5567587.86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3"/>
      <c r="B42" s="2">
        <v>26.0</v>
      </c>
      <c r="C42" s="3" t="s">
        <v>191</v>
      </c>
      <c r="D42" s="6">
        <v>6.2924422904E8</v>
      </c>
      <c r="E42" s="6">
        <v>1501038.16</v>
      </c>
      <c r="F42" s="6">
        <f t="shared" si="13"/>
        <v>627743190.9</v>
      </c>
      <c r="G42" s="6">
        <v>2.3202781365E8</v>
      </c>
      <c r="H42" s="5">
        <v>2461.0</v>
      </c>
      <c r="I42" s="6">
        <v>701595.1700000002</v>
      </c>
      <c r="J42" s="4">
        <v>1121767.8699999999</v>
      </c>
      <c r="K42" s="4">
        <f t="shared" si="14"/>
        <v>-420172.7</v>
      </c>
      <c r="L42" s="4">
        <f>I42+June!L42</f>
        <v>11512161.66</v>
      </c>
      <c r="M42" s="4">
        <f>J42+June!M42</f>
        <v>36800343.59</v>
      </c>
      <c r="N42" s="4">
        <f t="shared" si="15"/>
        <v>-25288181.93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53</v>
      </c>
      <c r="D43" s="6">
        <v>1.10018676249E9</v>
      </c>
      <c r="E43" s="6">
        <v>1.392789218E7</v>
      </c>
      <c r="F43" s="6">
        <f t="shared" si="13"/>
        <v>1086258870</v>
      </c>
      <c r="G43" s="6">
        <v>4.5568040045E8</v>
      </c>
      <c r="H43" s="5">
        <v>4811.0</v>
      </c>
      <c r="I43" s="6">
        <v>1.0347261675E7</v>
      </c>
      <c r="J43" s="4">
        <v>2900083.18999999</v>
      </c>
      <c r="K43" s="4">
        <f t="shared" si="14"/>
        <v>7447178.485</v>
      </c>
      <c r="L43" s="4">
        <f>I43+June!L43</f>
        <v>27789827.89</v>
      </c>
      <c r="M43" s="4">
        <f>J43+June!M43</f>
        <v>167513089.7</v>
      </c>
      <c r="N43" s="4">
        <f t="shared" si="15"/>
        <v>-139723261.9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54</v>
      </c>
      <c r="D44" s="6">
        <v>2.9952911608E8</v>
      </c>
      <c r="E44" s="6">
        <v>6080191.01</v>
      </c>
      <c r="F44" s="6">
        <f t="shared" si="13"/>
        <v>293448925.1</v>
      </c>
      <c r="G44" s="6">
        <v>1.2386341531E8</v>
      </c>
      <c r="H44" s="5">
        <v>208.0</v>
      </c>
      <c r="I44" s="6">
        <v>3210470.14</v>
      </c>
      <c r="J44" s="4">
        <v>24530.75</v>
      </c>
      <c r="K44" s="4">
        <f t="shared" si="14"/>
        <v>3185939.39</v>
      </c>
      <c r="L44" s="4">
        <f>I44+June!L44</f>
        <v>300315648</v>
      </c>
      <c r="M44" s="4">
        <f>J44+June!M44</f>
        <v>14062037.28</v>
      </c>
      <c r="N44" s="4">
        <f t="shared" si="15"/>
        <v>286253610.7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55</v>
      </c>
      <c r="D45" s="6">
        <v>3.3250175428E8</v>
      </c>
      <c r="E45" s="6">
        <v>1335752.29</v>
      </c>
      <c r="F45" s="6">
        <f t="shared" si="13"/>
        <v>331166002</v>
      </c>
      <c r="G45" s="6">
        <v>1.52026791E8</v>
      </c>
      <c r="H45" s="5">
        <v>56.0</v>
      </c>
      <c r="I45" s="6">
        <v>0.0</v>
      </c>
      <c r="J45" s="4">
        <v>0.0</v>
      </c>
      <c r="K45" s="4">
        <f t="shared" si="14"/>
        <v>0</v>
      </c>
      <c r="L45" s="4">
        <f>I45+June!L45</f>
        <v>0</v>
      </c>
      <c r="M45" s="4">
        <f>J45+June!M45</f>
        <v>2789770.37</v>
      </c>
      <c r="N45" s="4">
        <f t="shared" si="15"/>
        <v>-2789770.37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56</v>
      </c>
      <c r="D46" s="6">
        <v>5.7254368373E8</v>
      </c>
      <c r="E46" s="6">
        <v>1.840738299E7</v>
      </c>
      <c r="F46" s="6">
        <f t="shared" si="13"/>
        <v>554136300.7</v>
      </c>
      <c r="G46" s="6">
        <v>2.7090523231E8</v>
      </c>
      <c r="H46" s="5">
        <v>10209.0</v>
      </c>
      <c r="I46" s="6">
        <v>393991.6</v>
      </c>
      <c r="J46" s="4">
        <v>2636019.01</v>
      </c>
      <c r="K46" s="4">
        <f t="shared" si="14"/>
        <v>-2242027.41</v>
      </c>
      <c r="L46" s="4">
        <f>I46+June!L46</f>
        <v>4707442.5</v>
      </c>
      <c r="M46" s="4">
        <f>J46+June!M46</f>
        <v>36001026.72</v>
      </c>
      <c r="N46" s="4">
        <f t="shared" si="15"/>
        <v>-31293584.22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57</v>
      </c>
      <c r="D47" s="6">
        <v>2.62672973424E9</v>
      </c>
      <c r="E47" s="6">
        <v>5.2421717425E8</v>
      </c>
      <c r="F47" s="6">
        <f t="shared" si="13"/>
        <v>2102512560</v>
      </c>
      <c r="G47" s="6">
        <v>5.6177332049E8</v>
      </c>
      <c r="H47" s="5">
        <v>8325.0</v>
      </c>
      <c r="I47" s="6">
        <v>2.591686841E7</v>
      </c>
      <c r="J47" s="4">
        <v>8.11372028496E9</v>
      </c>
      <c r="K47" s="4">
        <f t="shared" si="14"/>
        <v>-8087803417</v>
      </c>
      <c r="L47" s="4">
        <f>I47+June!L47</f>
        <v>190385502.9</v>
      </c>
      <c r="M47" s="4">
        <f>J47+June!M47</f>
        <v>8227178653</v>
      </c>
      <c r="N47" s="4">
        <f t="shared" si="15"/>
        <v>-8036793150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1.25" customHeight="1">
      <c r="A48" s="18"/>
      <c r="B48" s="2">
        <v>32.0</v>
      </c>
      <c r="C48" s="3" t="s">
        <v>192</v>
      </c>
      <c r="D48" s="6">
        <v>1.3618178736E8</v>
      </c>
      <c r="E48" s="6">
        <v>864066.18</v>
      </c>
      <c r="F48" s="6">
        <f t="shared" si="13"/>
        <v>135317721.2</v>
      </c>
      <c r="G48" s="6">
        <v>7.03844541E7</v>
      </c>
      <c r="H48" s="5">
        <v>197.0</v>
      </c>
      <c r="I48" s="6">
        <v>13493.99</v>
      </c>
      <c r="J48" s="4">
        <v>5565.43</v>
      </c>
      <c r="K48" s="4">
        <f t="shared" si="14"/>
        <v>7928.56</v>
      </c>
      <c r="L48" s="4">
        <f>I48+June!L48</f>
        <v>3386363.25</v>
      </c>
      <c r="M48" s="4">
        <f>J48+June!M48</f>
        <v>6636385.62</v>
      </c>
      <c r="N48" s="4">
        <f t="shared" si="15"/>
        <v>-3250022.37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v>33.0</v>
      </c>
      <c r="C49" s="3" t="s">
        <v>59</v>
      </c>
      <c r="D49" s="6">
        <v>7.35564146665E9</v>
      </c>
      <c r="E49" s="6">
        <v>9.276647923E7</v>
      </c>
      <c r="F49" s="6">
        <f t="shared" si="13"/>
        <v>7262874987</v>
      </c>
      <c r="G49" s="6">
        <v>3.67234132119E9</v>
      </c>
      <c r="H49" s="5">
        <v>53333.0</v>
      </c>
      <c r="I49" s="6">
        <v>1.235438169E7</v>
      </c>
      <c r="J49" s="4">
        <v>2.277423828E7</v>
      </c>
      <c r="K49" s="4">
        <f t="shared" si="14"/>
        <v>-10419856.59</v>
      </c>
      <c r="L49" s="4">
        <f>I49+June!L49</f>
        <v>111784594.5</v>
      </c>
      <c r="M49" s="4">
        <f>J49+June!M49</f>
        <v>320339478.4</v>
      </c>
      <c r="N49" s="4">
        <f t="shared" si="15"/>
        <v>-208554884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60</v>
      </c>
      <c r="D50" s="6">
        <v>1.19267769214E9</v>
      </c>
      <c r="E50" s="6">
        <v>4.304323984E7</v>
      </c>
      <c r="F50" s="6">
        <f t="shared" si="13"/>
        <v>1149634452</v>
      </c>
      <c r="G50" s="6">
        <v>7.272363636E8</v>
      </c>
      <c r="H50" s="5">
        <v>4998.0</v>
      </c>
      <c r="I50" s="6">
        <v>0.0</v>
      </c>
      <c r="J50" s="4">
        <v>591782.54</v>
      </c>
      <c r="K50" s="4">
        <f t="shared" si="14"/>
        <v>-591782.54</v>
      </c>
      <c r="L50" s="4">
        <f>I50+June!L50</f>
        <v>0</v>
      </c>
      <c r="M50" s="4">
        <f>J50+June!M50</f>
        <v>54336939.95</v>
      </c>
      <c r="N50" s="4">
        <f t="shared" si="15"/>
        <v>-54336939.95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18" t="s">
        <v>40</v>
      </c>
      <c r="B51" s="2"/>
      <c r="C51" s="3"/>
      <c r="D51" s="6"/>
      <c r="E51" s="6"/>
      <c r="F51" s="6"/>
      <c r="G51" s="6"/>
      <c r="H51" s="5"/>
      <c r="I51" s="6"/>
      <c r="J51" s="4"/>
      <c r="K51" s="4"/>
      <c r="L51" s="4"/>
      <c r="M51" s="4"/>
      <c r="N51" s="4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v>35.0</v>
      </c>
      <c r="C52" s="3" t="s">
        <v>61</v>
      </c>
      <c r="D52" s="6">
        <v>7.113206161E7</v>
      </c>
      <c r="E52" s="6">
        <v>320678.63</v>
      </c>
      <c r="F52" s="6">
        <f t="shared" ref="F52:F54" si="16">D52-E52</f>
        <v>70811382.98</v>
      </c>
      <c r="G52" s="6">
        <v>2.56019073E7</v>
      </c>
      <c r="H52" s="5">
        <v>964.0</v>
      </c>
      <c r="I52" s="6">
        <v>451797.15</v>
      </c>
      <c r="J52" s="4">
        <v>116647.3</v>
      </c>
      <c r="K52" s="4">
        <f t="shared" ref="K52:K54" si="17">I52-J52</f>
        <v>335149.85</v>
      </c>
      <c r="L52" s="4">
        <f>I52+June!L52</f>
        <v>4824152.93</v>
      </c>
      <c r="M52" s="4">
        <f>J52+June!M52</f>
        <v>1268337.66</v>
      </c>
      <c r="N52" s="4">
        <f t="shared" ref="N52:N54" si="18">L52-M52</f>
        <v>3555815.27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62</v>
      </c>
      <c r="D53" s="6">
        <v>5.315285056E7</v>
      </c>
      <c r="E53" s="6">
        <v>278829.29</v>
      </c>
      <c r="F53" s="6">
        <f t="shared" si="16"/>
        <v>52874021.27</v>
      </c>
      <c r="G53" s="6">
        <v>4.15755933E7</v>
      </c>
      <c r="H53" s="5">
        <v>368.0</v>
      </c>
      <c r="I53" s="6">
        <v>452900.0</v>
      </c>
      <c r="J53" s="4">
        <v>10859.3</v>
      </c>
      <c r="K53" s="4">
        <f t="shared" si="17"/>
        <v>442040.7</v>
      </c>
      <c r="L53" s="4">
        <f>I53+June!L53</f>
        <v>4955088.54</v>
      </c>
      <c r="M53" s="4">
        <f>J53+June!M53</f>
        <v>381199.11</v>
      </c>
      <c r="N53" s="4">
        <f t="shared" si="18"/>
        <v>4573889.43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63</v>
      </c>
      <c r="D54" s="6">
        <v>4.505076835E7</v>
      </c>
      <c r="E54" s="6">
        <v>270947.98</v>
      </c>
      <c r="F54" s="6">
        <f t="shared" si="16"/>
        <v>44779820.37</v>
      </c>
      <c r="G54" s="6">
        <v>3.79157645E7</v>
      </c>
      <c r="H54" s="5">
        <v>172.0</v>
      </c>
      <c r="I54" s="6">
        <v>376164.0</v>
      </c>
      <c r="J54" s="4">
        <v>101414.29</v>
      </c>
      <c r="K54" s="4">
        <f t="shared" si="17"/>
        <v>274749.71</v>
      </c>
      <c r="L54" s="4">
        <f>I54+June!L54</f>
        <v>1993930.67</v>
      </c>
      <c r="M54" s="4">
        <f>J54+June!M54</f>
        <v>260027.56</v>
      </c>
      <c r="N54" s="4">
        <f t="shared" si="18"/>
        <v>1733903.11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22" t="s">
        <v>44</v>
      </c>
      <c r="B55" s="22"/>
      <c r="C55" s="1"/>
      <c r="D55" s="24">
        <f t="shared" ref="D55:N55" si="19">SUM(D41:D54)</f>
        <v>14538349259</v>
      </c>
      <c r="E55" s="24">
        <f t="shared" si="19"/>
        <v>703931408.3</v>
      </c>
      <c r="F55" s="24">
        <f t="shared" si="19"/>
        <v>13834417850</v>
      </c>
      <c r="G55" s="24">
        <f t="shared" si="19"/>
        <v>6401357647</v>
      </c>
      <c r="H55" s="24">
        <f t="shared" si="19"/>
        <v>86831</v>
      </c>
      <c r="I55" s="24">
        <f t="shared" si="19"/>
        <v>54616947.41</v>
      </c>
      <c r="J55" s="24">
        <f t="shared" si="19"/>
        <v>8144275487</v>
      </c>
      <c r="K55" s="24">
        <f t="shared" si="19"/>
        <v>-8089658539</v>
      </c>
      <c r="L55" s="24">
        <f t="shared" si="19"/>
        <v>671118718.4</v>
      </c>
      <c r="M55" s="24">
        <f t="shared" si="19"/>
        <v>8871463707</v>
      </c>
      <c r="N55" s="24">
        <f t="shared" si="19"/>
        <v>-8200344988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2.0" customHeight="1">
      <c r="A56" s="18" t="s">
        <v>45</v>
      </c>
      <c r="B56" s="2"/>
      <c r="C56" s="3"/>
      <c r="D56" s="6"/>
      <c r="E56" s="6"/>
      <c r="F56" s="6"/>
      <c r="G56" s="6"/>
      <c r="H56" s="5"/>
      <c r="I56" s="6"/>
      <c r="J56" s="4"/>
      <c r="K56" s="4"/>
      <c r="L56" s="4"/>
      <c r="M56" s="4"/>
      <c r="N56" s="4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18"/>
      <c r="B57" s="2">
        <v>38.0</v>
      </c>
      <c r="C57" s="3" t="s">
        <v>64</v>
      </c>
      <c r="D57" s="6">
        <f>55.13*1363212.42</f>
        <v>75153900.71</v>
      </c>
      <c r="E57" s="6">
        <f>55.13*6948.31</f>
        <v>383060.3303</v>
      </c>
      <c r="F57" s="6">
        <f t="shared" ref="F57:F60" si="20">D57-E57</f>
        <v>74770840.38</v>
      </c>
      <c r="G57" s="6">
        <v>0.0</v>
      </c>
      <c r="H57" s="5">
        <v>55.0</v>
      </c>
      <c r="I57" s="6">
        <v>0.0</v>
      </c>
      <c r="J57" s="6">
        <v>0.0</v>
      </c>
      <c r="K57" s="4">
        <f t="shared" ref="K57:K60" si="21">I57-J57</f>
        <v>0</v>
      </c>
      <c r="L57" s="4">
        <f>I57+June!L57</f>
        <v>5201914.981</v>
      </c>
      <c r="M57" s="4">
        <f>J57+June!M57</f>
        <v>4087392.839</v>
      </c>
      <c r="N57" s="4">
        <f t="shared" ref="N57:N60" si="22">L57-M57</f>
        <v>1114522.142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65</v>
      </c>
      <c r="D58" s="6">
        <f>55.13*6573082.01</f>
        <v>362374011.2</v>
      </c>
      <c r="E58" s="6">
        <f>55.13*416045.94</f>
        <v>22936612.67</v>
      </c>
      <c r="F58" s="6">
        <f t="shared" si="20"/>
        <v>339437398.5</v>
      </c>
      <c r="G58" s="6">
        <f>55.13*3200550.31</f>
        <v>176446338.6</v>
      </c>
      <c r="H58" s="5">
        <v>274.0</v>
      </c>
      <c r="I58" s="6">
        <f>55.13*600.39</f>
        <v>33099.5007</v>
      </c>
      <c r="J58" s="6">
        <f>55.13*1951.02</f>
        <v>107559.7326</v>
      </c>
      <c r="K58" s="4">
        <f t="shared" si="21"/>
        <v>-74460.2319</v>
      </c>
      <c r="L58" s="4">
        <f>I58+June!L58</f>
        <v>596610.8451</v>
      </c>
      <c r="M58" s="4">
        <f>J58+June!M58</f>
        <v>12341219.35</v>
      </c>
      <c r="N58" s="4">
        <f t="shared" si="22"/>
        <v>-11744608.5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3"/>
      <c r="B59" s="2">
        <v>40.0</v>
      </c>
      <c r="C59" s="3" t="s">
        <v>66</v>
      </c>
      <c r="D59" s="6">
        <f>55.13*30177700.07</f>
        <v>1663696605</v>
      </c>
      <c r="E59" s="6">
        <f>55.13*422903.74</f>
        <v>23314683.19</v>
      </c>
      <c r="F59" s="6">
        <f t="shared" si="20"/>
        <v>1640381922</v>
      </c>
      <c r="G59" s="6">
        <v>0.0</v>
      </c>
      <c r="H59" s="5">
        <v>4125.0</v>
      </c>
      <c r="I59" s="6">
        <f>55.13*40185.69</f>
        <v>2215437.09</v>
      </c>
      <c r="J59" s="6">
        <f>55.13*243330.98</f>
        <v>13414836.93</v>
      </c>
      <c r="K59" s="4">
        <f t="shared" si="21"/>
        <v>-11199399.84</v>
      </c>
      <c r="L59" s="4">
        <f>I59+June!L59</f>
        <v>60331070.35</v>
      </c>
      <c r="M59" s="4">
        <f>J59+June!M59</f>
        <v>156213957.4</v>
      </c>
      <c r="N59" s="4">
        <f t="shared" si="22"/>
        <v>-95882887.01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67</v>
      </c>
      <c r="D60" s="6">
        <f>55.13*6118303.36</f>
        <v>337302064.2</v>
      </c>
      <c r="E60" s="6">
        <f>55.13*305930.64</f>
        <v>16865956.18</v>
      </c>
      <c r="F60" s="6">
        <f t="shared" si="20"/>
        <v>320436108.1</v>
      </c>
      <c r="G60" s="6">
        <v>0.0</v>
      </c>
      <c r="H60" s="5">
        <v>705.0</v>
      </c>
      <c r="I60" s="6">
        <f>55.13*700</f>
        <v>38591</v>
      </c>
      <c r="J60" s="6">
        <f>55.13*246557.79</f>
        <v>13592730.96</v>
      </c>
      <c r="K60" s="4">
        <f t="shared" si="21"/>
        <v>-13554139.96</v>
      </c>
      <c r="L60" s="4">
        <f>I60+June!L60</f>
        <v>9994005.781</v>
      </c>
      <c r="M60" s="4">
        <f>J60+June!M60</f>
        <v>31035580.73</v>
      </c>
      <c r="N60" s="4">
        <f t="shared" si="22"/>
        <v>-21041574.95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22" t="s">
        <v>48</v>
      </c>
      <c r="B61" s="23"/>
      <c r="C61" s="1"/>
      <c r="D61" s="24">
        <f t="shared" ref="D61:N61" si="23">SUM(D57:D60)</f>
        <v>2438526581</v>
      </c>
      <c r="E61" s="24">
        <f t="shared" si="23"/>
        <v>63500312.37</v>
      </c>
      <c r="F61" s="24">
        <f t="shared" si="23"/>
        <v>2375026269</v>
      </c>
      <c r="G61" s="24">
        <f t="shared" si="23"/>
        <v>176446338.6</v>
      </c>
      <c r="H61" s="24">
        <f t="shared" si="23"/>
        <v>5159</v>
      </c>
      <c r="I61" s="24">
        <f t="shared" si="23"/>
        <v>2287127.59</v>
      </c>
      <c r="J61" s="24">
        <f t="shared" si="23"/>
        <v>27115127.62</v>
      </c>
      <c r="K61" s="24">
        <f t="shared" si="23"/>
        <v>-24828000.03</v>
      </c>
      <c r="L61" s="24">
        <f t="shared" si="23"/>
        <v>76123601.96</v>
      </c>
      <c r="M61" s="24">
        <f t="shared" si="23"/>
        <v>203678150.3</v>
      </c>
      <c r="N61" s="24">
        <f t="shared" si="23"/>
        <v>-127554548.3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2.0" customHeight="1">
      <c r="A62" s="1" t="s">
        <v>68</v>
      </c>
      <c r="B62" s="23"/>
      <c r="C62" s="1"/>
      <c r="D62" s="24">
        <f t="shared" ref="D62:N62" si="24">D55+D61</f>
        <v>16976875840</v>
      </c>
      <c r="E62" s="24">
        <f t="shared" si="24"/>
        <v>767431720.7</v>
      </c>
      <c r="F62" s="24">
        <f t="shared" si="24"/>
        <v>16209444119</v>
      </c>
      <c r="G62" s="24">
        <f t="shared" si="24"/>
        <v>6577803986</v>
      </c>
      <c r="H62" s="24">
        <f t="shared" si="24"/>
        <v>91990</v>
      </c>
      <c r="I62" s="24">
        <f t="shared" si="24"/>
        <v>56904075</v>
      </c>
      <c r="J62" s="24">
        <f t="shared" si="24"/>
        <v>8171390614</v>
      </c>
      <c r="K62" s="24">
        <f t="shared" si="24"/>
        <v>-8114486539</v>
      </c>
      <c r="L62" s="24">
        <f t="shared" si="24"/>
        <v>747242320.4</v>
      </c>
      <c r="M62" s="24">
        <f t="shared" si="24"/>
        <v>9075141857</v>
      </c>
      <c r="N62" s="24">
        <f t="shared" si="24"/>
        <v>-8327899537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69</v>
      </c>
      <c r="B63" s="2"/>
      <c r="C63" s="3"/>
      <c r="D63" s="6"/>
      <c r="E63" s="6"/>
      <c r="F63" s="6"/>
      <c r="G63" s="6"/>
      <c r="H63" s="5"/>
      <c r="I63" s="6"/>
      <c r="J63" s="4"/>
      <c r="K63" s="4"/>
      <c r="L63" s="4"/>
      <c r="M63" s="4"/>
      <c r="N63" s="4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ht="12.0" customHeight="1">
      <c r="A64" s="18" t="s">
        <v>20</v>
      </c>
      <c r="B64" s="2"/>
      <c r="C64" s="3"/>
      <c r="D64" s="6"/>
      <c r="E64" s="6"/>
      <c r="F64" s="6"/>
      <c r="G64" s="6"/>
      <c r="H64" s="5"/>
      <c r="I64" s="6"/>
      <c r="J64" s="4"/>
      <c r="K64" s="4"/>
      <c r="L64" s="4"/>
      <c r="M64" s="4"/>
      <c r="N64" s="4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3"/>
      <c r="B65" s="2">
        <v>42.0</v>
      </c>
      <c r="C65" s="3" t="s">
        <v>70</v>
      </c>
      <c r="D65" s="6">
        <v>4.175931363446E10</v>
      </c>
      <c r="E65" s="6">
        <v>2.9366217854E8</v>
      </c>
      <c r="F65" s="6">
        <f t="shared" ref="F65:F75" si="25">D65-E65</f>
        <v>41465651456</v>
      </c>
      <c r="G65" s="6">
        <v>9.3986E8</v>
      </c>
      <c r="H65" s="5">
        <v>26480.0</v>
      </c>
      <c r="I65" s="6">
        <v>3.0948229761E8</v>
      </c>
      <c r="J65" s="4">
        <v>5.8409017655E8</v>
      </c>
      <c r="K65" s="4">
        <f t="shared" ref="K65:K75" si="26">I65-J65</f>
        <v>-274607878.9</v>
      </c>
      <c r="L65" s="4">
        <f>I65+June!L65</f>
        <v>1912006088</v>
      </c>
      <c r="M65" s="4">
        <f>J65+June!M65</f>
        <v>4568149962</v>
      </c>
      <c r="N65" s="4">
        <f t="shared" ref="N65:N75" si="27">L65-M65</f>
        <v>-2656143874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193</v>
      </c>
      <c r="D66" s="6">
        <v>3.4870927507E8</v>
      </c>
      <c r="E66" s="6">
        <v>745693.54</v>
      </c>
      <c r="F66" s="6">
        <f t="shared" si="25"/>
        <v>347963581.5</v>
      </c>
      <c r="G66" s="6">
        <v>0.0</v>
      </c>
      <c r="H66" s="5">
        <v>1057.0</v>
      </c>
      <c r="I66" s="6">
        <v>4.83954366E7</v>
      </c>
      <c r="J66" s="4">
        <v>3080820.7</v>
      </c>
      <c r="K66" s="4">
        <f t="shared" si="26"/>
        <v>45314615.9</v>
      </c>
      <c r="L66" s="4">
        <f>I66+June!L66</f>
        <v>72792076.69</v>
      </c>
      <c r="M66" s="4">
        <f>J66+June!M66</f>
        <v>18110517.67</v>
      </c>
      <c r="N66" s="4">
        <f t="shared" si="27"/>
        <v>54681559.02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72</v>
      </c>
      <c r="D67" s="6">
        <v>1.169982265E9</v>
      </c>
      <c r="E67" s="6">
        <v>1.8086257220000003E7</v>
      </c>
      <c r="F67" s="6">
        <f t="shared" si="25"/>
        <v>1151896008</v>
      </c>
      <c r="G67" s="6">
        <v>0.0</v>
      </c>
      <c r="H67" s="5">
        <v>2031.0</v>
      </c>
      <c r="I67" s="6">
        <v>1677549.0299999972</v>
      </c>
      <c r="J67" s="4">
        <v>1.8897219599999994E7</v>
      </c>
      <c r="K67" s="4">
        <f t="shared" si="26"/>
        <v>-17219670.57</v>
      </c>
      <c r="L67" s="4">
        <f>I67+June!L67</f>
        <v>126082306.6</v>
      </c>
      <c r="M67" s="4">
        <f>J67+June!M67</f>
        <v>198509289</v>
      </c>
      <c r="N67" s="4">
        <f t="shared" si="27"/>
        <v>-72426982.41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1"/>
      <c r="B68" s="2">
        <v>45.0</v>
      </c>
      <c r="C68" s="3" t="s">
        <v>73</v>
      </c>
      <c r="D68" s="6">
        <v>1.9545070352E8</v>
      </c>
      <c r="E68" s="6">
        <v>295716.29</v>
      </c>
      <c r="F68" s="6">
        <f t="shared" si="25"/>
        <v>195154987.2</v>
      </c>
      <c r="G68" s="6">
        <v>5000000.0</v>
      </c>
      <c r="H68" s="5">
        <v>154.0</v>
      </c>
      <c r="I68" s="6">
        <v>154986.31</v>
      </c>
      <c r="J68" s="4">
        <v>1496653.34</v>
      </c>
      <c r="K68" s="4">
        <f t="shared" si="26"/>
        <v>-1341667.03</v>
      </c>
      <c r="L68" s="4">
        <f>I68+June!L68</f>
        <v>2192284.79</v>
      </c>
      <c r="M68" s="4">
        <f>J68+June!M68</f>
        <v>4334194.83</v>
      </c>
      <c r="N68" s="4">
        <f t="shared" si="27"/>
        <v>-2141910.04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v>46.0</v>
      </c>
      <c r="C69" s="3" t="s">
        <v>74</v>
      </c>
      <c r="D69" s="6">
        <v>1.36197947121E9</v>
      </c>
      <c r="E69" s="6">
        <v>2828481.27</v>
      </c>
      <c r="F69" s="6">
        <f t="shared" si="25"/>
        <v>1359150990</v>
      </c>
      <c r="G69" s="6">
        <v>0.0</v>
      </c>
      <c r="H69" s="5">
        <v>1863.0</v>
      </c>
      <c r="I69" s="6">
        <v>730764.0</v>
      </c>
      <c r="J69" s="4">
        <v>2.4399016E7</v>
      </c>
      <c r="K69" s="4">
        <f t="shared" si="26"/>
        <v>-23668252</v>
      </c>
      <c r="L69" s="4">
        <f>I69+June!L69</f>
        <v>27264355.41</v>
      </c>
      <c r="M69" s="4">
        <f>J69+June!M69</f>
        <v>184530872.3</v>
      </c>
      <c r="N69" s="4">
        <f t="shared" si="27"/>
        <v>-157266516.9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75</v>
      </c>
      <c r="D70" s="6">
        <v>9.6605513867E8</v>
      </c>
      <c r="E70" s="6">
        <v>8.632100233E7</v>
      </c>
      <c r="F70" s="6">
        <f t="shared" si="25"/>
        <v>879734136.3</v>
      </c>
      <c r="G70" s="6">
        <v>0.0</v>
      </c>
      <c r="H70" s="5">
        <v>536.0</v>
      </c>
      <c r="I70" s="6">
        <v>871036.74</v>
      </c>
      <c r="J70" s="4">
        <v>6.294291518E7</v>
      </c>
      <c r="K70" s="4">
        <f t="shared" si="26"/>
        <v>-62071878.44</v>
      </c>
      <c r="L70" s="4">
        <f>I70+June!L70</f>
        <v>21431383.27</v>
      </c>
      <c r="M70" s="4">
        <f>J70+June!M70</f>
        <v>130705915.3</v>
      </c>
      <c r="N70" s="4">
        <f t="shared" si="27"/>
        <v>-109274532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76</v>
      </c>
      <c r="D71" s="6">
        <v>2.54167466075E9</v>
      </c>
      <c r="E71" s="6">
        <v>3.00079879E7</v>
      </c>
      <c r="F71" s="6">
        <f t="shared" si="25"/>
        <v>2511666673</v>
      </c>
      <c r="G71" s="6">
        <v>0.0</v>
      </c>
      <c r="H71" s="5">
        <v>5122.0</v>
      </c>
      <c r="I71" s="6">
        <v>2.673771547E7</v>
      </c>
      <c r="J71" s="4">
        <v>3.76849274796E9</v>
      </c>
      <c r="K71" s="4">
        <f t="shared" si="26"/>
        <v>-3741755032</v>
      </c>
      <c r="L71" s="4">
        <f>I71+June!L71</f>
        <v>216613926.3</v>
      </c>
      <c r="M71" s="4">
        <f>J71+June!M71</f>
        <v>4165000152</v>
      </c>
      <c r="N71" s="4">
        <f t="shared" si="27"/>
        <v>-3948386226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77</v>
      </c>
      <c r="D72" s="6">
        <v>3.18102741040344E8</v>
      </c>
      <c r="E72" s="6">
        <v>454955.596300099</v>
      </c>
      <c r="F72" s="6">
        <f t="shared" si="25"/>
        <v>317647785.4</v>
      </c>
      <c r="G72" s="6">
        <v>0.0</v>
      </c>
      <c r="H72" s="5">
        <v>4172.0</v>
      </c>
      <c r="I72" s="6">
        <v>598841.0</v>
      </c>
      <c r="J72" s="4">
        <v>1301489.24</v>
      </c>
      <c r="K72" s="4">
        <f t="shared" si="26"/>
        <v>-702648.24</v>
      </c>
      <c r="L72" s="4">
        <f>I72+June!L72</f>
        <v>29615850.19</v>
      </c>
      <c r="M72" s="4">
        <f>J72+June!M72</f>
        <v>19393010.74</v>
      </c>
      <c r="N72" s="4">
        <f t="shared" si="27"/>
        <v>10222839.45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78</v>
      </c>
      <c r="D73" s="6">
        <v>1.08096423649E9</v>
      </c>
      <c r="E73" s="28">
        <v>2574675.77</v>
      </c>
      <c r="F73" s="6">
        <f t="shared" si="25"/>
        <v>1078389561</v>
      </c>
      <c r="G73" s="6">
        <v>0.0</v>
      </c>
      <c r="H73" s="5">
        <v>838.0</v>
      </c>
      <c r="I73" s="6">
        <v>7.642029573E7</v>
      </c>
      <c r="J73" s="4">
        <v>5393417.95</v>
      </c>
      <c r="K73" s="4">
        <f t="shared" si="26"/>
        <v>71026877.78</v>
      </c>
      <c r="L73" s="4">
        <f>I73+June!L73</f>
        <v>182560454.3</v>
      </c>
      <c r="M73" s="4">
        <f>J73+June!M73</f>
        <v>9363426.57</v>
      </c>
      <c r="N73" s="4">
        <f t="shared" si="27"/>
        <v>173197027.7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79</v>
      </c>
      <c r="D74" s="6">
        <v>4.3859426241E9</v>
      </c>
      <c r="E74" s="6">
        <v>6902337.64</v>
      </c>
      <c r="F74" s="6">
        <f t="shared" si="25"/>
        <v>4379040286</v>
      </c>
      <c r="G74" s="6">
        <v>0.0</v>
      </c>
      <c r="H74" s="5">
        <v>16182.0</v>
      </c>
      <c r="I74" s="6">
        <v>4.032749606E7</v>
      </c>
      <c r="J74" s="4">
        <v>6.83174445E7</v>
      </c>
      <c r="K74" s="4">
        <f t="shared" si="26"/>
        <v>-27989948.44</v>
      </c>
      <c r="L74" s="4">
        <f>I74+June!L74</f>
        <v>281433545</v>
      </c>
      <c r="M74" s="4">
        <f>J74+June!M74</f>
        <v>539385438.9</v>
      </c>
      <c r="N74" s="4">
        <f t="shared" si="27"/>
        <v>-257951893.9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80</v>
      </c>
      <c r="D75" s="6">
        <v>1.3845706943E8</v>
      </c>
      <c r="E75" s="6">
        <v>1090592.35</v>
      </c>
      <c r="F75" s="6">
        <f t="shared" si="25"/>
        <v>137366477.1</v>
      </c>
      <c r="G75" s="6">
        <v>0.0</v>
      </c>
      <c r="H75" s="5">
        <v>2582.0</v>
      </c>
      <c r="I75" s="6">
        <v>306074.65</v>
      </c>
      <c r="J75" s="4">
        <v>3675832.25</v>
      </c>
      <c r="K75" s="4">
        <f t="shared" si="26"/>
        <v>-3369757.6</v>
      </c>
      <c r="L75" s="4">
        <f>I75+June!L75</f>
        <v>4853418.46</v>
      </c>
      <c r="M75" s="4">
        <f>J75+June!M75</f>
        <v>27022625.31</v>
      </c>
      <c r="N75" s="4">
        <f t="shared" si="27"/>
        <v>-22169206.85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22" t="s">
        <v>44</v>
      </c>
      <c r="B76" s="1"/>
      <c r="C76" s="1"/>
      <c r="D76" s="24">
        <f t="shared" ref="D76:N76" si="28">SUM(D65:D75)</f>
        <v>54266631820</v>
      </c>
      <c r="E76" s="24">
        <f t="shared" si="28"/>
        <v>442969878.4</v>
      </c>
      <c r="F76" s="24">
        <f t="shared" si="28"/>
        <v>53823661941</v>
      </c>
      <c r="G76" s="24">
        <f t="shared" si="28"/>
        <v>944860000</v>
      </c>
      <c r="H76" s="24">
        <f t="shared" si="28"/>
        <v>61017</v>
      </c>
      <c r="I76" s="24">
        <f t="shared" si="28"/>
        <v>505702493.2</v>
      </c>
      <c r="J76" s="24">
        <f t="shared" si="28"/>
        <v>4542087733</v>
      </c>
      <c r="K76" s="24">
        <f t="shared" si="28"/>
        <v>-4036385240</v>
      </c>
      <c r="L76" s="24">
        <f t="shared" si="28"/>
        <v>2876845689</v>
      </c>
      <c r="M76" s="24">
        <f t="shared" si="28"/>
        <v>9864505405</v>
      </c>
      <c r="N76" s="24">
        <f t="shared" si="28"/>
        <v>-6987659716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18" t="s">
        <v>45</v>
      </c>
      <c r="B77" s="2"/>
      <c r="C77" s="3"/>
      <c r="D77" s="6"/>
      <c r="E77" s="6"/>
      <c r="F77" s="6"/>
      <c r="G77" s="6"/>
      <c r="H77" s="5"/>
      <c r="I77" s="6"/>
      <c r="J77" s="4"/>
      <c r="K77" s="4"/>
      <c r="L77" s="4"/>
      <c r="M77" s="4"/>
      <c r="N77" s="4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3"/>
      <c r="B78" s="2">
        <v>53.0</v>
      </c>
      <c r="C78" s="3" t="s">
        <v>81</v>
      </c>
      <c r="D78" s="6">
        <f>55.13*267476567.75</f>
        <v>14745983180</v>
      </c>
      <c r="E78" s="6">
        <f>55.13*1451259.39</f>
        <v>80007930.17</v>
      </c>
      <c r="F78" s="6">
        <f t="shared" ref="F78:F84" si="29">D78-E78</f>
        <v>14665975250</v>
      </c>
      <c r="G78" s="6">
        <v>0.0</v>
      </c>
      <c r="H78" s="5">
        <v>9520.0</v>
      </c>
      <c r="I78" s="6">
        <f>55.13*1001625.37</f>
        <v>55219606.65</v>
      </c>
      <c r="J78" s="4">
        <f>55.13*5634040.11</f>
        <v>310604631.3</v>
      </c>
      <c r="K78" s="4">
        <f t="shared" ref="K78:K84" si="30">I78-J78</f>
        <v>-255385024.6</v>
      </c>
      <c r="L78" s="4">
        <f>I78+June!L78</f>
        <v>705351297.2</v>
      </c>
      <c r="M78" s="4">
        <f>J78+June!M78</f>
        <v>4510471906</v>
      </c>
      <c r="N78" s="4">
        <f t="shared" ref="N78:N84" si="31">L78-M78</f>
        <v>-3805120609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194</v>
      </c>
      <c r="D79" s="6">
        <v>4.392934038667E8</v>
      </c>
      <c r="E79" s="6">
        <v>8.4936056552E7</v>
      </c>
      <c r="F79" s="6">
        <f t="shared" si="29"/>
        <v>354357347.3</v>
      </c>
      <c r="G79" s="6">
        <v>0.0</v>
      </c>
      <c r="H79" s="5">
        <v>197.0</v>
      </c>
      <c r="I79" s="6">
        <v>855343.05</v>
      </c>
      <c r="J79" s="4">
        <v>5.893642108E7</v>
      </c>
      <c r="K79" s="4">
        <f t="shared" si="30"/>
        <v>-58081078.03</v>
      </c>
      <c r="L79" s="4">
        <f>I79+June!L79</f>
        <v>19820489.45</v>
      </c>
      <c r="M79" s="4">
        <f>J79+June!M79</f>
        <v>441374432.4</v>
      </c>
      <c r="N79" s="4">
        <f t="shared" si="31"/>
        <v>-421553942.9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83</v>
      </c>
      <c r="D80" s="6">
        <v>5.008249032039E8</v>
      </c>
      <c r="E80" s="6">
        <v>3479416.9335</v>
      </c>
      <c r="F80" s="6">
        <f t="shared" si="29"/>
        <v>497345486.3</v>
      </c>
      <c r="G80" s="6">
        <v>0.0</v>
      </c>
      <c r="H80" s="5">
        <v>155.0</v>
      </c>
      <c r="I80" s="6">
        <v>1.4192619731815552E7</v>
      </c>
      <c r="J80" s="4">
        <v>2.4395493295601657E8</v>
      </c>
      <c r="K80" s="4">
        <f t="shared" si="30"/>
        <v>-229762313.2</v>
      </c>
      <c r="L80" s="4">
        <f>I80+June!L80</f>
        <v>15501916.84</v>
      </c>
      <c r="M80" s="4">
        <f>J80+June!M80</f>
        <v>258520657.4</v>
      </c>
      <c r="N80" s="4">
        <f t="shared" si="31"/>
        <v>-243018740.5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1.25" customHeight="1">
      <c r="A81" s="18"/>
      <c r="B81" s="2">
        <v>56.0</v>
      </c>
      <c r="C81" s="3" t="s">
        <v>84</v>
      </c>
      <c r="D81" s="6">
        <f>55.13*1182867.62</f>
        <v>65211491.89</v>
      </c>
      <c r="E81" s="6">
        <f>55.13*225159.1</f>
        <v>12413021.18</v>
      </c>
      <c r="F81" s="6">
        <f t="shared" si="29"/>
        <v>52798470.71</v>
      </c>
      <c r="G81" s="6">
        <v>0.0</v>
      </c>
      <c r="H81" s="5">
        <v>26.0</v>
      </c>
      <c r="I81" s="6">
        <v>0.0</v>
      </c>
      <c r="J81" s="6">
        <v>0.0</v>
      </c>
      <c r="K81" s="4">
        <f t="shared" si="30"/>
        <v>0</v>
      </c>
      <c r="L81" s="4">
        <f>I81+June!L81</f>
        <v>684910.0473</v>
      </c>
      <c r="M81" s="4">
        <f>J81+June!M81</f>
        <v>1188416.954</v>
      </c>
      <c r="N81" s="4">
        <f t="shared" si="31"/>
        <v>-503506.9064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v>57.0</v>
      </c>
      <c r="C82" s="3" t="s">
        <v>85</v>
      </c>
      <c r="D82" s="6">
        <f>55.13*40675197.86</f>
        <v>2242423658</v>
      </c>
      <c r="E82" s="6">
        <f>55.13*412428.73</f>
        <v>22737195.88</v>
      </c>
      <c r="F82" s="6">
        <f t="shared" si="29"/>
        <v>2219686462</v>
      </c>
      <c r="G82" s="6">
        <v>0.0</v>
      </c>
      <c r="H82" s="5">
        <v>2019.0</v>
      </c>
      <c r="I82" s="6">
        <f>55.13*2673.77</f>
        <v>147404.9401</v>
      </c>
      <c r="J82" s="6">
        <f>55.13*7882285.18</f>
        <v>434550382</v>
      </c>
      <c r="K82" s="4">
        <f t="shared" si="30"/>
        <v>-434402977</v>
      </c>
      <c r="L82" s="4">
        <f>I82+June!L82</f>
        <v>268301504.7</v>
      </c>
      <c r="M82" s="4">
        <f>J82+June!M82</f>
        <v>505498428.9</v>
      </c>
      <c r="N82" s="4">
        <f t="shared" si="31"/>
        <v>-237196924.2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86</v>
      </c>
      <c r="D83" s="6">
        <v>2.361808899113E8</v>
      </c>
      <c r="E83" s="6">
        <v>602941.9249</v>
      </c>
      <c r="F83" s="6">
        <f t="shared" si="29"/>
        <v>235577948</v>
      </c>
      <c r="G83" s="6">
        <v>0.0</v>
      </c>
      <c r="H83" s="5">
        <v>125.0</v>
      </c>
      <c r="I83" s="6">
        <v>0.0</v>
      </c>
      <c r="J83" s="4">
        <v>158534.58450000003</v>
      </c>
      <c r="K83" s="4">
        <f t="shared" si="30"/>
        <v>-158534.5845</v>
      </c>
      <c r="L83" s="4">
        <f>I83+June!L83</f>
        <v>1280795</v>
      </c>
      <c r="M83" s="4">
        <f>J83+June!M83</f>
        <v>2154226.79</v>
      </c>
      <c r="N83" s="4">
        <f t="shared" si="31"/>
        <v>-873431.7904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87</v>
      </c>
      <c r="D84" s="6">
        <f>55.13*10141873.03</f>
        <v>559121460.1</v>
      </c>
      <c r="E84" s="6">
        <f>55.13*1225044.38</f>
        <v>67536696.67</v>
      </c>
      <c r="F84" s="6">
        <f t="shared" si="29"/>
        <v>491584763.5</v>
      </c>
      <c r="G84" s="6">
        <v>0.0</v>
      </c>
      <c r="H84" s="5">
        <v>2517.0</v>
      </c>
      <c r="I84" s="6">
        <f>55.13*10526.95</f>
        <v>580350.7535</v>
      </c>
      <c r="J84" s="4">
        <f>55.13*60846.48</f>
        <v>3354466.442</v>
      </c>
      <c r="K84" s="4">
        <f t="shared" si="30"/>
        <v>-2774115.689</v>
      </c>
      <c r="L84" s="4">
        <f>I84+June!L84</f>
        <v>19890792.96</v>
      </c>
      <c r="M84" s="4">
        <f>J84+June!M84</f>
        <v>44914875.12</v>
      </c>
      <c r="N84" s="4">
        <f t="shared" si="31"/>
        <v>-25024082.17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22" t="s">
        <v>88</v>
      </c>
      <c r="B85" s="23"/>
      <c r="C85" s="29"/>
      <c r="D85" s="24">
        <f t="shared" ref="D85:N85" si="32">SUM(D78:D84)</f>
        <v>18789038987</v>
      </c>
      <c r="E85" s="24">
        <f t="shared" si="32"/>
        <v>271713259.3</v>
      </c>
      <c r="F85" s="24">
        <f t="shared" si="32"/>
        <v>18517325728</v>
      </c>
      <c r="G85" s="24">
        <f t="shared" si="32"/>
        <v>0</v>
      </c>
      <c r="H85" s="24">
        <f t="shared" si="32"/>
        <v>14559</v>
      </c>
      <c r="I85" s="24">
        <f t="shared" si="32"/>
        <v>70995325.12</v>
      </c>
      <c r="J85" s="24">
        <f t="shared" si="32"/>
        <v>1051559368</v>
      </c>
      <c r="K85" s="24">
        <f t="shared" si="32"/>
        <v>-980564043.2</v>
      </c>
      <c r="L85" s="24">
        <f t="shared" si="32"/>
        <v>1030831706</v>
      </c>
      <c r="M85" s="24">
        <f t="shared" si="32"/>
        <v>5764122944</v>
      </c>
      <c r="N85" s="24">
        <f t="shared" si="32"/>
        <v>-4733291237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v>60.0</v>
      </c>
      <c r="C86" s="3" t="s">
        <v>89</v>
      </c>
      <c r="D86" s="6">
        <f>56.282217*15736196.55</f>
        <v>885668029</v>
      </c>
      <c r="E86" s="6">
        <f>56.282217*94845.22</f>
        <v>5338099.253</v>
      </c>
      <c r="F86" s="6">
        <f>D86-E86</f>
        <v>880329929.7</v>
      </c>
      <c r="G86" s="6">
        <v>0.0</v>
      </c>
      <c r="H86" s="5">
        <v>676.0</v>
      </c>
      <c r="I86" s="6">
        <f>56.282217*50127.59</f>
        <v>2821291.898</v>
      </c>
      <c r="J86" s="4">
        <f>56.282217*133420.7</f>
        <v>7509212.79</v>
      </c>
      <c r="K86" s="4">
        <f>I86-J86</f>
        <v>-4687920.892</v>
      </c>
      <c r="L86" s="4">
        <f>I86+June!L86</f>
        <v>22215028.08</v>
      </c>
      <c r="M86" s="4">
        <f>J86+June!M86</f>
        <v>71124309.25</v>
      </c>
      <c r="N86" s="4">
        <f>L86-M86</f>
        <v>-48909281.17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22" t="s">
        <v>90</v>
      </c>
      <c r="B87" s="29"/>
      <c r="C87" s="1"/>
      <c r="D87" s="24">
        <f t="shared" ref="D87:N87" si="33">SUM(D86)</f>
        <v>885668029</v>
      </c>
      <c r="E87" s="24">
        <f t="shared" si="33"/>
        <v>5338099.253</v>
      </c>
      <c r="F87" s="24">
        <f t="shared" si="33"/>
        <v>880329929.7</v>
      </c>
      <c r="G87" s="24">
        <f t="shared" si="33"/>
        <v>0</v>
      </c>
      <c r="H87" s="24">
        <f t="shared" si="33"/>
        <v>676</v>
      </c>
      <c r="I87" s="24">
        <f t="shared" si="33"/>
        <v>2821291.898</v>
      </c>
      <c r="J87" s="24">
        <f t="shared" si="33"/>
        <v>7509212.79</v>
      </c>
      <c r="K87" s="24">
        <f t="shared" si="33"/>
        <v>-4687920.892</v>
      </c>
      <c r="L87" s="24">
        <f t="shared" si="33"/>
        <v>22215028.08</v>
      </c>
      <c r="M87" s="24">
        <f t="shared" si="33"/>
        <v>71124309.25</v>
      </c>
      <c r="N87" s="24">
        <f t="shared" si="33"/>
        <v>-48909281.17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1" t="s">
        <v>91</v>
      </c>
      <c r="B88" s="23"/>
      <c r="C88" s="29"/>
      <c r="D88" s="24">
        <f t="shared" ref="D88:N88" si="34">D76+D85+D87</f>
        <v>73941338836</v>
      </c>
      <c r="E88" s="24">
        <f t="shared" si="34"/>
        <v>720021237</v>
      </c>
      <c r="F88" s="24">
        <f t="shared" si="34"/>
        <v>73221317599</v>
      </c>
      <c r="G88" s="24">
        <f t="shared" si="34"/>
        <v>944860000</v>
      </c>
      <c r="H88" s="24">
        <f t="shared" si="34"/>
        <v>76252</v>
      </c>
      <c r="I88" s="24">
        <f t="shared" si="34"/>
        <v>579519110.2</v>
      </c>
      <c r="J88" s="24">
        <f t="shared" si="34"/>
        <v>5601156314</v>
      </c>
      <c r="K88" s="24">
        <f t="shared" si="34"/>
        <v>-5021637204</v>
      </c>
      <c r="L88" s="24">
        <f t="shared" si="34"/>
        <v>3929892423</v>
      </c>
      <c r="M88" s="24">
        <f t="shared" si="34"/>
        <v>15699752658</v>
      </c>
      <c r="N88" s="24">
        <f t="shared" si="34"/>
        <v>-11769860234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92</v>
      </c>
      <c r="B89" s="2"/>
      <c r="C89" s="30"/>
      <c r="D89" s="6"/>
      <c r="E89" s="6"/>
      <c r="F89" s="6"/>
      <c r="G89" s="6"/>
      <c r="H89" s="5"/>
      <c r="I89" s="6"/>
      <c r="J89" s="4"/>
      <c r="K89" s="4"/>
      <c r="L89" s="4"/>
      <c r="M89" s="4"/>
      <c r="N89" s="4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8" t="s">
        <v>20</v>
      </c>
      <c r="B90" s="2"/>
      <c r="C90" s="30"/>
      <c r="D90" s="6"/>
      <c r="E90" s="6"/>
      <c r="F90" s="6"/>
      <c r="G90" s="6"/>
      <c r="H90" s="5"/>
      <c r="I90" s="6"/>
      <c r="J90" s="4"/>
      <c r="K90" s="4"/>
      <c r="L90" s="4"/>
      <c r="M90" s="4"/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/>
      <c r="B91" s="2">
        <v>61.0</v>
      </c>
      <c r="C91" s="3" t="s">
        <v>93</v>
      </c>
      <c r="D91" s="6">
        <v>6.130791272903E10</v>
      </c>
      <c r="E91" s="6">
        <v>3.925965969E7</v>
      </c>
      <c r="F91" s="6">
        <f t="shared" ref="F91:F93" si="35">D91-E91</f>
        <v>61268653069</v>
      </c>
      <c r="G91" s="6">
        <v>0.0</v>
      </c>
      <c r="H91" s="5">
        <v>34202.0</v>
      </c>
      <c r="I91" s="6">
        <v>2.33509004E9</v>
      </c>
      <c r="J91" s="4">
        <v>2.36556001989E9</v>
      </c>
      <c r="K91" s="4">
        <f t="shared" ref="K91:K93" si="36">I91-J91</f>
        <v>-30469979.89</v>
      </c>
      <c r="L91" s="4">
        <f>I91+June!L91</f>
        <v>21646572998</v>
      </c>
      <c r="M91" s="4">
        <f>J91+June!M91</f>
        <v>20209924758</v>
      </c>
      <c r="N91" s="4">
        <f t="shared" ref="N91:N93" si="37">L91-M91</f>
        <v>1436648240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94</v>
      </c>
      <c r="D92" s="6">
        <v>2.98769166893E9</v>
      </c>
      <c r="E92" s="6">
        <v>3.904132081E7</v>
      </c>
      <c r="F92" s="6">
        <f t="shared" si="35"/>
        <v>2948650348</v>
      </c>
      <c r="G92" s="6">
        <v>0.0</v>
      </c>
      <c r="H92" s="5">
        <v>623.0</v>
      </c>
      <c r="I92" s="6">
        <v>4.5639071092E8</v>
      </c>
      <c r="J92" s="4">
        <v>2.4930493361E8</v>
      </c>
      <c r="K92" s="4">
        <f t="shared" si="36"/>
        <v>207085777.3</v>
      </c>
      <c r="L92" s="4">
        <f>I92+June!L92</f>
        <v>1772501224</v>
      </c>
      <c r="M92" s="4">
        <f>J92+June!M92</f>
        <v>1613394311</v>
      </c>
      <c r="N92" s="4">
        <f t="shared" si="37"/>
        <v>159106912.6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/>
      <c r="B93" s="2">
        <v>63.0</v>
      </c>
      <c r="C93" s="3" t="s">
        <v>95</v>
      </c>
      <c r="D93" s="6">
        <v>1.2245556219115E11</v>
      </c>
      <c r="E93" s="6">
        <v>6.6324522382E8</v>
      </c>
      <c r="F93" s="6">
        <f t="shared" si="35"/>
        <v>121792316967</v>
      </c>
      <c r="G93" s="6">
        <v>0.0</v>
      </c>
      <c r="H93" s="5">
        <v>61170.0</v>
      </c>
      <c r="I93" s="6">
        <v>1.280529404258E10</v>
      </c>
      <c r="J93" s="4">
        <v>1.918474389325E10</v>
      </c>
      <c r="K93" s="4">
        <f t="shared" si="36"/>
        <v>-6379449851</v>
      </c>
      <c r="L93" s="4">
        <f>I93+June!L93</f>
        <v>118863553735</v>
      </c>
      <c r="M93" s="4">
        <f>J93+June!M93</f>
        <v>125320387047</v>
      </c>
      <c r="N93" s="4">
        <f t="shared" si="37"/>
        <v>-6456833312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2" t="s">
        <v>44</v>
      </c>
      <c r="B94" s="2"/>
      <c r="C94" s="3"/>
      <c r="D94" s="24">
        <f t="shared" ref="D94:N94" si="38">SUM(D91:D93)</f>
        <v>186751166589</v>
      </c>
      <c r="E94" s="24">
        <f t="shared" si="38"/>
        <v>741546204.3</v>
      </c>
      <c r="F94" s="24">
        <f t="shared" si="38"/>
        <v>186009620385</v>
      </c>
      <c r="G94" s="24">
        <f t="shared" si="38"/>
        <v>0</v>
      </c>
      <c r="H94" s="24">
        <f t="shared" si="38"/>
        <v>95995</v>
      </c>
      <c r="I94" s="24">
        <f t="shared" si="38"/>
        <v>15596774794</v>
      </c>
      <c r="J94" s="24">
        <f t="shared" si="38"/>
        <v>21799608847</v>
      </c>
      <c r="K94" s="24">
        <f t="shared" si="38"/>
        <v>-6202834053</v>
      </c>
      <c r="L94" s="24">
        <f t="shared" si="38"/>
        <v>142282627957</v>
      </c>
      <c r="M94" s="24">
        <f t="shared" si="38"/>
        <v>147143706116</v>
      </c>
      <c r="N94" s="24">
        <f t="shared" si="38"/>
        <v>-4861078159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45</v>
      </c>
      <c r="B95" s="2"/>
      <c r="C95" s="3"/>
      <c r="D95" s="6"/>
      <c r="E95" s="6"/>
      <c r="F95" s="6"/>
      <c r="G95" s="6"/>
      <c r="H95" s="5"/>
      <c r="I95" s="6"/>
      <c r="J95" s="4"/>
      <c r="K95" s="4"/>
      <c r="L95" s="4"/>
      <c r="M95" s="4"/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64.0</v>
      </c>
      <c r="C96" s="3" t="s">
        <v>96</v>
      </c>
      <c r="D96" s="6">
        <f>55.13*248893116.84</f>
        <v>13721477531</v>
      </c>
      <c r="E96" s="6">
        <f>55.13*4615454.58</f>
        <v>254450011</v>
      </c>
      <c r="F96" s="6">
        <f>D96-E96</f>
        <v>13467027520</v>
      </c>
      <c r="G96" s="6">
        <v>0.0</v>
      </c>
      <c r="H96" s="5">
        <v>3110.0</v>
      </c>
      <c r="I96" s="6">
        <f>55.13*35807191.08</f>
        <v>1974050444</v>
      </c>
      <c r="J96" s="6">
        <f>55.13*41793383.03</f>
        <v>2304069206</v>
      </c>
      <c r="K96" s="4">
        <f>I96-J96</f>
        <v>-330018762.2</v>
      </c>
      <c r="L96" s="4">
        <f>I96+June!L96</f>
        <v>19449912225</v>
      </c>
      <c r="M96" s="4">
        <f>J96+June!M96</f>
        <v>16472714271</v>
      </c>
      <c r="N96" s="4">
        <f>L96-M96</f>
        <v>2977197954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2" t="s">
        <v>88</v>
      </c>
      <c r="B97" s="2"/>
      <c r="C97" s="3"/>
      <c r="D97" s="24">
        <f t="shared" ref="D97:N97" si="39">SUM(D96)</f>
        <v>13721477531</v>
      </c>
      <c r="E97" s="24">
        <f t="shared" si="39"/>
        <v>254450011</v>
      </c>
      <c r="F97" s="24">
        <f t="shared" si="39"/>
        <v>13467027520</v>
      </c>
      <c r="G97" s="24">
        <f t="shared" si="39"/>
        <v>0</v>
      </c>
      <c r="H97" s="24">
        <f t="shared" si="39"/>
        <v>3110</v>
      </c>
      <c r="I97" s="24">
        <f t="shared" si="39"/>
        <v>1974050444</v>
      </c>
      <c r="J97" s="24">
        <f t="shared" si="39"/>
        <v>2304069206</v>
      </c>
      <c r="K97" s="24">
        <f t="shared" si="39"/>
        <v>-330018762.2</v>
      </c>
      <c r="L97" s="24">
        <f t="shared" si="39"/>
        <v>19449912225</v>
      </c>
      <c r="M97" s="24">
        <f t="shared" si="39"/>
        <v>16472714271</v>
      </c>
      <c r="N97" s="24">
        <f t="shared" si="39"/>
        <v>2977197954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 t="s">
        <v>97</v>
      </c>
      <c r="B98" s="2"/>
      <c r="C98" s="3"/>
      <c r="D98" s="24">
        <f t="shared" ref="D98:N98" si="40">D94+D97</f>
        <v>200472644120</v>
      </c>
      <c r="E98" s="24">
        <f t="shared" si="40"/>
        <v>995996215.3</v>
      </c>
      <c r="F98" s="24">
        <f t="shared" si="40"/>
        <v>199476647905</v>
      </c>
      <c r="G98" s="24">
        <f t="shared" si="40"/>
        <v>0</v>
      </c>
      <c r="H98" s="24">
        <f t="shared" si="40"/>
        <v>99105</v>
      </c>
      <c r="I98" s="24">
        <f t="shared" si="40"/>
        <v>17570825238</v>
      </c>
      <c r="J98" s="24">
        <f t="shared" si="40"/>
        <v>24103678053</v>
      </c>
      <c r="K98" s="24">
        <f t="shared" si="40"/>
        <v>-6532852815</v>
      </c>
      <c r="L98" s="24">
        <f t="shared" si="40"/>
        <v>161732540182</v>
      </c>
      <c r="M98" s="24">
        <f t="shared" si="40"/>
        <v>163616420387</v>
      </c>
      <c r="N98" s="24">
        <f t="shared" si="40"/>
        <v>-1883880205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 t="s">
        <v>98</v>
      </c>
      <c r="B99" s="2"/>
      <c r="C99" s="3"/>
      <c r="D99" s="6"/>
      <c r="E99" s="6"/>
      <c r="F99" s="6"/>
      <c r="G99" s="6"/>
      <c r="H99" s="5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8" t="s">
        <v>99</v>
      </c>
      <c r="B100" s="2"/>
      <c r="C100" s="3"/>
      <c r="D100" s="6"/>
      <c r="E100" s="6"/>
      <c r="F100" s="6"/>
      <c r="G100" s="6"/>
      <c r="H100" s="5"/>
      <c r="I100" s="6"/>
      <c r="J100" s="6"/>
      <c r="K100" s="4"/>
      <c r="L100" s="4"/>
      <c r="M100" s="4"/>
      <c r="N100" s="4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8"/>
      <c r="B101" s="2">
        <v>65.0</v>
      </c>
      <c r="C101" s="3" t="s">
        <v>100</v>
      </c>
      <c r="D101" s="6">
        <v>9.29141371736E9</v>
      </c>
      <c r="E101" s="6">
        <v>1.4610413114E8</v>
      </c>
      <c r="F101" s="6">
        <f t="shared" ref="F101:F102" si="41">D101-E101</f>
        <v>9145309586</v>
      </c>
      <c r="G101" s="6">
        <v>0.0</v>
      </c>
      <c r="H101" s="5">
        <v>33492.0</v>
      </c>
      <c r="I101" s="6">
        <v>1.3506664818E8</v>
      </c>
      <c r="J101" s="6">
        <v>2.126157712E8</v>
      </c>
      <c r="K101" s="4">
        <f t="shared" ref="K101:K102" si="42">I101-J101</f>
        <v>-77549123.02</v>
      </c>
      <c r="L101" s="4">
        <f>I101+June!L101</f>
        <v>2728466962</v>
      </c>
      <c r="M101" s="4">
        <f>J101+June!M101</f>
        <v>607487714.1</v>
      </c>
      <c r="N101" s="4">
        <f t="shared" ref="N101:N102" si="43">L101-M101</f>
        <v>2120979248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/>
      <c r="B102" s="2">
        <v>66.0</v>
      </c>
      <c r="C102" s="3" t="s">
        <v>101</v>
      </c>
      <c r="D102" s="6">
        <v>3.3997831253E9</v>
      </c>
      <c r="E102" s="6">
        <v>1.827942778E7</v>
      </c>
      <c r="F102" s="6">
        <f t="shared" si="41"/>
        <v>3381503698</v>
      </c>
      <c r="G102" s="6">
        <v>0.0</v>
      </c>
      <c r="H102" s="5">
        <v>5593.0</v>
      </c>
      <c r="I102" s="6">
        <v>2.179054739E7</v>
      </c>
      <c r="J102" s="6">
        <v>8.742423053E7</v>
      </c>
      <c r="K102" s="4">
        <f t="shared" si="42"/>
        <v>-65633683.14</v>
      </c>
      <c r="L102" s="4">
        <f>I102+June!L102</f>
        <v>935526039.2</v>
      </c>
      <c r="M102" s="4">
        <f>J102+June!M102</f>
        <v>991931633.7</v>
      </c>
      <c r="N102" s="4">
        <f t="shared" si="43"/>
        <v>-56405594.47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22" t="s">
        <v>44</v>
      </c>
      <c r="B103" s="2"/>
      <c r="C103" s="3"/>
      <c r="D103" s="24">
        <f t="shared" ref="D103:N103" si="44">D101+D102</f>
        <v>12691196843</v>
      </c>
      <c r="E103" s="24">
        <f t="shared" si="44"/>
        <v>164383558.9</v>
      </c>
      <c r="F103" s="24">
        <f t="shared" si="44"/>
        <v>12526813284</v>
      </c>
      <c r="G103" s="24">
        <f t="shared" si="44"/>
        <v>0</v>
      </c>
      <c r="H103" s="24">
        <f t="shared" si="44"/>
        <v>39085</v>
      </c>
      <c r="I103" s="24">
        <f t="shared" si="44"/>
        <v>156857195.6</v>
      </c>
      <c r="J103" s="24">
        <f t="shared" si="44"/>
        <v>300040001.7</v>
      </c>
      <c r="K103" s="24">
        <f t="shared" si="44"/>
        <v>-143182806.2</v>
      </c>
      <c r="L103" s="24">
        <f t="shared" si="44"/>
        <v>3663993001</v>
      </c>
      <c r="M103" s="24">
        <f t="shared" si="44"/>
        <v>1599419348</v>
      </c>
      <c r="N103" s="24">
        <f t="shared" si="44"/>
        <v>2064573653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 t="s">
        <v>102</v>
      </c>
      <c r="B104" s="2"/>
      <c r="C104" s="3"/>
      <c r="D104" s="6"/>
      <c r="E104" s="6"/>
      <c r="F104" s="6"/>
      <c r="G104" s="6"/>
      <c r="H104" s="5"/>
      <c r="I104" s="6"/>
      <c r="J104" s="6"/>
      <c r="K104" s="4"/>
      <c r="L104" s="4"/>
      <c r="M104" s="4"/>
      <c r="N104" s="4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67.0</v>
      </c>
      <c r="C105" s="3" t="s">
        <v>103</v>
      </c>
      <c r="D105" s="6">
        <f>55.13*188950648.27</f>
        <v>10416849239</v>
      </c>
      <c r="E105" s="6">
        <f>55.13*709316.7</f>
        <v>39104629.67</v>
      </c>
      <c r="F105" s="6">
        <f>D105-E105</f>
        <v>10377744609</v>
      </c>
      <c r="G105" s="6">
        <v>0.0</v>
      </c>
      <c r="H105" s="5">
        <v>8509.0</v>
      </c>
      <c r="I105" s="6">
        <f>55.13*1106023.84</f>
        <v>60975094.3</v>
      </c>
      <c r="J105" s="6">
        <f>55.13*2192706.88</f>
        <v>120883930.3</v>
      </c>
      <c r="K105" s="4">
        <f>I105-J105</f>
        <v>-59908836</v>
      </c>
      <c r="L105" s="4">
        <f>I105+June!L105</f>
        <v>1356847750</v>
      </c>
      <c r="M105" s="4">
        <f>J105+June!M105</f>
        <v>778834197.4</v>
      </c>
      <c r="N105" s="4">
        <f>L105-M105</f>
        <v>578013552.1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2" t="s">
        <v>88</v>
      </c>
      <c r="B106" s="23"/>
      <c r="C106" s="1"/>
      <c r="D106" s="24">
        <f t="shared" ref="D106:N106" si="45">SUM(D105)</f>
        <v>10416849239</v>
      </c>
      <c r="E106" s="24">
        <f t="shared" si="45"/>
        <v>39104629.67</v>
      </c>
      <c r="F106" s="24">
        <f t="shared" si="45"/>
        <v>10377744609</v>
      </c>
      <c r="G106" s="24">
        <f t="shared" si="45"/>
        <v>0</v>
      </c>
      <c r="H106" s="24">
        <f t="shared" si="45"/>
        <v>8509</v>
      </c>
      <c r="I106" s="24">
        <f t="shared" si="45"/>
        <v>60975094.3</v>
      </c>
      <c r="J106" s="24">
        <f t="shared" si="45"/>
        <v>120883930.3</v>
      </c>
      <c r="K106" s="24">
        <f t="shared" si="45"/>
        <v>-59908836</v>
      </c>
      <c r="L106" s="24">
        <f t="shared" si="45"/>
        <v>1356847750</v>
      </c>
      <c r="M106" s="24">
        <f t="shared" si="45"/>
        <v>778834197.4</v>
      </c>
      <c r="N106" s="24">
        <f t="shared" si="45"/>
        <v>578013552.1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" t="s">
        <v>104</v>
      </c>
      <c r="B107" s="31"/>
      <c r="C107" s="29"/>
      <c r="D107" s="24">
        <f t="shared" ref="D107:N107" si="46">SUM(D103+D106)</f>
        <v>23108046082</v>
      </c>
      <c r="E107" s="24">
        <f t="shared" si="46"/>
        <v>203488188.6</v>
      </c>
      <c r="F107" s="24">
        <f t="shared" si="46"/>
        <v>22904557893</v>
      </c>
      <c r="G107" s="24">
        <f t="shared" si="46"/>
        <v>0</v>
      </c>
      <c r="H107" s="24">
        <f t="shared" si="46"/>
        <v>47594</v>
      </c>
      <c r="I107" s="24">
        <f t="shared" si="46"/>
        <v>217832289.9</v>
      </c>
      <c r="J107" s="24">
        <f t="shared" si="46"/>
        <v>420923932</v>
      </c>
      <c r="K107" s="24">
        <f t="shared" si="46"/>
        <v>-203091642.2</v>
      </c>
      <c r="L107" s="24">
        <f t="shared" si="46"/>
        <v>5020840751</v>
      </c>
      <c r="M107" s="24">
        <f t="shared" si="46"/>
        <v>2378253545</v>
      </c>
      <c r="N107" s="24">
        <f t="shared" si="46"/>
        <v>2642587206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32" t="s">
        <v>105</v>
      </c>
      <c r="B108" s="33"/>
      <c r="C108" s="34"/>
      <c r="D108" s="35">
        <f t="shared" ref="D108:N108" si="47">D38+D62+D88+D98+D107</f>
        <v>402055584895</v>
      </c>
      <c r="E108" s="35">
        <f t="shared" si="47"/>
        <v>18097150260</v>
      </c>
      <c r="F108" s="35">
        <f t="shared" si="47"/>
        <v>383958434635</v>
      </c>
      <c r="G108" s="35">
        <f t="shared" si="47"/>
        <v>73326795640</v>
      </c>
      <c r="H108" s="35">
        <f t="shared" si="47"/>
        <v>784170</v>
      </c>
      <c r="I108" s="35">
        <f t="shared" si="47"/>
        <v>19222217146</v>
      </c>
      <c r="J108" s="35">
        <f t="shared" si="47"/>
        <v>75409190894</v>
      </c>
      <c r="K108" s="35">
        <f t="shared" si="47"/>
        <v>-56186973748</v>
      </c>
      <c r="L108" s="35">
        <f t="shared" si="47"/>
        <v>179307928417</v>
      </c>
      <c r="M108" s="35">
        <f t="shared" si="47"/>
        <v>232974695570</v>
      </c>
      <c r="N108" s="35">
        <f t="shared" si="47"/>
        <v>-53666767153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2.0" customHeight="1">
      <c r="A109" s="3"/>
      <c r="B109" s="2"/>
      <c r="C109" s="36"/>
      <c r="D109" s="4"/>
      <c r="E109" s="4"/>
      <c r="F109" s="4"/>
      <c r="G109" s="4"/>
      <c r="H109" s="5"/>
      <c r="I109" s="6"/>
      <c r="J109" s="4"/>
      <c r="K109" s="4"/>
      <c r="L109" s="4"/>
      <c r="M109" s="4"/>
      <c r="N109" s="4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30"/>
      <c r="B110" s="36"/>
      <c r="C110" s="36"/>
      <c r="D110" s="4"/>
      <c r="E110" s="4"/>
      <c r="F110" s="4"/>
      <c r="G110" s="4"/>
      <c r="H110" s="5"/>
      <c r="I110" s="4"/>
      <c r="J110" s="4"/>
      <c r="K110" s="4"/>
      <c r="L110" s="4"/>
      <c r="M110" s="4"/>
      <c r="N110" s="4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6"/>
      <c r="B111" s="36"/>
      <c r="C111" s="36"/>
      <c r="D111" s="4"/>
      <c r="E111" s="4"/>
      <c r="F111" s="4"/>
      <c r="G111" s="4"/>
      <c r="H111" s="5"/>
      <c r="I111" s="6"/>
      <c r="J111" s="4"/>
      <c r="K111" s="4"/>
      <c r="L111" s="4"/>
      <c r="M111" s="4"/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36"/>
      <c r="B112" s="36"/>
      <c r="C112" s="36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6"/>
      <c r="B113" s="36"/>
      <c r="C113" s="36"/>
      <c r="D113" s="4"/>
      <c r="E113" s="4"/>
      <c r="F113" s="4"/>
      <c r="G113" s="4"/>
      <c r="H113" s="5"/>
      <c r="I113" s="6"/>
      <c r="J113" s="4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6"/>
      <c r="B114" s="36"/>
      <c r="C114" s="36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6"/>
      <c r="B115" s="36"/>
      <c r="C115" s="36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6"/>
      <c r="B116" s="36"/>
      <c r="C116" s="36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6"/>
      <c r="B117" s="36"/>
      <c r="C117" s="36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6"/>
      <c r="B118" s="36"/>
      <c r="C118" s="36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6"/>
      <c r="B119" s="36"/>
      <c r="C119" s="36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0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195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4.80403694781E9</v>
      </c>
      <c r="E9" s="6">
        <v>3.702248222E7</v>
      </c>
      <c r="F9" s="6">
        <f t="shared" ref="F9:F27" si="1">D9-E9</f>
        <v>4767014466</v>
      </c>
      <c r="G9" s="6">
        <v>4.27552654585E9</v>
      </c>
      <c r="H9" s="5">
        <v>7456.0</v>
      </c>
      <c r="I9" s="6">
        <v>1.352924771E7</v>
      </c>
      <c r="J9" s="4">
        <v>2.699753671E7</v>
      </c>
      <c r="K9" s="4">
        <f t="shared" ref="K9:K27" si="2">I9-J9</f>
        <v>-13468289</v>
      </c>
      <c r="L9" s="4">
        <f>I9+July!L9</f>
        <v>130841124.2</v>
      </c>
      <c r="M9" s="4">
        <f>J9+July!M9</f>
        <v>313613108.1</v>
      </c>
      <c r="N9" s="4">
        <f t="shared" ref="N9:N27" si="3">L9-M9</f>
        <v>-182771984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196</v>
      </c>
      <c r="D10" s="6">
        <v>7.6585583138E8</v>
      </c>
      <c r="E10" s="6">
        <v>1.948420652E7</v>
      </c>
      <c r="F10" s="6">
        <f t="shared" si="1"/>
        <v>746371624.9</v>
      </c>
      <c r="G10" s="6">
        <v>6.7935851162E8</v>
      </c>
      <c r="H10" s="5">
        <v>4260.0</v>
      </c>
      <c r="I10" s="6">
        <v>7618551.480000001</v>
      </c>
      <c r="J10" s="4">
        <v>8386965.390000006</v>
      </c>
      <c r="K10" s="4">
        <f t="shared" si="2"/>
        <v>-768413.91</v>
      </c>
      <c r="L10" s="4">
        <f>I10+July!L10</f>
        <v>193361576</v>
      </c>
      <c r="M10" s="4">
        <f>J10+July!M10</f>
        <v>135996134.8</v>
      </c>
      <c r="N10" s="4">
        <f t="shared" si="3"/>
        <v>57365441.14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197</v>
      </c>
      <c r="D11" s="6">
        <v>1.03829537079E9</v>
      </c>
      <c r="E11" s="6">
        <v>1.039412364E7</v>
      </c>
      <c r="F11" s="6">
        <f t="shared" si="1"/>
        <v>1027901247</v>
      </c>
      <c r="G11" s="6">
        <v>9.7554376864E8</v>
      </c>
      <c r="H11" s="5">
        <v>2771.0</v>
      </c>
      <c r="I11" s="6">
        <v>1.096542028E7</v>
      </c>
      <c r="J11" s="4">
        <v>3706547.9500000007</v>
      </c>
      <c r="K11" s="4">
        <f t="shared" si="2"/>
        <v>7258872.33</v>
      </c>
      <c r="L11" s="4">
        <f>I11+July!L11</f>
        <v>93761671.27</v>
      </c>
      <c r="M11" s="4">
        <f>J11+July!M11</f>
        <v>126746629.9</v>
      </c>
      <c r="N11" s="4">
        <f t="shared" si="3"/>
        <v>-32984958.61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6">
        <v>3.5250162415E8</v>
      </c>
      <c r="E12" s="6">
        <v>5181788.29</v>
      </c>
      <c r="F12" s="6">
        <f t="shared" si="1"/>
        <v>347319835.9</v>
      </c>
      <c r="G12" s="6">
        <v>2.0479970794E8</v>
      </c>
      <c r="H12" s="5">
        <v>1684.0</v>
      </c>
      <c r="I12" s="6">
        <v>1805247.5</v>
      </c>
      <c r="J12" s="4">
        <v>465298.87</v>
      </c>
      <c r="K12" s="4">
        <f t="shared" si="2"/>
        <v>1339948.63</v>
      </c>
      <c r="L12" s="4">
        <f>I12+July!L12</f>
        <v>23342626.7</v>
      </c>
      <c r="M12" s="4">
        <f>J12+July!M12</f>
        <v>10812017.45</v>
      </c>
      <c r="N12" s="4">
        <f t="shared" si="3"/>
        <v>12530609.25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25</v>
      </c>
      <c r="D13" s="6">
        <v>5.4321912774E8</v>
      </c>
      <c r="E13" s="6">
        <v>6733110.22</v>
      </c>
      <c r="F13" s="6">
        <f t="shared" si="1"/>
        <v>536486017.5</v>
      </c>
      <c r="G13" s="6">
        <v>4.87578681E8</v>
      </c>
      <c r="H13" s="5">
        <v>1475.0</v>
      </c>
      <c r="I13" s="6">
        <v>5437225.97</v>
      </c>
      <c r="J13" s="4">
        <v>530740.54</v>
      </c>
      <c r="K13" s="4">
        <f t="shared" si="2"/>
        <v>4906485.43</v>
      </c>
      <c r="L13" s="4">
        <f>I13+July!L13</f>
        <v>28328101.93</v>
      </c>
      <c r="M13" s="4">
        <f>J13+July!M13</f>
        <v>14810140.13</v>
      </c>
      <c r="N13" s="4">
        <f t="shared" si="3"/>
        <v>13517961.8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6">
        <v>4.25436762841E9</v>
      </c>
      <c r="E14" s="6">
        <v>5.15523753E7</v>
      </c>
      <c r="F14" s="6">
        <f t="shared" si="1"/>
        <v>4202815253</v>
      </c>
      <c r="G14" s="6">
        <v>3.81605420961E9</v>
      </c>
      <c r="H14" s="5">
        <v>16439.0</v>
      </c>
      <c r="I14" s="6">
        <v>2.4642458865E7</v>
      </c>
      <c r="J14" s="4">
        <v>1.311038651E7</v>
      </c>
      <c r="K14" s="4">
        <f t="shared" si="2"/>
        <v>11532072.36</v>
      </c>
      <c r="L14" s="4">
        <f>I14+July!L14</f>
        <v>532555029.3</v>
      </c>
      <c r="M14" s="4">
        <f>J14+July!M14</f>
        <v>337405311.1</v>
      </c>
      <c r="N14" s="4">
        <f t="shared" si="3"/>
        <v>195149718.2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198</v>
      </c>
      <c r="D15" s="6">
        <v>9.625326041E7</v>
      </c>
      <c r="E15" s="6">
        <v>579767.33</v>
      </c>
      <c r="F15" s="6">
        <f t="shared" si="1"/>
        <v>95673493.08</v>
      </c>
      <c r="G15" s="6">
        <v>9.300378965E7</v>
      </c>
      <c r="H15" s="5">
        <v>559.0</v>
      </c>
      <c r="I15" s="6">
        <v>1079975.98</v>
      </c>
      <c r="J15" s="4">
        <v>125728.36</v>
      </c>
      <c r="K15" s="4">
        <f t="shared" si="2"/>
        <v>954247.62</v>
      </c>
      <c r="L15" s="4">
        <f>I15+July!L15</f>
        <v>17737888.46</v>
      </c>
      <c r="M15" s="4">
        <f>J15+July!M15</f>
        <v>6779851.401</v>
      </c>
      <c r="N15" s="4">
        <f t="shared" si="3"/>
        <v>10958037.06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6">
        <v>1.2176418578E8</v>
      </c>
      <c r="E16" s="6">
        <v>1877386.18</v>
      </c>
      <c r="F16" s="6">
        <f t="shared" si="1"/>
        <v>119886799.6</v>
      </c>
      <c r="G16" s="6">
        <v>1.1310403861E8</v>
      </c>
      <c r="H16" s="5">
        <v>51.0</v>
      </c>
      <c r="I16" s="50">
        <v>0.0</v>
      </c>
      <c r="J16" s="51">
        <v>1624086.71</v>
      </c>
      <c r="K16" s="4">
        <f t="shared" si="2"/>
        <v>-1624086.71</v>
      </c>
      <c r="L16" s="4">
        <f>I16+July!L16</f>
        <v>1800100</v>
      </c>
      <c r="M16" s="4">
        <f>J16+July!M16</f>
        <v>9705511.39</v>
      </c>
      <c r="N16" s="4">
        <f t="shared" si="3"/>
        <v>-7905411.39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6">
        <v>1.43823412192E9</v>
      </c>
      <c r="E17" s="6">
        <v>8.624258949E7</v>
      </c>
      <c r="F17" s="6">
        <f t="shared" si="1"/>
        <v>1351991532</v>
      </c>
      <c r="G17" s="6">
        <v>1.3581733318E9</v>
      </c>
      <c r="H17" s="5">
        <v>12499.0</v>
      </c>
      <c r="I17" s="6">
        <v>2334326.05</v>
      </c>
      <c r="J17" s="4">
        <v>3.31207741E8</v>
      </c>
      <c r="K17" s="4">
        <f t="shared" si="2"/>
        <v>-328873415</v>
      </c>
      <c r="L17" s="4">
        <f>I17+July!L17</f>
        <v>1345993612</v>
      </c>
      <c r="M17" s="4">
        <f>J17+July!M17</f>
        <v>14708310209</v>
      </c>
      <c r="N17" s="4">
        <f t="shared" si="3"/>
        <v>-13362316597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6">
        <v>4.02610899161E9</v>
      </c>
      <c r="E18" s="6">
        <v>1.7027767681E8</v>
      </c>
      <c r="F18" s="6">
        <f t="shared" si="1"/>
        <v>3855831315</v>
      </c>
      <c r="G18" s="6">
        <v>3.45879724315E9</v>
      </c>
      <c r="H18" s="5">
        <v>12440.0</v>
      </c>
      <c r="I18" s="6">
        <v>3317288.02</v>
      </c>
      <c r="J18" s="4">
        <v>4.84382842173E9</v>
      </c>
      <c r="K18" s="4">
        <f t="shared" si="2"/>
        <v>-4840511134</v>
      </c>
      <c r="L18" s="4">
        <f>I18+July!L18</f>
        <v>687481674.1</v>
      </c>
      <c r="M18" s="4">
        <f>J18+July!M18</f>
        <v>27815019506</v>
      </c>
      <c r="N18" s="4">
        <f t="shared" si="3"/>
        <v>-27127537832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6">
        <v>2.10699491738055E9</v>
      </c>
      <c r="E19" s="6">
        <v>3558395.81399998</v>
      </c>
      <c r="F19" s="6">
        <f t="shared" si="1"/>
        <v>2103436522</v>
      </c>
      <c r="G19" s="6">
        <v>1.82101849558196E9</v>
      </c>
      <c r="H19" s="5">
        <v>5715.0</v>
      </c>
      <c r="I19" s="6">
        <v>4124788.42</v>
      </c>
      <c r="J19" s="4">
        <v>7651666.59</v>
      </c>
      <c r="K19" s="4">
        <f t="shared" si="2"/>
        <v>-3526878.17</v>
      </c>
      <c r="L19" s="4">
        <f>I19+July!L19</f>
        <v>105396863.9</v>
      </c>
      <c r="M19" s="4">
        <f>J19+July!M19</f>
        <v>274473905.3</v>
      </c>
      <c r="N19" s="4">
        <f t="shared" si="3"/>
        <v>-169077041.4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6">
        <v>9.85578049163171E9</v>
      </c>
      <c r="E20" s="6">
        <v>1.145946872195E8</v>
      </c>
      <c r="F20" s="6">
        <f t="shared" si="1"/>
        <v>9741185804</v>
      </c>
      <c r="G20" s="6">
        <v>8.73748330497E9</v>
      </c>
      <c r="H20" s="5">
        <v>36797.0</v>
      </c>
      <c r="I20" s="6">
        <v>1.228241995E7</v>
      </c>
      <c r="J20" s="4">
        <v>9.139908071E7</v>
      </c>
      <c r="K20" s="4">
        <f t="shared" si="2"/>
        <v>-79116660.76</v>
      </c>
      <c r="L20" s="4">
        <f>I20+July!L20</f>
        <v>213012097.1</v>
      </c>
      <c r="M20" s="4">
        <f>J20+July!M20</f>
        <v>439793215.2</v>
      </c>
      <c r="N20" s="4">
        <f t="shared" si="3"/>
        <v>-226781118.2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6">
        <v>3.21327401957189E8</v>
      </c>
      <c r="E21" s="6">
        <v>652810.850000098</v>
      </c>
      <c r="F21" s="6">
        <f t="shared" si="1"/>
        <v>320674591.1</v>
      </c>
      <c r="G21" s="6">
        <v>3.1762431367E8</v>
      </c>
      <c r="H21" s="5">
        <v>1032.0</v>
      </c>
      <c r="I21" s="6">
        <v>495780.1</v>
      </c>
      <c r="J21" s="4">
        <v>544003.67</v>
      </c>
      <c r="K21" s="4">
        <f t="shared" si="2"/>
        <v>-48223.57</v>
      </c>
      <c r="L21" s="4">
        <f>I21+July!L21</f>
        <v>5863403.65</v>
      </c>
      <c r="M21" s="4">
        <f>J21+July!M21</f>
        <v>4128091.63</v>
      </c>
      <c r="N21" s="4">
        <f t="shared" si="3"/>
        <v>1735312.02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6">
        <v>3.7391175978596E9</v>
      </c>
      <c r="E22" s="6">
        <v>7073273.29679989</v>
      </c>
      <c r="F22" s="6">
        <f t="shared" si="1"/>
        <v>3732044325</v>
      </c>
      <c r="G22" s="6">
        <v>3.71509786759869E9</v>
      </c>
      <c r="H22" s="5">
        <v>27640.0</v>
      </c>
      <c r="I22" s="6">
        <v>1.735813709E7</v>
      </c>
      <c r="J22" s="4">
        <v>6.939657426E7</v>
      </c>
      <c r="K22" s="4">
        <f t="shared" si="2"/>
        <v>-52038437.17</v>
      </c>
      <c r="L22" s="4">
        <f>I22+July!L22</f>
        <v>342818519.7</v>
      </c>
      <c r="M22" s="4">
        <f>J22+July!M22</f>
        <v>276620170.7</v>
      </c>
      <c r="N22" s="4">
        <f t="shared" si="3"/>
        <v>66198349.06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6">
        <v>9.36173528633E9</v>
      </c>
      <c r="E23" s="6">
        <v>2.159253085E7</v>
      </c>
      <c r="F23" s="6">
        <f t="shared" si="1"/>
        <v>9340142755</v>
      </c>
      <c r="G23" s="6">
        <v>9.28253753853E9</v>
      </c>
      <c r="H23" s="5">
        <v>14801.0</v>
      </c>
      <c r="I23" s="6">
        <v>1896330.98</v>
      </c>
      <c r="J23" s="4">
        <v>6.417712186E7</v>
      </c>
      <c r="K23" s="4">
        <f t="shared" si="2"/>
        <v>-62280790.88</v>
      </c>
      <c r="L23" s="4">
        <f>I23+July!L23</f>
        <v>41384180.52</v>
      </c>
      <c r="M23" s="4">
        <f>J23+July!M23</f>
        <v>955735325.1</v>
      </c>
      <c r="N23" s="4">
        <f t="shared" si="3"/>
        <v>-914351144.6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19" t="s">
        <v>36</v>
      </c>
      <c r="D24" s="6">
        <v>2.87436207455E9</v>
      </c>
      <c r="E24" s="6">
        <v>3.529833572E7</v>
      </c>
      <c r="F24" s="6">
        <f t="shared" si="1"/>
        <v>2839063739</v>
      </c>
      <c r="G24" s="6">
        <v>2.69918929989E9</v>
      </c>
      <c r="H24" s="5">
        <v>12911.0</v>
      </c>
      <c r="I24" s="6">
        <v>1.0358857582999997E8</v>
      </c>
      <c r="J24" s="4">
        <v>1902385.2600000002</v>
      </c>
      <c r="K24" s="4">
        <f t="shared" si="2"/>
        <v>101686190.6</v>
      </c>
      <c r="L24" s="4">
        <f>I24+July!L24</f>
        <v>602429393.5</v>
      </c>
      <c r="M24" s="4">
        <f>J24+July!M24</f>
        <v>16422759.16</v>
      </c>
      <c r="N24" s="4">
        <f t="shared" si="3"/>
        <v>586006634.4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v>17.0</v>
      </c>
      <c r="C25" s="21" t="s">
        <v>37</v>
      </c>
      <c r="D25" s="6">
        <v>7.41315491238E9</v>
      </c>
      <c r="E25" s="6">
        <v>5.983753692E7</v>
      </c>
      <c r="F25" s="6">
        <f t="shared" si="1"/>
        <v>7353317375</v>
      </c>
      <c r="G25" s="6">
        <v>7.1838945859E9</v>
      </c>
      <c r="H25" s="5">
        <v>66055.0</v>
      </c>
      <c r="I25" s="6">
        <v>5.20632907E7</v>
      </c>
      <c r="J25" s="4">
        <v>8.141585687E7</v>
      </c>
      <c r="K25" s="4">
        <f t="shared" si="2"/>
        <v>-29352566.17</v>
      </c>
      <c r="L25" s="4">
        <f>I25+July!L25</f>
        <v>772746913.4</v>
      </c>
      <c r="M25" s="4">
        <f>J25+July!M25</f>
        <v>570065712.7</v>
      </c>
      <c r="N25" s="4">
        <f t="shared" si="3"/>
        <v>202681200.7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v>18.0</v>
      </c>
      <c r="C26" s="21" t="s">
        <v>38</v>
      </c>
      <c r="D26" s="6">
        <v>1.159614918706E10</v>
      </c>
      <c r="E26" s="6">
        <v>6.753181537E7</v>
      </c>
      <c r="F26" s="6">
        <f t="shared" si="1"/>
        <v>11528617372</v>
      </c>
      <c r="G26" s="6">
        <v>1.147309397355E10</v>
      </c>
      <c r="H26" s="5">
        <v>56441.0</v>
      </c>
      <c r="I26" s="6">
        <v>2.0216809448E8</v>
      </c>
      <c r="J26" s="4">
        <v>1.3104692677E8</v>
      </c>
      <c r="K26" s="4">
        <f t="shared" si="2"/>
        <v>71121167.71</v>
      </c>
      <c r="L26" s="4">
        <f>I26+July!L26</f>
        <v>2050427127</v>
      </c>
      <c r="M26" s="4">
        <f>J26+July!M26</f>
        <v>1469515017</v>
      </c>
      <c r="N26" s="4">
        <f t="shared" si="3"/>
        <v>580912110.4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6">
        <v>6.010886214180005E8</v>
      </c>
      <c r="E27" s="6">
        <v>2647822.369999997</v>
      </c>
      <c r="F27" s="6">
        <f t="shared" si="1"/>
        <v>598440799</v>
      </c>
      <c r="G27" s="6">
        <v>5.484949967500004E8</v>
      </c>
      <c r="H27" s="5">
        <v>1307.0</v>
      </c>
      <c r="I27" s="6">
        <v>271567.42</v>
      </c>
      <c r="J27" s="4">
        <v>84031.03</v>
      </c>
      <c r="K27" s="4">
        <f t="shared" si="2"/>
        <v>187536.39</v>
      </c>
      <c r="L27" s="4">
        <f>I27+July!L27</f>
        <v>13490142.02</v>
      </c>
      <c r="M27" s="4">
        <f>J27+July!M27</f>
        <v>8135617.66</v>
      </c>
      <c r="N27" s="4">
        <f t="shared" si="3"/>
        <v>5354524.36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5"/>
      <c r="I28" s="6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3"/>
      <c r="B29" s="2">
        <v>20.0</v>
      </c>
      <c r="C29" s="3" t="s">
        <v>41</v>
      </c>
      <c r="D29" s="6">
        <v>3.5124667025800097E8</v>
      </c>
      <c r="E29" s="6">
        <v>1.0947228489E7</v>
      </c>
      <c r="F29" s="6">
        <f t="shared" ref="F29:F30" si="4">D29-E29</f>
        <v>340299441.8</v>
      </c>
      <c r="G29" s="6">
        <v>3.0726304094E8</v>
      </c>
      <c r="H29" s="5">
        <v>1448.0</v>
      </c>
      <c r="I29" s="6">
        <v>1680725.14</v>
      </c>
      <c r="J29" s="4">
        <v>1255968.17</v>
      </c>
      <c r="K29" s="4">
        <f t="shared" ref="K29:K30" si="5">I29-J29</f>
        <v>424756.97</v>
      </c>
      <c r="L29" s="4">
        <f>I29+July!L29</f>
        <v>76670966.27</v>
      </c>
      <c r="M29" s="4">
        <f>J29+July!M29</f>
        <v>27390832.55</v>
      </c>
      <c r="N29" s="4">
        <f t="shared" ref="N29:N30" si="6">L29-M29</f>
        <v>49280133.72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35</v>
      </c>
      <c r="D30" s="6">
        <v>4.1802326574E8</v>
      </c>
      <c r="E30" s="6">
        <v>1.046111077E7</v>
      </c>
      <c r="F30" s="6">
        <f t="shared" si="4"/>
        <v>407562155</v>
      </c>
      <c r="G30" s="6">
        <v>4.05397018E8</v>
      </c>
      <c r="H30" s="5">
        <v>213244.0</v>
      </c>
      <c r="I30" s="6">
        <v>3.547372474E7</v>
      </c>
      <c r="J30" s="4">
        <v>3.490677251E7</v>
      </c>
      <c r="K30" s="4">
        <f t="shared" si="5"/>
        <v>566952.23</v>
      </c>
      <c r="L30" s="4">
        <f>I30+July!L30</f>
        <v>551497819.6</v>
      </c>
      <c r="M30" s="4">
        <f>J30+July!M30</f>
        <v>117740590.5</v>
      </c>
      <c r="N30" s="4">
        <f t="shared" si="6"/>
        <v>433757229.1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18" t="s">
        <v>42</v>
      </c>
      <c r="B31" s="2"/>
      <c r="C31" s="3"/>
      <c r="D31" s="6"/>
      <c r="E31" s="6"/>
      <c r="F31" s="6"/>
      <c r="G31" s="6"/>
      <c r="H31" s="5"/>
      <c r="I31" s="6"/>
      <c r="J31" s="4"/>
      <c r="K31" s="4"/>
      <c r="L31" s="4"/>
      <c r="M31" s="4"/>
      <c r="N31" s="4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1.25" customHeight="1">
      <c r="A32" s="3"/>
      <c r="B32" s="2">
        <v>22.0</v>
      </c>
      <c r="C32" s="3" t="s">
        <v>43</v>
      </c>
      <c r="D32" s="6">
        <v>2.16547410396E9</v>
      </c>
      <c r="E32" s="6">
        <v>7452845.72</v>
      </c>
      <c r="F32" s="6">
        <f>D32-E32</f>
        <v>2158021258</v>
      </c>
      <c r="G32" s="6">
        <v>2.1482744462E9</v>
      </c>
      <c r="H32" s="5">
        <v>3247.0</v>
      </c>
      <c r="I32" s="6">
        <v>1.4743662E7</v>
      </c>
      <c r="J32" s="4">
        <v>1.88388101E8</v>
      </c>
      <c r="K32" s="4">
        <f>I32-J32</f>
        <v>-173644439</v>
      </c>
      <c r="L32" s="4">
        <f>I32+July!L32</f>
        <v>306255167</v>
      </c>
      <c r="M32" s="4">
        <f>J32+July!M32</f>
        <v>203031950</v>
      </c>
      <c r="N32" s="4">
        <f>L32-M32</f>
        <v>103223217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22" t="s">
        <v>44</v>
      </c>
      <c r="B33" s="23"/>
      <c r="C33" s="1"/>
      <c r="D33" s="24">
        <f t="shared" ref="D33:N33" si="7">SUM(D9:D32)</f>
        <v>68245091621</v>
      </c>
      <c r="E33" s="24">
        <f t="shared" si="7"/>
        <v>730993899.4</v>
      </c>
      <c r="F33" s="24">
        <f t="shared" si="7"/>
        <v>67514097721</v>
      </c>
      <c r="G33" s="24">
        <f t="shared" si="7"/>
        <v>64101308709</v>
      </c>
      <c r="H33" s="24">
        <f t="shared" si="7"/>
        <v>500272</v>
      </c>
      <c r="I33" s="24">
        <f t="shared" si="7"/>
        <v>516876838.7</v>
      </c>
      <c r="J33" s="24">
        <f t="shared" si="7"/>
        <v>5902151942</v>
      </c>
      <c r="K33" s="24">
        <f t="shared" si="7"/>
        <v>-5385275104</v>
      </c>
      <c r="L33" s="24">
        <f t="shared" si="7"/>
        <v>8137195998</v>
      </c>
      <c r="M33" s="24">
        <f t="shared" si="7"/>
        <v>47842251606</v>
      </c>
      <c r="N33" s="24">
        <f t="shared" si="7"/>
        <v>-39705055608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2.0" customHeight="1">
      <c r="A34" s="18" t="s">
        <v>45</v>
      </c>
      <c r="B34" s="2"/>
      <c r="C34" s="3"/>
      <c r="D34" s="6"/>
      <c r="E34" s="6"/>
      <c r="F34" s="6"/>
      <c r="G34" s="6"/>
      <c r="H34" s="5"/>
      <c r="I34" s="6"/>
      <c r="J34" s="4"/>
      <c r="K34" s="4"/>
      <c r="L34" s="4"/>
      <c r="M34" s="4"/>
      <c r="N34" s="4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2.0" customHeight="1">
      <c r="A35" s="3"/>
      <c r="B35" s="2">
        <v>23.0</v>
      </c>
      <c r="C35" s="3" t="s">
        <v>199</v>
      </c>
      <c r="D35" s="6">
        <v>4.023277767645E7</v>
      </c>
      <c r="E35" s="6">
        <v>916528.9464</v>
      </c>
      <c r="F35" s="6">
        <f t="shared" ref="F35:F36" si="8">D35-E35</f>
        <v>39316248.73</v>
      </c>
      <c r="G35" s="27">
        <v>0.0</v>
      </c>
      <c r="H35" s="5">
        <v>57.0</v>
      </c>
      <c r="I35" s="6">
        <v>95101.21</v>
      </c>
      <c r="J35" s="4">
        <v>30143.13</v>
      </c>
      <c r="K35" s="4">
        <f t="shared" ref="K35:K36" si="9">I35-J35</f>
        <v>64958.08</v>
      </c>
      <c r="L35" s="4">
        <f>I35+July!L35</f>
        <v>1056690.29</v>
      </c>
      <c r="M35" s="4">
        <f>J35+July!M35</f>
        <v>5570351.08</v>
      </c>
      <c r="N35" s="4">
        <f t="shared" ref="N35:N36" si="10">L35-M35</f>
        <v>-4513660.79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47</v>
      </c>
      <c r="D36" s="6">
        <f>56.145*34861471.45</f>
        <v>1957297315</v>
      </c>
      <c r="E36" s="6">
        <f>56.145*715892.8</f>
        <v>40193801.26</v>
      </c>
      <c r="F36" s="6">
        <f t="shared" si="8"/>
        <v>1917103513</v>
      </c>
      <c r="G36" s="6">
        <v>0.0</v>
      </c>
      <c r="H36" s="5">
        <v>2834.0</v>
      </c>
      <c r="I36" s="6">
        <f>56.145*319589.45</f>
        <v>17943349.67</v>
      </c>
      <c r="J36" s="6">
        <f>56.145*131559.38</f>
        <v>7386401.39</v>
      </c>
      <c r="K36" s="4">
        <f t="shared" si="9"/>
        <v>10556948.28</v>
      </c>
      <c r="L36" s="4">
        <f>I36+July!L36</f>
        <v>274075342.2</v>
      </c>
      <c r="M36" s="4">
        <f>J36+July!M36</f>
        <v>266873652.6</v>
      </c>
      <c r="N36" s="4">
        <f t="shared" si="10"/>
        <v>7201689.637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22" t="s">
        <v>48</v>
      </c>
      <c r="B37" s="23"/>
      <c r="C37" s="1"/>
      <c r="D37" s="24">
        <f t="shared" ref="D37:N37" si="11">SUM(D35:D36)</f>
        <v>1997530092</v>
      </c>
      <c r="E37" s="24">
        <f t="shared" si="11"/>
        <v>41110330.2</v>
      </c>
      <c r="F37" s="24">
        <f t="shared" si="11"/>
        <v>1956419762</v>
      </c>
      <c r="G37" s="24">
        <f t="shared" si="11"/>
        <v>0</v>
      </c>
      <c r="H37" s="24">
        <f t="shared" si="11"/>
        <v>2891</v>
      </c>
      <c r="I37" s="24">
        <f t="shared" si="11"/>
        <v>18038450.88</v>
      </c>
      <c r="J37" s="24">
        <f t="shared" si="11"/>
        <v>7416544.52</v>
      </c>
      <c r="K37" s="24">
        <f t="shared" si="11"/>
        <v>10621906.36</v>
      </c>
      <c r="L37" s="24">
        <f t="shared" si="11"/>
        <v>275132032.5</v>
      </c>
      <c r="M37" s="24">
        <f t="shared" si="11"/>
        <v>272444003.6</v>
      </c>
      <c r="N37" s="24">
        <f t="shared" si="11"/>
        <v>2688028.847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2.0" customHeight="1">
      <c r="A38" s="1" t="s">
        <v>49</v>
      </c>
      <c r="B38" s="23"/>
      <c r="C38" s="1"/>
      <c r="D38" s="24">
        <f t="shared" ref="D38:N38" si="12">D33+D37</f>
        <v>70242621713</v>
      </c>
      <c r="E38" s="24">
        <f t="shared" si="12"/>
        <v>772104229.6</v>
      </c>
      <c r="F38" s="24">
        <f t="shared" si="12"/>
        <v>69470517483</v>
      </c>
      <c r="G38" s="24">
        <f t="shared" si="12"/>
        <v>64101308709</v>
      </c>
      <c r="H38" s="24">
        <f t="shared" si="12"/>
        <v>503163</v>
      </c>
      <c r="I38" s="24">
        <f t="shared" si="12"/>
        <v>534915289.6</v>
      </c>
      <c r="J38" s="24">
        <f t="shared" si="12"/>
        <v>5909568487</v>
      </c>
      <c r="K38" s="24">
        <f t="shared" si="12"/>
        <v>-5374653197</v>
      </c>
      <c r="L38" s="24">
        <f t="shared" si="12"/>
        <v>8412328030</v>
      </c>
      <c r="M38" s="24">
        <f t="shared" si="12"/>
        <v>48114695610</v>
      </c>
      <c r="N38" s="24">
        <f t="shared" si="12"/>
        <v>-39702367580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50</v>
      </c>
      <c r="B39" s="2"/>
      <c r="C39" s="3"/>
      <c r="D39" s="6"/>
      <c r="E39" s="6"/>
      <c r="F39" s="6"/>
      <c r="G39" s="6"/>
      <c r="H39" s="5"/>
      <c r="I39" s="6"/>
      <c r="J39" s="4"/>
      <c r="K39" s="4"/>
      <c r="L39" s="4"/>
      <c r="M39" s="4"/>
      <c r="N39" s="4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ht="12.0" customHeight="1">
      <c r="A40" s="18" t="s">
        <v>20</v>
      </c>
      <c r="B40" s="2"/>
      <c r="C40" s="3"/>
      <c r="D40" s="6"/>
      <c r="E40" s="6"/>
      <c r="F40" s="6"/>
      <c r="G40" s="6"/>
      <c r="H40" s="5"/>
      <c r="I40" s="6"/>
      <c r="J40" s="4"/>
      <c r="K40" s="4"/>
      <c r="L40" s="4"/>
      <c r="M40" s="4"/>
      <c r="N40" s="4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/>
      <c r="B41" s="2">
        <v>25.0</v>
      </c>
      <c r="C41" s="3" t="s">
        <v>200</v>
      </c>
      <c r="D41" s="6">
        <v>1.4116113598E8</v>
      </c>
      <c r="E41" s="6">
        <v>1.985659063E7</v>
      </c>
      <c r="F41" s="6">
        <f t="shared" ref="F41:F50" si="13">D41-E41</f>
        <v>121304545.4</v>
      </c>
      <c r="G41" s="6">
        <v>2.98709779E7</v>
      </c>
      <c r="H41" s="5">
        <v>728.0</v>
      </c>
      <c r="I41" s="6">
        <v>552024.47</v>
      </c>
      <c r="J41" s="4">
        <v>154729.67</v>
      </c>
      <c r="K41" s="4">
        <f t="shared" ref="K41:K50" si="14">I41-J41</f>
        <v>397294.8</v>
      </c>
      <c r="L41" s="4">
        <f>I41+July!L41</f>
        <v>10016030.12</v>
      </c>
      <c r="M41" s="4">
        <f>J41+July!M41</f>
        <v>4051147.46</v>
      </c>
      <c r="N41" s="4">
        <f t="shared" ref="N41:N50" si="15">L41-M41</f>
        <v>5964882.66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3"/>
      <c r="B42" s="2">
        <v>26.0</v>
      </c>
      <c r="C42" s="3" t="s">
        <v>201</v>
      </c>
      <c r="D42" s="6">
        <v>7.0938175417E8</v>
      </c>
      <c r="E42" s="6">
        <v>8.363675844E7</v>
      </c>
      <c r="F42" s="6">
        <f t="shared" si="13"/>
        <v>625744995.7</v>
      </c>
      <c r="G42" s="6">
        <v>2.2125417245E8</v>
      </c>
      <c r="H42" s="5">
        <v>2464.0</v>
      </c>
      <c r="I42" s="6">
        <v>905177.0299999997</v>
      </c>
      <c r="J42" s="4">
        <v>6617356.130000002</v>
      </c>
      <c r="K42" s="4">
        <f t="shared" si="14"/>
        <v>-5712179.1</v>
      </c>
      <c r="L42" s="4">
        <f>I42+July!L42</f>
        <v>12417338.69</v>
      </c>
      <c r="M42" s="4">
        <f>J42+July!M42</f>
        <v>43417699.72</v>
      </c>
      <c r="N42" s="4">
        <f t="shared" si="15"/>
        <v>-31000361.03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53</v>
      </c>
      <c r="D43" s="6">
        <v>1.08609593331E9</v>
      </c>
      <c r="E43" s="6">
        <v>7937868.03</v>
      </c>
      <c r="F43" s="6">
        <f t="shared" si="13"/>
        <v>1078158065</v>
      </c>
      <c r="G43" s="6">
        <v>6.5428223194E8</v>
      </c>
      <c r="H43" s="5">
        <v>4796.0</v>
      </c>
      <c r="I43" s="6">
        <v>1523766.25</v>
      </c>
      <c r="J43" s="4">
        <v>2.501425508E7</v>
      </c>
      <c r="K43" s="4">
        <f t="shared" si="14"/>
        <v>-23490488.83</v>
      </c>
      <c r="L43" s="4">
        <f>I43+July!L43</f>
        <v>29313594.14</v>
      </c>
      <c r="M43" s="4">
        <f>J43+July!M43</f>
        <v>192527344.8</v>
      </c>
      <c r="N43" s="4">
        <f t="shared" si="15"/>
        <v>-163213750.7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54</v>
      </c>
      <c r="D44" s="6">
        <v>2.9052186639E8</v>
      </c>
      <c r="E44" s="6">
        <v>870319.7</v>
      </c>
      <c r="F44" s="6">
        <f t="shared" si="13"/>
        <v>289651546.7</v>
      </c>
      <c r="G44" s="6">
        <v>2.0444253851E8</v>
      </c>
      <c r="H44" s="5">
        <v>216.0</v>
      </c>
      <c r="I44" s="6">
        <v>7770179.47</v>
      </c>
      <c r="J44" s="4">
        <v>1.086137362E7</v>
      </c>
      <c r="K44" s="4">
        <f t="shared" si="14"/>
        <v>-3091194.15</v>
      </c>
      <c r="L44" s="4">
        <f>I44+July!L44</f>
        <v>308085827.4</v>
      </c>
      <c r="M44" s="4">
        <f>J44+July!M44</f>
        <v>24923410.9</v>
      </c>
      <c r="N44" s="4">
        <f t="shared" si="15"/>
        <v>283162416.5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55</v>
      </c>
      <c r="D45" s="6">
        <v>3.3978534101E8</v>
      </c>
      <c r="E45" s="6">
        <v>1583210.92</v>
      </c>
      <c r="F45" s="6">
        <f t="shared" si="13"/>
        <v>338202130.1</v>
      </c>
      <c r="G45" s="6">
        <v>1.5856481307E8</v>
      </c>
      <c r="H45" s="5">
        <v>56.0</v>
      </c>
      <c r="I45" s="6">
        <v>0.0</v>
      </c>
      <c r="J45" s="4">
        <v>0.0</v>
      </c>
      <c r="K45" s="4">
        <f t="shared" si="14"/>
        <v>0</v>
      </c>
      <c r="L45" s="4">
        <f>I45+July!L45</f>
        <v>0</v>
      </c>
      <c r="M45" s="4">
        <f>J45+July!M45</f>
        <v>2789770.37</v>
      </c>
      <c r="N45" s="4">
        <f t="shared" si="15"/>
        <v>-2789770.37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56</v>
      </c>
      <c r="D46" s="6">
        <v>5.8169344963E8</v>
      </c>
      <c r="E46" s="6">
        <v>2.233974711E7</v>
      </c>
      <c r="F46" s="6">
        <f t="shared" si="13"/>
        <v>559353702.5</v>
      </c>
      <c r="G46" s="6">
        <v>2.833988102E8</v>
      </c>
      <c r="H46" s="5">
        <v>10173.0</v>
      </c>
      <c r="I46" s="6">
        <v>253350.17</v>
      </c>
      <c r="J46" s="4">
        <v>5364728.14</v>
      </c>
      <c r="K46" s="4">
        <f t="shared" si="14"/>
        <v>-5111377.97</v>
      </c>
      <c r="L46" s="4">
        <f>I46+July!L46</f>
        <v>4960792.67</v>
      </c>
      <c r="M46" s="4">
        <f>J46+July!M46</f>
        <v>41365754.86</v>
      </c>
      <c r="N46" s="4">
        <f t="shared" si="15"/>
        <v>-36404962.19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57</v>
      </c>
      <c r="D47" s="6">
        <v>2.17368544906E9</v>
      </c>
      <c r="E47" s="6">
        <v>8.542333571E7</v>
      </c>
      <c r="F47" s="6">
        <f t="shared" si="13"/>
        <v>2088262113</v>
      </c>
      <c r="G47" s="6">
        <v>5.1514131785E8</v>
      </c>
      <c r="H47" s="5">
        <v>8328.0</v>
      </c>
      <c r="I47" s="6">
        <v>2369389.33</v>
      </c>
      <c r="J47" s="4">
        <v>9312594.68</v>
      </c>
      <c r="K47" s="4">
        <f t="shared" si="14"/>
        <v>-6943205.35</v>
      </c>
      <c r="L47" s="4">
        <f>I47+July!L47</f>
        <v>192754892.2</v>
      </c>
      <c r="M47" s="4">
        <f>J47+July!M47</f>
        <v>8236491248</v>
      </c>
      <c r="N47" s="4">
        <f t="shared" si="15"/>
        <v>-8043736355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1.25" customHeight="1">
      <c r="A48" s="18"/>
      <c r="B48" s="2">
        <v>32.0</v>
      </c>
      <c r="C48" s="3" t="s">
        <v>202</v>
      </c>
      <c r="D48" s="6">
        <v>1.3855845286E8</v>
      </c>
      <c r="E48" s="6">
        <v>311511.2</v>
      </c>
      <c r="F48" s="6">
        <f t="shared" si="13"/>
        <v>138246941.7</v>
      </c>
      <c r="G48" s="6">
        <v>7.5164508E7</v>
      </c>
      <c r="H48" s="5">
        <v>199.0</v>
      </c>
      <c r="I48" s="6">
        <v>285993.13</v>
      </c>
      <c r="J48" s="4">
        <v>0.0</v>
      </c>
      <c r="K48" s="4">
        <f t="shared" si="14"/>
        <v>285993.13</v>
      </c>
      <c r="L48" s="4">
        <f>I48+July!L48</f>
        <v>3672356.38</v>
      </c>
      <c r="M48" s="4">
        <f>J48+July!M48</f>
        <v>6636385.62</v>
      </c>
      <c r="N48" s="4">
        <f t="shared" si="15"/>
        <v>-2964029.24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v>33.0</v>
      </c>
      <c r="C49" s="3" t="s">
        <v>59</v>
      </c>
      <c r="D49" s="6">
        <v>7.79259173152E9</v>
      </c>
      <c r="E49" s="6">
        <v>3.4839328707E8</v>
      </c>
      <c r="F49" s="6">
        <f t="shared" si="13"/>
        <v>7444198444</v>
      </c>
      <c r="G49" s="6">
        <v>4.0564125168E9</v>
      </c>
      <c r="H49" s="5">
        <v>53378.0</v>
      </c>
      <c r="I49" s="6">
        <v>1.793394558E7</v>
      </c>
      <c r="J49" s="4">
        <v>3.309710358E7</v>
      </c>
      <c r="K49" s="4">
        <f t="shared" si="14"/>
        <v>-15163158</v>
      </c>
      <c r="L49" s="4">
        <f>I49+July!L49</f>
        <v>129718540.1</v>
      </c>
      <c r="M49" s="4">
        <f>J49+July!M49</f>
        <v>353436582</v>
      </c>
      <c r="N49" s="4">
        <f t="shared" si="15"/>
        <v>-223718042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60</v>
      </c>
      <c r="D50" s="6">
        <v>1.3771203092E9</v>
      </c>
      <c r="E50" s="6">
        <v>1.9485016482E8</v>
      </c>
      <c r="F50" s="6">
        <f t="shared" si="13"/>
        <v>1182270144</v>
      </c>
      <c r="G50" s="6">
        <v>7.4267719125E8</v>
      </c>
      <c r="H50" s="5">
        <v>4998.0</v>
      </c>
      <c r="I50" s="6">
        <v>0.0</v>
      </c>
      <c r="J50" s="4">
        <v>1482475.94</v>
      </c>
      <c r="K50" s="4">
        <f t="shared" si="14"/>
        <v>-1482475.94</v>
      </c>
      <c r="L50" s="4">
        <f>I50+July!L50</f>
        <v>0</v>
      </c>
      <c r="M50" s="4">
        <f>J50+July!M50</f>
        <v>55819415.89</v>
      </c>
      <c r="N50" s="4">
        <f t="shared" si="15"/>
        <v>-55819415.89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18" t="s">
        <v>40</v>
      </c>
      <c r="B51" s="2"/>
      <c r="C51" s="3"/>
      <c r="D51" s="6"/>
      <c r="E51" s="6"/>
      <c r="F51" s="6"/>
      <c r="G51" s="6"/>
      <c r="H51" s="5"/>
      <c r="I51" s="6"/>
      <c r="J51" s="4"/>
      <c r="K51" s="4"/>
      <c r="L51" s="4"/>
      <c r="M51" s="4"/>
      <c r="N51" s="4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v>35.0</v>
      </c>
      <c r="C52" s="3" t="s">
        <v>61</v>
      </c>
      <c r="D52" s="6">
        <v>7.27194502E7</v>
      </c>
      <c r="E52" s="6">
        <v>340364.05</v>
      </c>
      <c r="F52" s="6">
        <f t="shared" ref="F52:F54" si="16">D52-E52</f>
        <v>72379086.15</v>
      </c>
      <c r="G52" s="6">
        <v>2.62989929E7</v>
      </c>
      <c r="H52" s="5">
        <v>981.0</v>
      </c>
      <c r="I52" s="6">
        <v>473565.69</v>
      </c>
      <c r="J52" s="4">
        <v>41613.12</v>
      </c>
      <c r="K52" s="4">
        <f t="shared" ref="K52:K54" si="17">I52-J52</f>
        <v>431952.57</v>
      </c>
      <c r="L52" s="4">
        <f>I52+July!L52</f>
        <v>5297718.62</v>
      </c>
      <c r="M52" s="4">
        <f>J52+July!M52</f>
        <v>1309950.78</v>
      </c>
      <c r="N52" s="4">
        <f t="shared" ref="N52:N54" si="18">L52-M52</f>
        <v>3987767.84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62</v>
      </c>
      <c r="D53" s="6">
        <v>5.563822554E7</v>
      </c>
      <c r="E53" s="6">
        <v>305771.31</v>
      </c>
      <c r="F53" s="6">
        <f t="shared" si="16"/>
        <v>55332454.23</v>
      </c>
      <c r="G53" s="6">
        <v>4.34896981E7</v>
      </c>
      <c r="H53" s="5">
        <v>376.0</v>
      </c>
      <c r="I53" s="6">
        <v>300134.61</v>
      </c>
      <c r="J53" s="4">
        <v>16012.77</v>
      </c>
      <c r="K53" s="4">
        <f t="shared" si="17"/>
        <v>284121.84</v>
      </c>
      <c r="L53" s="4">
        <f>I53+July!L53</f>
        <v>5255223.15</v>
      </c>
      <c r="M53" s="4">
        <f>J53+July!M53</f>
        <v>397211.88</v>
      </c>
      <c r="N53" s="4">
        <f t="shared" si="18"/>
        <v>4858011.27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63</v>
      </c>
      <c r="D54" s="6">
        <v>4.696031646E7</v>
      </c>
      <c r="E54" s="6">
        <v>291441.79</v>
      </c>
      <c r="F54" s="6">
        <f t="shared" si="16"/>
        <v>46668874.67</v>
      </c>
      <c r="G54" s="6">
        <v>3.95777849E7</v>
      </c>
      <c r="H54" s="5">
        <v>176.0</v>
      </c>
      <c r="I54" s="6">
        <v>58031.98</v>
      </c>
      <c r="J54" s="4">
        <v>0.0</v>
      </c>
      <c r="K54" s="4">
        <f t="shared" si="17"/>
        <v>58031.98</v>
      </c>
      <c r="L54" s="4">
        <f>I54+July!L54</f>
        <v>2051962.65</v>
      </c>
      <c r="M54" s="4">
        <f>J54+July!M54</f>
        <v>260027.56</v>
      </c>
      <c r="N54" s="4">
        <f t="shared" si="18"/>
        <v>1791935.09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22" t="s">
        <v>44</v>
      </c>
      <c r="B55" s="22"/>
      <c r="C55" s="1"/>
      <c r="D55" s="24">
        <f t="shared" ref="D55:N55" si="19">SUM(D41:D54)</f>
        <v>14805913415</v>
      </c>
      <c r="E55" s="24">
        <f t="shared" si="19"/>
        <v>766140370.8</v>
      </c>
      <c r="F55" s="24">
        <f t="shared" si="19"/>
        <v>14039773045</v>
      </c>
      <c r="G55" s="24">
        <f t="shared" si="19"/>
        <v>7050575554</v>
      </c>
      <c r="H55" s="24">
        <f t="shared" si="19"/>
        <v>86869</v>
      </c>
      <c r="I55" s="24">
        <f t="shared" si="19"/>
        <v>32425557.71</v>
      </c>
      <c r="J55" s="24">
        <f t="shared" si="19"/>
        <v>91962242.73</v>
      </c>
      <c r="K55" s="24">
        <f t="shared" si="19"/>
        <v>-59536685.02</v>
      </c>
      <c r="L55" s="24">
        <f t="shared" si="19"/>
        <v>703544276.1</v>
      </c>
      <c r="M55" s="24">
        <f t="shared" si="19"/>
        <v>8963425950</v>
      </c>
      <c r="N55" s="24">
        <f t="shared" si="19"/>
        <v>-8259881673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2.0" customHeight="1">
      <c r="A56" s="18" t="s">
        <v>45</v>
      </c>
      <c r="B56" s="2"/>
      <c r="C56" s="3"/>
      <c r="D56" s="6"/>
      <c r="E56" s="6"/>
      <c r="F56" s="6"/>
      <c r="G56" s="6"/>
      <c r="H56" s="5"/>
      <c r="I56" s="6"/>
      <c r="J56" s="4"/>
      <c r="K56" s="4"/>
      <c r="L56" s="4"/>
      <c r="M56" s="4"/>
      <c r="N56" s="4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18"/>
      <c r="B57" s="2">
        <v>38.0</v>
      </c>
      <c r="C57" s="3" t="s">
        <v>64</v>
      </c>
      <c r="D57" s="6">
        <f>56.145*1349930.82</f>
        <v>75791865.89</v>
      </c>
      <c r="E57" s="6">
        <f>56.145*8799.64</f>
        <v>494055.7878</v>
      </c>
      <c r="F57" s="6">
        <f t="shared" ref="F57:F60" si="20">D57-E57</f>
        <v>75297810.1</v>
      </c>
      <c r="G57" s="6">
        <v>0.0</v>
      </c>
      <c r="H57" s="5">
        <v>55.0</v>
      </c>
      <c r="I57" s="6">
        <v>0.0</v>
      </c>
      <c r="J57" s="6">
        <v>0.0</v>
      </c>
      <c r="K57" s="4">
        <f t="shared" ref="K57:K60" si="21">I57-J57</f>
        <v>0</v>
      </c>
      <c r="L57" s="4">
        <f>I57+July!L57</f>
        <v>5201914.981</v>
      </c>
      <c r="M57" s="4">
        <f>J57+July!M57</f>
        <v>4087392.839</v>
      </c>
      <c r="N57" s="4">
        <f t="shared" ref="N57:N60" si="22">L57-M57</f>
        <v>1114522.142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65</v>
      </c>
      <c r="D58" s="6">
        <f>56.145*6401047.52</f>
        <v>359386813</v>
      </c>
      <c r="E58" s="6">
        <f>56.145*429061.57</f>
        <v>24089661.85</v>
      </c>
      <c r="F58" s="6">
        <f t="shared" si="20"/>
        <v>335297151.2</v>
      </c>
      <c r="G58" s="6">
        <f>56.145*3179331.72</f>
        <v>178503579.4</v>
      </c>
      <c r="H58" s="5">
        <v>273.0</v>
      </c>
      <c r="I58" s="6">
        <f>56.145*99.72</f>
        <v>5598.7794</v>
      </c>
      <c r="J58" s="6">
        <f>56.145*96718.38</f>
        <v>5430253.445</v>
      </c>
      <c r="K58" s="4">
        <f t="shared" si="21"/>
        <v>-5424654.666</v>
      </c>
      <c r="L58" s="4">
        <f>I58+July!L58</f>
        <v>602209.6245</v>
      </c>
      <c r="M58" s="4">
        <f>J58+July!M58</f>
        <v>17771472.79</v>
      </c>
      <c r="N58" s="4">
        <f t="shared" si="22"/>
        <v>-17169263.17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3"/>
      <c r="B59" s="2">
        <v>40.0</v>
      </c>
      <c r="C59" s="3" t="s">
        <v>66</v>
      </c>
      <c r="D59" s="6">
        <f>56.145*29659257.71</f>
        <v>1665219024</v>
      </c>
      <c r="E59" s="6">
        <f>56.145*578252.85</f>
        <v>32466006.26</v>
      </c>
      <c r="F59" s="6">
        <f t="shared" si="20"/>
        <v>1632753018</v>
      </c>
      <c r="G59" s="6">
        <v>0.0</v>
      </c>
      <c r="H59" s="5">
        <v>4128.0</v>
      </c>
      <c r="I59" s="6">
        <f>56.145*29191.07</f>
        <v>1638932.625</v>
      </c>
      <c r="J59" s="6">
        <f>56.145*201193.84</f>
        <v>11296028.15</v>
      </c>
      <c r="K59" s="4">
        <f t="shared" si="21"/>
        <v>-9657095.522</v>
      </c>
      <c r="L59" s="4">
        <f>I59+July!L59</f>
        <v>61970002.97</v>
      </c>
      <c r="M59" s="4">
        <f>J59+July!M59</f>
        <v>167509985.5</v>
      </c>
      <c r="N59" s="4">
        <f t="shared" si="22"/>
        <v>-105539982.5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67</v>
      </c>
      <c r="D60" s="6">
        <f>56.145*5773634.45</f>
        <v>324160706.2</v>
      </c>
      <c r="E60" s="6">
        <f>56.145*76626.79</f>
        <v>4302211.125</v>
      </c>
      <c r="F60" s="6">
        <f t="shared" si="20"/>
        <v>319858495.1</v>
      </c>
      <c r="G60" s="6">
        <v>0.0</v>
      </c>
      <c r="H60" s="5">
        <v>708.0</v>
      </c>
      <c r="I60" s="6">
        <f>56.145*29385.21</f>
        <v>1649832.615</v>
      </c>
      <c r="J60" s="6">
        <f>56.145*49249.9</f>
        <v>2765135.636</v>
      </c>
      <c r="K60" s="4">
        <f t="shared" si="21"/>
        <v>-1115303.02</v>
      </c>
      <c r="L60" s="4">
        <f>I60+July!L60</f>
        <v>11643838.4</v>
      </c>
      <c r="M60" s="4">
        <f>J60+July!M60</f>
        <v>33800716.37</v>
      </c>
      <c r="N60" s="4">
        <f t="shared" si="22"/>
        <v>-22156877.97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22" t="s">
        <v>48</v>
      </c>
      <c r="B61" s="23"/>
      <c r="C61" s="1"/>
      <c r="D61" s="24">
        <f t="shared" ref="D61:N61" si="23">SUM(D57:D60)</f>
        <v>2424558409</v>
      </c>
      <c r="E61" s="24">
        <f t="shared" si="23"/>
        <v>61351935.02</v>
      </c>
      <c r="F61" s="24">
        <f t="shared" si="23"/>
        <v>2363206474</v>
      </c>
      <c r="G61" s="24">
        <f t="shared" si="23"/>
        <v>178503579.4</v>
      </c>
      <c r="H61" s="24">
        <f t="shared" si="23"/>
        <v>5164</v>
      </c>
      <c r="I61" s="24">
        <f t="shared" si="23"/>
        <v>3294364.02</v>
      </c>
      <c r="J61" s="24">
        <f t="shared" si="23"/>
        <v>19491417.23</v>
      </c>
      <c r="K61" s="24">
        <f t="shared" si="23"/>
        <v>-16197053.21</v>
      </c>
      <c r="L61" s="24">
        <f t="shared" si="23"/>
        <v>79417965.98</v>
      </c>
      <c r="M61" s="24">
        <f t="shared" si="23"/>
        <v>223169567.5</v>
      </c>
      <c r="N61" s="24">
        <f t="shared" si="23"/>
        <v>-143751601.5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2.0" customHeight="1">
      <c r="A62" s="1" t="s">
        <v>68</v>
      </c>
      <c r="B62" s="23"/>
      <c r="C62" s="1"/>
      <c r="D62" s="24">
        <f t="shared" ref="D62:N62" si="24">D55+D61</f>
        <v>17230471825</v>
      </c>
      <c r="E62" s="24">
        <f t="shared" si="24"/>
        <v>827492305.8</v>
      </c>
      <c r="F62" s="24">
        <f t="shared" si="24"/>
        <v>16402979519</v>
      </c>
      <c r="G62" s="24">
        <f t="shared" si="24"/>
        <v>7229079133</v>
      </c>
      <c r="H62" s="24">
        <f t="shared" si="24"/>
        <v>92033</v>
      </c>
      <c r="I62" s="24">
        <f t="shared" si="24"/>
        <v>35719921.73</v>
      </c>
      <c r="J62" s="24">
        <f t="shared" si="24"/>
        <v>111453660</v>
      </c>
      <c r="K62" s="24">
        <f t="shared" si="24"/>
        <v>-75733738.23</v>
      </c>
      <c r="L62" s="24">
        <f t="shared" si="24"/>
        <v>782962242.1</v>
      </c>
      <c r="M62" s="24">
        <f t="shared" si="24"/>
        <v>9186595517</v>
      </c>
      <c r="N62" s="24">
        <f t="shared" si="24"/>
        <v>-8403633275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69</v>
      </c>
      <c r="B63" s="2"/>
      <c r="C63" s="3"/>
      <c r="D63" s="6"/>
      <c r="E63" s="6"/>
      <c r="F63" s="6"/>
      <c r="G63" s="6"/>
      <c r="H63" s="5"/>
      <c r="I63" s="6"/>
      <c r="J63" s="4"/>
      <c r="K63" s="4"/>
      <c r="L63" s="4"/>
      <c r="M63" s="4"/>
      <c r="N63" s="4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ht="12.0" customHeight="1">
      <c r="A64" s="18" t="s">
        <v>20</v>
      </c>
      <c r="B64" s="2"/>
      <c r="C64" s="3"/>
      <c r="D64" s="6"/>
      <c r="E64" s="6"/>
      <c r="F64" s="6"/>
      <c r="G64" s="6"/>
      <c r="H64" s="5"/>
      <c r="I64" s="6"/>
      <c r="J64" s="4"/>
      <c r="K64" s="4"/>
      <c r="L64" s="4"/>
      <c r="M64" s="4"/>
      <c r="N64" s="4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3"/>
      <c r="B65" s="2">
        <v>42.0</v>
      </c>
      <c r="C65" s="3" t="s">
        <v>70</v>
      </c>
      <c r="D65" s="6">
        <v>4.179920316304E10</v>
      </c>
      <c r="E65" s="6">
        <v>3.2568669932E8</v>
      </c>
      <c r="F65" s="6">
        <f t="shared" ref="F65:F75" si="25">D65-E65</f>
        <v>41473516464</v>
      </c>
      <c r="G65" s="6">
        <v>9.35199176E8</v>
      </c>
      <c r="H65" s="5">
        <v>26148.0</v>
      </c>
      <c r="I65" s="6">
        <v>2.9599377434E8</v>
      </c>
      <c r="J65" s="4">
        <v>4.0310503719E8</v>
      </c>
      <c r="K65" s="4">
        <f t="shared" ref="K65:K75" si="26">I65-J65</f>
        <v>-107111262.9</v>
      </c>
      <c r="L65" s="4">
        <f>I65+July!L65</f>
        <v>2207999862</v>
      </c>
      <c r="M65" s="4">
        <f>J65+July!M65</f>
        <v>4971254999</v>
      </c>
      <c r="N65" s="4">
        <f t="shared" ref="N65:N75" si="27">L65-M65</f>
        <v>-2763255137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203</v>
      </c>
      <c r="D66" s="6">
        <v>4.3039798135E8</v>
      </c>
      <c r="E66" s="6">
        <v>5.347568348E7</v>
      </c>
      <c r="F66" s="6">
        <f t="shared" si="25"/>
        <v>376922297.9</v>
      </c>
      <c r="G66" s="6">
        <v>0.0</v>
      </c>
      <c r="H66" s="5">
        <v>1067.0</v>
      </c>
      <c r="I66" s="6">
        <v>3.412792762999998E7</v>
      </c>
      <c r="J66" s="4">
        <v>7922927.470000002</v>
      </c>
      <c r="K66" s="4">
        <f t="shared" si="26"/>
        <v>26205000.16</v>
      </c>
      <c r="L66" s="4">
        <f>I66+July!L66</f>
        <v>106920004.3</v>
      </c>
      <c r="M66" s="4">
        <f>J66+July!M66</f>
        <v>26033445.14</v>
      </c>
      <c r="N66" s="4">
        <f t="shared" si="27"/>
        <v>80886559.18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72</v>
      </c>
      <c r="D67" s="6">
        <v>1.1674792256899998E9</v>
      </c>
      <c r="E67" s="6">
        <v>1.2635324599999998E7</v>
      </c>
      <c r="F67" s="6">
        <f t="shared" si="25"/>
        <v>1154843901</v>
      </c>
      <c r="G67" s="6">
        <v>0.0</v>
      </c>
      <c r="H67" s="5">
        <v>2021.0</v>
      </c>
      <c r="I67" s="6">
        <v>2989689.649999957</v>
      </c>
      <c r="J67" s="4">
        <v>1500247.1600000001</v>
      </c>
      <c r="K67" s="4">
        <f t="shared" si="26"/>
        <v>1489442.49</v>
      </c>
      <c r="L67" s="4">
        <f>I67+July!L67</f>
        <v>129071996.3</v>
      </c>
      <c r="M67" s="4">
        <f>J67+July!M67</f>
        <v>200009536.2</v>
      </c>
      <c r="N67" s="4">
        <f t="shared" si="27"/>
        <v>-70937539.92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1"/>
      <c r="B68" s="2">
        <v>45.0</v>
      </c>
      <c r="C68" s="3" t="s">
        <v>73</v>
      </c>
      <c r="D68" s="6">
        <v>1.9240690687E8</v>
      </c>
      <c r="E68" s="6">
        <v>295302.8</v>
      </c>
      <c r="F68" s="6">
        <f t="shared" si="25"/>
        <v>192111604.1</v>
      </c>
      <c r="G68" s="6">
        <v>5000000.0</v>
      </c>
      <c r="H68" s="5">
        <v>156.0</v>
      </c>
      <c r="I68" s="6">
        <v>696477.14</v>
      </c>
      <c r="J68" s="4">
        <v>5012979.82</v>
      </c>
      <c r="K68" s="4">
        <f t="shared" si="26"/>
        <v>-4316502.68</v>
      </c>
      <c r="L68" s="4">
        <f>I68+July!L68</f>
        <v>2888761.93</v>
      </c>
      <c r="M68" s="4">
        <f>J68+July!M68</f>
        <v>9347174.65</v>
      </c>
      <c r="N68" s="4">
        <f t="shared" si="27"/>
        <v>-6458412.72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v>46.0</v>
      </c>
      <c r="C69" s="3" t="s">
        <v>74</v>
      </c>
      <c r="D69" s="6">
        <v>1.35927840193E9</v>
      </c>
      <c r="E69" s="6">
        <v>2601781.08</v>
      </c>
      <c r="F69" s="6">
        <f t="shared" si="25"/>
        <v>1356676621</v>
      </c>
      <c r="G69" s="6">
        <v>0.0</v>
      </c>
      <c r="H69" s="5">
        <v>1854.0</v>
      </c>
      <c r="I69" s="6">
        <v>1400073.5</v>
      </c>
      <c r="J69" s="4">
        <v>6622839.9</v>
      </c>
      <c r="K69" s="4">
        <f t="shared" si="26"/>
        <v>-5222766.4</v>
      </c>
      <c r="L69" s="4">
        <f>I69+July!L69</f>
        <v>28664428.91</v>
      </c>
      <c r="M69" s="4">
        <f>J69+July!M69</f>
        <v>191153712.2</v>
      </c>
      <c r="N69" s="4">
        <f t="shared" si="27"/>
        <v>-162489283.3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75</v>
      </c>
      <c r="D70" s="6">
        <v>9.0986519195E8</v>
      </c>
      <c r="E70" s="6">
        <v>3.729937649E7</v>
      </c>
      <c r="F70" s="6">
        <f t="shared" si="25"/>
        <v>872565815.5</v>
      </c>
      <c r="G70" s="6">
        <v>0.0</v>
      </c>
      <c r="H70" s="5">
        <v>523.0</v>
      </c>
      <c r="I70" s="6">
        <v>1474431.21</v>
      </c>
      <c r="J70" s="4">
        <v>9205194.97</v>
      </c>
      <c r="K70" s="4">
        <f t="shared" si="26"/>
        <v>-7730763.76</v>
      </c>
      <c r="L70" s="4">
        <f>I70+July!L70</f>
        <v>22905814.48</v>
      </c>
      <c r="M70" s="4">
        <f>J70+July!M70</f>
        <v>139911110.2</v>
      </c>
      <c r="N70" s="4">
        <f t="shared" si="27"/>
        <v>-117005295.8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76</v>
      </c>
      <c r="D71" s="6">
        <v>1.78210905261E9</v>
      </c>
      <c r="E71" s="6">
        <v>2.376833582E7</v>
      </c>
      <c r="F71" s="6">
        <f t="shared" si="25"/>
        <v>1758340717</v>
      </c>
      <c r="G71" s="6">
        <v>0.0</v>
      </c>
      <c r="H71" s="5">
        <v>5094.0</v>
      </c>
      <c r="I71" s="6">
        <v>1698809.64</v>
      </c>
      <c r="J71" s="4">
        <v>7.5819263252E8</v>
      </c>
      <c r="K71" s="4">
        <f t="shared" si="26"/>
        <v>-756493822.9</v>
      </c>
      <c r="L71" s="4">
        <f>I71+July!L71</f>
        <v>218312735.9</v>
      </c>
      <c r="M71" s="4">
        <f>J71+July!M71</f>
        <v>4923192785</v>
      </c>
      <c r="N71" s="4">
        <f t="shared" si="27"/>
        <v>-4704880049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77</v>
      </c>
      <c r="D72" s="6">
        <v>3.18525254882344E8</v>
      </c>
      <c r="E72" s="6">
        <v>754402.436300101</v>
      </c>
      <c r="F72" s="6">
        <f t="shared" si="25"/>
        <v>317770852.4</v>
      </c>
      <c r="G72" s="6">
        <v>0.0</v>
      </c>
      <c r="H72" s="5">
        <v>4160.0</v>
      </c>
      <c r="I72" s="6">
        <v>905230.13</v>
      </c>
      <c r="J72" s="4">
        <v>2356195.39</v>
      </c>
      <c r="K72" s="4">
        <f t="shared" si="26"/>
        <v>-1450965.26</v>
      </c>
      <c r="L72" s="4">
        <f>I72+July!L72</f>
        <v>30521080.32</v>
      </c>
      <c r="M72" s="4">
        <f>J72+July!M72</f>
        <v>21749206.13</v>
      </c>
      <c r="N72" s="4">
        <f t="shared" si="27"/>
        <v>8771874.19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78</v>
      </c>
      <c r="D73" s="6">
        <v>1.4249971312800002E9</v>
      </c>
      <c r="E73" s="28">
        <v>2.9283336328E8</v>
      </c>
      <c r="F73" s="6">
        <f t="shared" si="25"/>
        <v>1132163768</v>
      </c>
      <c r="G73" s="6">
        <v>0.0</v>
      </c>
      <c r="H73" s="5">
        <v>834.0</v>
      </c>
      <c r="I73" s="6">
        <v>4.885114769999999E7</v>
      </c>
      <c r="J73" s="4">
        <v>588729.37</v>
      </c>
      <c r="K73" s="4">
        <f t="shared" si="26"/>
        <v>48262418.33</v>
      </c>
      <c r="L73" s="4">
        <f>I73+July!L73</f>
        <v>231411602</v>
      </c>
      <c r="M73" s="4">
        <f>J73+July!M73</f>
        <v>9952155.94</v>
      </c>
      <c r="N73" s="4">
        <f t="shared" si="27"/>
        <v>221459446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79</v>
      </c>
      <c r="D74" s="6">
        <v>5.0420141056E9</v>
      </c>
      <c r="E74" s="6">
        <v>5.7218579089E8</v>
      </c>
      <c r="F74" s="6">
        <f t="shared" si="25"/>
        <v>4469828315</v>
      </c>
      <c r="G74" s="6">
        <v>0.0</v>
      </c>
      <c r="H74" s="5">
        <v>16284.0</v>
      </c>
      <c r="I74" s="6">
        <v>9.479702603E7</v>
      </c>
      <c r="J74" s="4">
        <v>2.332820701E7</v>
      </c>
      <c r="K74" s="4">
        <f t="shared" si="26"/>
        <v>71468819.02</v>
      </c>
      <c r="L74" s="4">
        <f>I74+July!L74</f>
        <v>376230571.1</v>
      </c>
      <c r="M74" s="4">
        <f>J74+July!M74</f>
        <v>562713645.9</v>
      </c>
      <c r="N74" s="4">
        <f t="shared" si="27"/>
        <v>-186483074.9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80</v>
      </c>
      <c r="D75" s="6">
        <v>1.5262902318E8</v>
      </c>
      <c r="E75" s="6">
        <v>1.549808539E7</v>
      </c>
      <c r="F75" s="6">
        <f t="shared" si="25"/>
        <v>137130937.8</v>
      </c>
      <c r="G75" s="6">
        <v>0.0</v>
      </c>
      <c r="H75" s="5">
        <v>2589.0</v>
      </c>
      <c r="I75" s="6">
        <v>336028.68</v>
      </c>
      <c r="J75" s="4">
        <v>959224.56</v>
      </c>
      <c r="K75" s="4">
        <f t="shared" si="26"/>
        <v>-623195.88</v>
      </c>
      <c r="L75" s="4">
        <f>I75+July!L75</f>
        <v>5189447.14</v>
      </c>
      <c r="M75" s="4">
        <f>J75+July!M75</f>
        <v>27981849.87</v>
      </c>
      <c r="N75" s="4">
        <f t="shared" si="27"/>
        <v>-22792402.73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22" t="s">
        <v>44</v>
      </c>
      <c r="B76" s="1"/>
      <c r="C76" s="1"/>
      <c r="D76" s="24">
        <f t="shared" ref="D76:N76" si="28">SUM(D65:D75)</f>
        <v>54578905438</v>
      </c>
      <c r="E76" s="24">
        <f t="shared" si="28"/>
        <v>1337034146</v>
      </c>
      <c r="F76" s="24">
        <f t="shared" si="28"/>
        <v>53241871293</v>
      </c>
      <c r="G76" s="24">
        <f t="shared" si="28"/>
        <v>940199176</v>
      </c>
      <c r="H76" s="24">
        <f t="shared" si="28"/>
        <v>60730</v>
      </c>
      <c r="I76" s="24">
        <f t="shared" si="28"/>
        <v>483270615.7</v>
      </c>
      <c r="J76" s="24">
        <f t="shared" si="28"/>
        <v>1218794215</v>
      </c>
      <c r="K76" s="24">
        <f t="shared" si="28"/>
        <v>-735523599.7</v>
      </c>
      <c r="L76" s="24">
        <f t="shared" si="28"/>
        <v>3360116305</v>
      </c>
      <c r="M76" s="24">
        <f t="shared" si="28"/>
        <v>11083299620</v>
      </c>
      <c r="N76" s="24">
        <f t="shared" si="28"/>
        <v>-7723183315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18" t="s">
        <v>45</v>
      </c>
      <c r="B77" s="2"/>
      <c r="C77" s="3"/>
      <c r="D77" s="6"/>
      <c r="E77" s="6"/>
      <c r="F77" s="6"/>
      <c r="G77" s="6"/>
      <c r="H77" s="5"/>
      <c r="I77" s="6"/>
      <c r="J77" s="4"/>
      <c r="K77" s="4"/>
      <c r="L77" s="4"/>
      <c r="M77" s="4"/>
      <c r="N77" s="4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3"/>
      <c r="B78" s="2">
        <v>53.0</v>
      </c>
      <c r="C78" s="3" t="s">
        <v>81</v>
      </c>
      <c r="D78" s="6">
        <f>56.145*267539929.19</f>
        <v>15021029324</v>
      </c>
      <c r="E78" s="6">
        <f>56.145*1722236.54</f>
        <v>96694970.54</v>
      </c>
      <c r="F78" s="6">
        <f t="shared" ref="F78:F84" si="29">D78-E78</f>
        <v>14924334354</v>
      </c>
      <c r="G78" s="6">
        <v>0.0</v>
      </c>
      <c r="H78" s="5">
        <v>9396.0</v>
      </c>
      <c r="I78" s="6">
        <f>56.145*1779449.37</f>
        <v>99907184.88</v>
      </c>
      <c r="J78" s="4">
        <f>56.145*2042375.94</f>
        <v>114669197.2</v>
      </c>
      <c r="K78" s="4">
        <f t="shared" ref="K78:K84" si="30">I78-J78</f>
        <v>-14762012.27</v>
      </c>
      <c r="L78" s="4">
        <f>I78+July!L78</f>
        <v>805258482.1</v>
      </c>
      <c r="M78" s="4">
        <f>J78+July!M78</f>
        <v>4625141103</v>
      </c>
      <c r="N78" s="4">
        <f t="shared" ref="N78:N84" si="31">L78-M78</f>
        <v>-3819882621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204</v>
      </c>
      <c r="D79" s="6">
        <v>3.5163554154735E8</v>
      </c>
      <c r="E79" s="6">
        <v>2.96891290239E7</v>
      </c>
      <c r="F79" s="6">
        <f t="shared" si="29"/>
        <v>321946412.5</v>
      </c>
      <c r="G79" s="6">
        <v>0.0</v>
      </c>
      <c r="H79" s="5">
        <v>185.0</v>
      </c>
      <c r="I79" s="6">
        <v>580282.72</v>
      </c>
      <c r="J79" s="4">
        <v>3.559840712E7</v>
      </c>
      <c r="K79" s="4">
        <f t="shared" si="30"/>
        <v>-35018124.4</v>
      </c>
      <c r="L79" s="4">
        <f>I79+July!L79</f>
        <v>20400772.17</v>
      </c>
      <c r="M79" s="4">
        <f>J79+July!M79</f>
        <v>476972839.5</v>
      </c>
      <c r="N79" s="4">
        <f t="shared" si="31"/>
        <v>-456572067.3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83</v>
      </c>
      <c r="D80" s="6">
        <v>4.6673485150740004E8</v>
      </c>
      <c r="E80" s="6">
        <v>1.8885024839250002E7</v>
      </c>
      <c r="F80" s="6">
        <f t="shared" si="29"/>
        <v>447849826.7</v>
      </c>
      <c r="G80" s="6">
        <v>0.0</v>
      </c>
      <c r="H80" s="5">
        <v>155.0</v>
      </c>
      <c r="I80" s="6">
        <v>265495.3842771085</v>
      </c>
      <c r="J80" s="4">
        <v>5.7954602388533734E7</v>
      </c>
      <c r="K80" s="4">
        <f t="shared" si="30"/>
        <v>-57689107</v>
      </c>
      <c r="L80" s="4">
        <f>I80+July!L80</f>
        <v>15767412.22</v>
      </c>
      <c r="M80" s="4">
        <f>J80+July!M80</f>
        <v>316475259.8</v>
      </c>
      <c r="N80" s="4">
        <f t="shared" si="31"/>
        <v>-300707847.5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1.25" customHeight="1">
      <c r="A81" s="18"/>
      <c r="B81" s="2">
        <v>56.0</v>
      </c>
      <c r="C81" s="3" t="s">
        <v>84</v>
      </c>
      <c r="D81" s="6">
        <f>56.145*1181522.22</f>
        <v>66336565.04</v>
      </c>
      <c r="E81" s="6">
        <f>56.145*229284.7</f>
        <v>12873189.48</v>
      </c>
      <c r="F81" s="6">
        <f t="shared" si="29"/>
        <v>53463375.56</v>
      </c>
      <c r="G81" s="6">
        <v>0.0</v>
      </c>
      <c r="H81" s="5">
        <v>26.0</v>
      </c>
      <c r="I81" s="6">
        <v>0.0</v>
      </c>
      <c r="J81" s="6">
        <v>0.0</v>
      </c>
      <c r="K81" s="4">
        <f t="shared" si="30"/>
        <v>0</v>
      </c>
      <c r="L81" s="4">
        <f>I81+July!L81</f>
        <v>684910.0473</v>
      </c>
      <c r="M81" s="4">
        <f>J81+July!M81</f>
        <v>1188416.954</v>
      </c>
      <c r="N81" s="4">
        <f t="shared" si="31"/>
        <v>-503506.9064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v>57.0</v>
      </c>
      <c r="C82" s="3" t="s">
        <v>85</v>
      </c>
      <c r="D82" s="6">
        <f>56.145*40167923.34</f>
        <v>2255228056</v>
      </c>
      <c r="E82" s="6">
        <f>56.145*436422.59</f>
        <v>24502946.32</v>
      </c>
      <c r="F82" s="6">
        <f t="shared" si="29"/>
        <v>2230725110</v>
      </c>
      <c r="G82" s="6">
        <v>0.0</v>
      </c>
      <c r="H82" s="5">
        <v>1987.0</v>
      </c>
      <c r="I82" s="6">
        <f>56.145*498.12</f>
        <v>27966.9474</v>
      </c>
      <c r="J82" s="6">
        <f>56.145*304728.22</f>
        <v>17108965.91</v>
      </c>
      <c r="K82" s="4">
        <f t="shared" si="30"/>
        <v>-17080998.96</v>
      </c>
      <c r="L82" s="4">
        <f>I82+July!L82</f>
        <v>268329471.7</v>
      </c>
      <c r="M82" s="4">
        <f>J82+July!M82</f>
        <v>522607394.8</v>
      </c>
      <c r="N82" s="4">
        <f t="shared" si="31"/>
        <v>-254277923.1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86</v>
      </c>
      <c r="D83" s="6">
        <v>2.3997742544985E8</v>
      </c>
      <c r="E83" s="6">
        <v>681384.1417500001</v>
      </c>
      <c r="F83" s="6">
        <f t="shared" si="29"/>
        <v>239296041.3</v>
      </c>
      <c r="G83" s="6">
        <v>0.0</v>
      </c>
      <c r="H83" s="5">
        <v>125.0</v>
      </c>
      <c r="I83" s="6">
        <v>11229.0</v>
      </c>
      <c r="J83" s="4">
        <v>0.0</v>
      </c>
      <c r="K83" s="4">
        <f t="shared" si="30"/>
        <v>11229</v>
      </c>
      <c r="L83" s="4">
        <f>I83+July!L83</f>
        <v>1292024</v>
      </c>
      <c r="M83" s="4">
        <f>J83+July!M83</f>
        <v>2154226.79</v>
      </c>
      <c r="N83" s="4">
        <f t="shared" si="31"/>
        <v>-862202.7904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87</v>
      </c>
      <c r="D84" s="6">
        <f>56.145*8796971.33</f>
        <v>493905955.3</v>
      </c>
      <c r="E84" s="6">
        <f>56.145*120911.27</f>
        <v>6788563.254</v>
      </c>
      <c r="F84" s="6">
        <f t="shared" si="29"/>
        <v>487117392.1</v>
      </c>
      <c r="G84" s="6">
        <v>0.0</v>
      </c>
      <c r="H84" s="5">
        <v>2524.0</v>
      </c>
      <c r="I84" s="6">
        <f>56.145*94890.54</f>
        <v>5327629.368</v>
      </c>
      <c r="J84" s="4">
        <f>56.145*208679.7</f>
        <v>11716321.76</v>
      </c>
      <c r="K84" s="4">
        <f t="shared" si="30"/>
        <v>-6388692.388</v>
      </c>
      <c r="L84" s="4">
        <f>I84+July!L84</f>
        <v>25218422.32</v>
      </c>
      <c r="M84" s="4">
        <f>J84+July!M84</f>
        <v>56631196.88</v>
      </c>
      <c r="N84" s="4">
        <f t="shared" si="31"/>
        <v>-31412774.55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22" t="s">
        <v>88</v>
      </c>
      <c r="B85" s="23"/>
      <c r="C85" s="29"/>
      <c r="D85" s="24">
        <f t="shared" ref="D85:N85" si="32">SUM(D78:D84)</f>
        <v>18894847719</v>
      </c>
      <c r="E85" s="24">
        <f t="shared" si="32"/>
        <v>190115207.6</v>
      </c>
      <c r="F85" s="24">
        <f t="shared" si="32"/>
        <v>18704732512</v>
      </c>
      <c r="G85" s="24">
        <f t="shared" si="32"/>
        <v>0</v>
      </c>
      <c r="H85" s="24">
        <f t="shared" si="32"/>
        <v>14398</v>
      </c>
      <c r="I85" s="24">
        <f t="shared" si="32"/>
        <v>106119788.3</v>
      </c>
      <c r="J85" s="24">
        <f t="shared" si="32"/>
        <v>237047494.3</v>
      </c>
      <c r="K85" s="24">
        <f t="shared" si="32"/>
        <v>-130927706</v>
      </c>
      <c r="L85" s="24">
        <f t="shared" si="32"/>
        <v>1136951495</v>
      </c>
      <c r="M85" s="24">
        <f t="shared" si="32"/>
        <v>6001170438</v>
      </c>
      <c r="N85" s="24">
        <f t="shared" si="32"/>
        <v>-4864218943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v>60.0</v>
      </c>
      <c r="C86" s="3" t="s">
        <v>89</v>
      </c>
      <c r="D86" s="6">
        <f>56.201145*15837266.31</f>
        <v>890072500.3</v>
      </c>
      <c r="E86" s="6">
        <f>56.201145*102039.45</f>
        <v>5734733.925</v>
      </c>
      <c r="F86" s="6">
        <f>D86-E86</f>
        <v>884337766.4</v>
      </c>
      <c r="G86" s="6">
        <v>0.0</v>
      </c>
      <c r="H86" s="5">
        <v>675.0</v>
      </c>
      <c r="I86" s="6">
        <f>56.201145*159258.95</f>
        <v>8950535.341</v>
      </c>
      <c r="J86" s="4">
        <f>56.201145*60442.9</f>
        <v>3396960.187</v>
      </c>
      <c r="K86" s="4">
        <f>I86-J86</f>
        <v>5553575.154</v>
      </c>
      <c r="L86" s="4">
        <f>I86+July!L86</f>
        <v>31165563.42</v>
      </c>
      <c r="M86" s="4">
        <f>J86+July!M86</f>
        <v>74521269.44</v>
      </c>
      <c r="N86" s="4">
        <f>L86-M86</f>
        <v>-43355706.02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22" t="s">
        <v>90</v>
      </c>
      <c r="B87" s="29"/>
      <c r="C87" s="1"/>
      <c r="D87" s="24">
        <f t="shared" ref="D87:N87" si="33">SUM(D86)</f>
        <v>890072500.3</v>
      </c>
      <c r="E87" s="24">
        <f t="shared" si="33"/>
        <v>5734733.925</v>
      </c>
      <c r="F87" s="24">
        <f t="shared" si="33"/>
        <v>884337766.4</v>
      </c>
      <c r="G87" s="24">
        <f t="shared" si="33"/>
        <v>0</v>
      </c>
      <c r="H87" s="24">
        <f t="shared" si="33"/>
        <v>675</v>
      </c>
      <c r="I87" s="24">
        <f t="shared" si="33"/>
        <v>8950535.341</v>
      </c>
      <c r="J87" s="24">
        <f t="shared" si="33"/>
        <v>3396960.187</v>
      </c>
      <c r="K87" s="24">
        <f t="shared" si="33"/>
        <v>5553575.154</v>
      </c>
      <c r="L87" s="24">
        <f t="shared" si="33"/>
        <v>31165563.42</v>
      </c>
      <c r="M87" s="24">
        <f t="shared" si="33"/>
        <v>74521269.44</v>
      </c>
      <c r="N87" s="24">
        <f t="shared" si="33"/>
        <v>-43355706.02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1" t="s">
        <v>91</v>
      </c>
      <c r="B88" s="23"/>
      <c r="C88" s="29"/>
      <c r="D88" s="24">
        <f t="shared" ref="D88:N88" si="34">D76+D85+D87</f>
        <v>74363825658</v>
      </c>
      <c r="E88" s="24">
        <f t="shared" si="34"/>
        <v>1532884087</v>
      </c>
      <c r="F88" s="24">
        <f t="shared" si="34"/>
        <v>72830941571</v>
      </c>
      <c r="G88" s="24">
        <f t="shared" si="34"/>
        <v>940199176</v>
      </c>
      <c r="H88" s="24">
        <f t="shared" si="34"/>
        <v>75803</v>
      </c>
      <c r="I88" s="24">
        <f t="shared" si="34"/>
        <v>598340939.3</v>
      </c>
      <c r="J88" s="24">
        <f t="shared" si="34"/>
        <v>1459238670</v>
      </c>
      <c r="K88" s="24">
        <f t="shared" si="34"/>
        <v>-860897730.6</v>
      </c>
      <c r="L88" s="24">
        <f t="shared" si="34"/>
        <v>4528233363</v>
      </c>
      <c r="M88" s="24">
        <f t="shared" si="34"/>
        <v>17158991328</v>
      </c>
      <c r="N88" s="24">
        <f t="shared" si="34"/>
        <v>-12630757965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92</v>
      </c>
      <c r="B89" s="2"/>
      <c r="C89" s="30"/>
      <c r="D89" s="6"/>
      <c r="E89" s="6"/>
      <c r="F89" s="6"/>
      <c r="G89" s="6"/>
      <c r="H89" s="5"/>
      <c r="I89" s="6"/>
      <c r="J89" s="4"/>
      <c r="K89" s="4"/>
      <c r="L89" s="4"/>
      <c r="M89" s="4"/>
      <c r="N89" s="4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8" t="s">
        <v>20</v>
      </c>
      <c r="B90" s="2"/>
      <c r="C90" s="30"/>
      <c r="D90" s="6"/>
      <c r="E90" s="6"/>
      <c r="F90" s="6"/>
      <c r="G90" s="6"/>
      <c r="H90" s="5"/>
      <c r="I90" s="6"/>
      <c r="J90" s="4"/>
      <c r="K90" s="4"/>
      <c r="L90" s="4"/>
      <c r="M90" s="4"/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/>
      <c r="B91" s="2">
        <v>61.0</v>
      </c>
      <c r="C91" s="3" t="s">
        <v>93</v>
      </c>
      <c r="D91" s="6">
        <v>6.103774618803E10</v>
      </c>
      <c r="E91" s="6">
        <v>3.418042765E7</v>
      </c>
      <c r="F91" s="6">
        <f t="shared" ref="F91:F93" si="35">D91-E91</f>
        <v>61003565760</v>
      </c>
      <c r="G91" s="6">
        <v>0.0</v>
      </c>
      <c r="H91" s="5">
        <v>34268.0</v>
      </c>
      <c r="I91" s="6">
        <v>3.84599700264E9</v>
      </c>
      <c r="J91" s="4">
        <v>3.93191012041E9</v>
      </c>
      <c r="K91" s="4">
        <f t="shared" ref="K91:K93" si="36">I91-J91</f>
        <v>-85913117.77</v>
      </c>
      <c r="L91" s="4">
        <f>I91+July!L91</f>
        <v>25492570001</v>
      </c>
      <c r="M91" s="4">
        <f>J91+July!M91</f>
        <v>24141834878</v>
      </c>
      <c r="N91" s="4">
        <f t="shared" ref="N91:N93" si="37">L91-M91</f>
        <v>1350735123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94</v>
      </c>
      <c r="D92" s="6">
        <v>2.74438439772E9</v>
      </c>
      <c r="E92" s="6">
        <v>2488775.27</v>
      </c>
      <c r="F92" s="6">
        <f t="shared" si="35"/>
        <v>2741895622</v>
      </c>
      <c r="G92" s="6">
        <v>0.0</v>
      </c>
      <c r="H92" s="5">
        <v>647.0</v>
      </c>
      <c r="I92" s="6">
        <v>2.4909023741E8</v>
      </c>
      <c r="J92" s="4">
        <v>4.5950519044E8</v>
      </c>
      <c r="K92" s="4">
        <f t="shared" si="36"/>
        <v>-210414953</v>
      </c>
      <c r="L92" s="4">
        <f>I92+July!L92</f>
        <v>2021591461</v>
      </c>
      <c r="M92" s="4">
        <f>J92+July!M92</f>
        <v>2072899501</v>
      </c>
      <c r="N92" s="4">
        <f t="shared" si="37"/>
        <v>-51308040.48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/>
      <c r="B93" s="2">
        <v>63.0</v>
      </c>
      <c r="C93" s="3" t="s">
        <v>95</v>
      </c>
      <c r="D93" s="6">
        <v>1.0940263074398E11</v>
      </c>
      <c r="E93" s="6">
        <v>1.38789186294E9</v>
      </c>
      <c r="F93" s="6">
        <f t="shared" si="35"/>
        <v>108014738881</v>
      </c>
      <c r="G93" s="6">
        <v>0.0</v>
      </c>
      <c r="H93" s="5">
        <v>61748.0</v>
      </c>
      <c r="I93" s="6">
        <v>9.77490243261E9</v>
      </c>
      <c r="J93" s="4">
        <v>2.374239570212E10</v>
      </c>
      <c r="K93" s="4">
        <f t="shared" si="36"/>
        <v>-13967493270</v>
      </c>
      <c r="L93" s="4">
        <f>I93+July!L93</f>
        <v>128638456167</v>
      </c>
      <c r="M93" s="4">
        <f>J93+July!M93</f>
        <v>149062782749</v>
      </c>
      <c r="N93" s="4">
        <f t="shared" si="37"/>
        <v>-20424326582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2" t="s">
        <v>44</v>
      </c>
      <c r="B94" s="2"/>
      <c r="C94" s="3"/>
      <c r="D94" s="24">
        <f t="shared" ref="D94:N94" si="38">SUM(D91:D93)</f>
        <v>173184761330</v>
      </c>
      <c r="E94" s="24">
        <f t="shared" si="38"/>
        <v>1424561066</v>
      </c>
      <c r="F94" s="24">
        <f t="shared" si="38"/>
        <v>171760200264</v>
      </c>
      <c r="G94" s="24">
        <f t="shared" si="38"/>
        <v>0</v>
      </c>
      <c r="H94" s="24">
        <f t="shared" si="38"/>
        <v>96663</v>
      </c>
      <c r="I94" s="24">
        <f t="shared" si="38"/>
        <v>13869989673</v>
      </c>
      <c r="J94" s="24">
        <f t="shared" si="38"/>
        <v>28133811013</v>
      </c>
      <c r="K94" s="24">
        <f t="shared" si="38"/>
        <v>-14263821340</v>
      </c>
      <c r="L94" s="24">
        <f t="shared" si="38"/>
        <v>156152617629</v>
      </c>
      <c r="M94" s="24">
        <f t="shared" si="38"/>
        <v>175277517129</v>
      </c>
      <c r="N94" s="24">
        <f t="shared" si="38"/>
        <v>-19124899500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45</v>
      </c>
      <c r="B95" s="2"/>
      <c r="C95" s="3"/>
      <c r="D95" s="6"/>
      <c r="E95" s="6"/>
      <c r="F95" s="6"/>
      <c r="G95" s="6"/>
      <c r="H95" s="5"/>
      <c r="I95" s="6"/>
      <c r="J95" s="4"/>
      <c r="K95" s="4"/>
      <c r="L95" s="4"/>
      <c r="M95" s="4"/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64.0</v>
      </c>
      <c r="C96" s="3" t="s">
        <v>96</v>
      </c>
      <c r="D96" s="6">
        <f>56.145*181719747.53</f>
        <v>10202655225</v>
      </c>
      <c r="E96" s="6">
        <f>56.145*2003477.5</f>
        <v>112485244.2</v>
      </c>
      <c r="F96" s="6">
        <f>D96-E96</f>
        <v>10090169981</v>
      </c>
      <c r="G96" s="6">
        <v>0.0</v>
      </c>
      <c r="H96" s="5">
        <v>3198.0</v>
      </c>
      <c r="I96" s="6">
        <f>56.145*18623238.31</f>
        <v>1045601715</v>
      </c>
      <c r="J96" s="6">
        <f>56.145*83405554.82</f>
        <v>4682804875</v>
      </c>
      <c r="K96" s="4">
        <f>I96-J96</f>
        <v>-3637203160</v>
      </c>
      <c r="L96" s="4">
        <f>I96+July!L96</f>
        <v>20495513940</v>
      </c>
      <c r="M96" s="4">
        <f>J96+July!M96</f>
        <v>21155519146</v>
      </c>
      <c r="N96" s="4">
        <f>L96-M96</f>
        <v>-660005206.4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2" t="s">
        <v>88</v>
      </c>
      <c r="B97" s="2"/>
      <c r="C97" s="3"/>
      <c r="D97" s="24">
        <f t="shared" ref="D97:N97" si="39">SUM(D96)</f>
        <v>10202655225</v>
      </c>
      <c r="E97" s="24">
        <f t="shared" si="39"/>
        <v>112485244.2</v>
      </c>
      <c r="F97" s="24">
        <f t="shared" si="39"/>
        <v>10090169981</v>
      </c>
      <c r="G97" s="24">
        <f t="shared" si="39"/>
        <v>0</v>
      </c>
      <c r="H97" s="24">
        <f t="shared" si="39"/>
        <v>3198</v>
      </c>
      <c r="I97" s="24">
        <f t="shared" si="39"/>
        <v>1045601715</v>
      </c>
      <c r="J97" s="24">
        <f t="shared" si="39"/>
        <v>4682804875</v>
      </c>
      <c r="K97" s="24">
        <f t="shared" si="39"/>
        <v>-3637203160</v>
      </c>
      <c r="L97" s="24">
        <f t="shared" si="39"/>
        <v>20495513940</v>
      </c>
      <c r="M97" s="24">
        <f t="shared" si="39"/>
        <v>21155519146</v>
      </c>
      <c r="N97" s="24">
        <f t="shared" si="39"/>
        <v>-660005206.4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 t="s">
        <v>97</v>
      </c>
      <c r="B98" s="2"/>
      <c r="C98" s="3"/>
      <c r="D98" s="24">
        <f t="shared" ref="D98:N98" si="40">D94+D97</f>
        <v>183387416555</v>
      </c>
      <c r="E98" s="24">
        <f t="shared" si="40"/>
        <v>1537046310</v>
      </c>
      <c r="F98" s="24">
        <f t="shared" si="40"/>
        <v>181850370245</v>
      </c>
      <c r="G98" s="24">
        <f t="shared" si="40"/>
        <v>0</v>
      </c>
      <c r="H98" s="24">
        <f t="shared" si="40"/>
        <v>99861</v>
      </c>
      <c r="I98" s="24">
        <f t="shared" si="40"/>
        <v>14915591388</v>
      </c>
      <c r="J98" s="24">
        <f t="shared" si="40"/>
        <v>32816615888</v>
      </c>
      <c r="K98" s="24">
        <f t="shared" si="40"/>
        <v>-17901024501</v>
      </c>
      <c r="L98" s="24">
        <f t="shared" si="40"/>
        <v>176648131569</v>
      </c>
      <c r="M98" s="24">
        <f t="shared" si="40"/>
        <v>196433036275</v>
      </c>
      <c r="N98" s="24">
        <f t="shared" si="40"/>
        <v>-19784904706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 t="s">
        <v>98</v>
      </c>
      <c r="B99" s="2"/>
      <c r="C99" s="3"/>
      <c r="D99" s="6"/>
      <c r="E99" s="6"/>
      <c r="F99" s="6"/>
      <c r="G99" s="6"/>
      <c r="H99" s="5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8" t="s">
        <v>99</v>
      </c>
      <c r="B100" s="2"/>
      <c r="C100" s="3"/>
      <c r="D100" s="6"/>
      <c r="E100" s="6"/>
      <c r="F100" s="6"/>
      <c r="G100" s="6"/>
      <c r="H100" s="5"/>
      <c r="I100" s="6"/>
      <c r="J100" s="6"/>
      <c r="K100" s="4"/>
      <c r="L100" s="4"/>
      <c r="M100" s="4"/>
      <c r="N100" s="4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8"/>
      <c r="B101" s="2">
        <v>65.0</v>
      </c>
      <c r="C101" s="3" t="s">
        <v>100</v>
      </c>
      <c r="D101" s="6">
        <v>9.35320640936E9</v>
      </c>
      <c r="E101" s="6">
        <v>1.755288761E7</v>
      </c>
      <c r="F101" s="6">
        <f t="shared" ref="F101:F102" si="41">D101-E101</f>
        <v>9335653522</v>
      </c>
      <c r="G101" s="6">
        <v>0.0</v>
      </c>
      <c r="H101" s="5">
        <v>40605.0</v>
      </c>
      <c r="I101" s="6">
        <v>2.4969330303E8</v>
      </c>
      <c r="J101" s="6">
        <v>6.503458108E7</v>
      </c>
      <c r="K101" s="4">
        <f t="shared" ref="K101:K102" si="42">I101-J101</f>
        <v>184658722</v>
      </c>
      <c r="L101" s="4">
        <f>I101+July!L101</f>
        <v>2978160265</v>
      </c>
      <c r="M101" s="4">
        <f>J101+July!M101</f>
        <v>672522295.2</v>
      </c>
      <c r="N101" s="4">
        <f t="shared" ref="N101:N102" si="43">L101-M101</f>
        <v>2305637970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/>
      <c r="B102" s="2">
        <v>66.0</v>
      </c>
      <c r="C102" s="3" t="s">
        <v>101</v>
      </c>
      <c r="D102" s="6">
        <v>3.42262474597E9</v>
      </c>
      <c r="E102" s="6">
        <v>3.217697427E7</v>
      </c>
      <c r="F102" s="6">
        <f t="shared" si="41"/>
        <v>3390447772</v>
      </c>
      <c r="G102" s="6">
        <v>0.0</v>
      </c>
      <c r="H102" s="5">
        <v>5694.0</v>
      </c>
      <c r="I102" s="6">
        <v>9.991238216E7</v>
      </c>
      <c r="J102" s="6">
        <v>9.610086782E7</v>
      </c>
      <c r="K102" s="4">
        <f t="shared" si="42"/>
        <v>3811514.34</v>
      </c>
      <c r="L102" s="4">
        <f>I102+July!L102</f>
        <v>1035438421</v>
      </c>
      <c r="M102" s="4">
        <f>J102+July!M102</f>
        <v>1088032502</v>
      </c>
      <c r="N102" s="4">
        <f t="shared" si="43"/>
        <v>-52594080.13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22" t="s">
        <v>44</v>
      </c>
      <c r="B103" s="2"/>
      <c r="C103" s="3"/>
      <c r="D103" s="24">
        <f t="shared" ref="D103:N103" si="44">D101+D102</f>
        <v>12775831155</v>
      </c>
      <c r="E103" s="24">
        <f t="shared" si="44"/>
        <v>49729861.88</v>
      </c>
      <c r="F103" s="24">
        <f t="shared" si="44"/>
        <v>12726101293</v>
      </c>
      <c r="G103" s="24">
        <f t="shared" si="44"/>
        <v>0</v>
      </c>
      <c r="H103" s="24">
        <f t="shared" si="44"/>
        <v>46299</v>
      </c>
      <c r="I103" s="24">
        <f t="shared" si="44"/>
        <v>349605685.2</v>
      </c>
      <c r="J103" s="24">
        <f t="shared" si="44"/>
        <v>161135448.9</v>
      </c>
      <c r="K103" s="24">
        <f t="shared" si="44"/>
        <v>188470236.3</v>
      </c>
      <c r="L103" s="24">
        <f t="shared" si="44"/>
        <v>4013598686</v>
      </c>
      <c r="M103" s="24">
        <f t="shared" si="44"/>
        <v>1760554797</v>
      </c>
      <c r="N103" s="24">
        <f t="shared" si="44"/>
        <v>2253043890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 t="s">
        <v>102</v>
      </c>
      <c r="B104" s="2"/>
      <c r="C104" s="3"/>
      <c r="D104" s="6"/>
      <c r="E104" s="6"/>
      <c r="F104" s="6"/>
      <c r="G104" s="6"/>
      <c r="H104" s="5"/>
      <c r="I104" s="6"/>
      <c r="J104" s="6"/>
      <c r="K104" s="4"/>
      <c r="L104" s="4"/>
      <c r="M104" s="4"/>
      <c r="N104" s="4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67.0</v>
      </c>
      <c r="C105" s="3" t="s">
        <v>103</v>
      </c>
      <c r="D105" s="6">
        <f>56.145*185189402.73</f>
        <v>10397459016</v>
      </c>
      <c r="E105" s="6">
        <f>56.145*213516.42</f>
        <v>11987879.4</v>
      </c>
      <c r="F105" s="6">
        <f>D105-E105</f>
        <v>10385471137</v>
      </c>
      <c r="G105" s="6">
        <v>0.0</v>
      </c>
      <c r="H105" s="5">
        <v>8525.0</v>
      </c>
      <c r="I105" s="6">
        <f>56.145*2094615.95</f>
        <v>117602212.5</v>
      </c>
      <c r="J105" s="6">
        <f>56.145*2281985.75</f>
        <v>128122089.9</v>
      </c>
      <c r="K105" s="4">
        <f>I105-J105</f>
        <v>-10519877.42</v>
      </c>
      <c r="L105" s="4">
        <f>I105+July!L105</f>
        <v>1474449962</v>
      </c>
      <c r="M105" s="4">
        <f>J105+July!M105</f>
        <v>906956287.4</v>
      </c>
      <c r="N105" s="4">
        <f>L105-M105</f>
        <v>567493674.7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2" t="s">
        <v>88</v>
      </c>
      <c r="B106" s="23"/>
      <c r="C106" s="1"/>
      <c r="D106" s="24">
        <f t="shared" ref="D106:N106" si="45">SUM(D105)</f>
        <v>10397459016</v>
      </c>
      <c r="E106" s="24">
        <f t="shared" si="45"/>
        <v>11987879.4</v>
      </c>
      <c r="F106" s="24">
        <f t="shared" si="45"/>
        <v>10385471137</v>
      </c>
      <c r="G106" s="24">
        <f t="shared" si="45"/>
        <v>0</v>
      </c>
      <c r="H106" s="24">
        <f t="shared" si="45"/>
        <v>8525</v>
      </c>
      <c r="I106" s="24">
        <f t="shared" si="45"/>
        <v>117602212.5</v>
      </c>
      <c r="J106" s="24">
        <f t="shared" si="45"/>
        <v>128122089.9</v>
      </c>
      <c r="K106" s="24">
        <f t="shared" si="45"/>
        <v>-10519877.42</v>
      </c>
      <c r="L106" s="24">
        <f t="shared" si="45"/>
        <v>1474449962</v>
      </c>
      <c r="M106" s="24">
        <f t="shared" si="45"/>
        <v>906956287.4</v>
      </c>
      <c r="N106" s="24">
        <f t="shared" si="45"/>
        <v>567493674.7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" t="s">
        <v>104</v>
      </c>
      <c r="B107" s="31"/>
      <c r="C107" s="29"/>
      <c r="D107" s="24">
        <f t="shared" ref="D107:N107" si="46">SUM(D103+D106)</f>
        <v>23173290172</v>
      </c>
      <c r="E107" s="24">
        <f t="shared" si="46"/>
        <v>61717741.28</v>
      </c>
      <c r="F107" s="24">
        <f t="shared" si="46"/>
        <v>23111572430</v>
      </c>
      <c r="G107" s="24">
        <f t="shared" si="46"/>
        <v>0</v>
      </c>
      <c r="H107" s="24">
        <f t="shared" si="46"/>
        <v>54824</v>
      </c>
      <c r="I107" s="24">
        <f t="shared" si="46"/>
        <v>467207897.7</v>
      </c>
      <c r="J107" s="24">
        <f t="shared" si="46"/>
        <v>289257538.8</v>
      </c>
      <c r="K107" s="24">
        <f t="shared" si="46"/>
        <v>177950358.9</v>
      </c>
      <c r="L107" s="24">
        <f t="shared" si="46"/>
        <v>5488048648</v>
      </c>
      <c r="M107" s="24">
        <f t="shared" si="46"/>
        <v>2667511084</v>
      </c>
      <c r="N107" s="24">
        <f t="shared" si="46"/>
        <v>2820537564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32" t="s">
        <v>105</v>
      </c>
      <c r="B108" s="33"/>
      <c r="C108" s="34"/>
      <c r="D108" s="35">
        <f t="shared" ref="D108:N108" si="47">D38+D62+D88+D98+D107</f>
        <v>368397625922</v>
      </c>
      <c r="E108" s="35">
        <f t="shared" si="47"/>
        <v>4731244674</v>
      </c>
      <c r="F108" s="35">
        <f t="shared" si="47"/>
        <v>363666381248</v>
      </c>
      <c r="G108" s="35">
        <f t="shared" si="47"/>
        <v>72270587019</v>
      </c>
      <c r="H108" s="35">
        <f t="shared" si="47"/>
        <v>825684</v>
      </c>
      <c r="I108" s="35">
        <f t="shared" si="47"/>
        <v>16551775436</v>
      </c>
      <c r="J108" s="35">
        <f t="shared" si="47"/>
        <v>40586134244</v>
      </c>
      <c r="K108" s="35">
        <f t="shared" si="47"/>
        <v>-24034358808</v>
      </c>
      <c r="L108" s="35">
        <f t="shared" si="47"/>
        <v>195859703853</v>
      </c>
      <c r="M108" s="35">
        <f t="shared" si="47"/>
        <v>273560829814</v>
      </c>
      <c r="N108" s="35">
        <f t="shared" si="47"/>
        <v>-77701125961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2.0" customHeight="1">
      <c r="A109" s="3"/>
      <c r="B109" s="2"/>
      <c r="C109" s="36"/>
      <c r="D109" s="4"/>
      <c r="E109" s="4"/>
      <c r="F109" s="4"/>
      <c r="G109" s="4"/>
      <c r="H109" s="5"/>
      <c r="I109" s="6"/>
      <c r="J109" s="4"/>
      <c r="K109" s="4"/>
      <c r="L109" s="4"/>
      <c r="M109" s="4"/>
      <c r="N109" s="4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30"/>
      <c r="B110" s="36"/>
      <c r="C110" s="36"/>
      <c r="D110" s="4"/>
      <c r="E110" s="4"/>
      <c r="F110" s="4"/>
      <c r="G110" s="4"/>
      <c r="H110" s="5"/>
      <c r="I110" s="4"/>
      <c r="J110" s="4"/>
      <c r="K110" s="4"/>
      <c r="L110" s="4"/>
      <c r="M110" s="4"/>
      <c r="N110" s="4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6"/>
      <c r="B111" s="36"/>
      <c r="C111" s="36"/>
      <c r="D111" s="4"/>
      <c r="E111" s="4"/>
      <c r="F111" s="4"/>
      <c r="G111" s="4"/>
      <c r="H111" s="5"/>
      <c r="I111" s="6"/>
      <c r="J111" s="4"/>
      <c r="K111" s="4"/>
      <c r="L111" s="4"/>
      <c r="M111" s="4"/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36"/>
      <c r="B112" s="36"/>
      <c r="C112" s="36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6"/>
      <c r="B113" s="36"/>
      <c r="C113" s="36"/>
      <c r="D113" s="4"/>
      <c r="E113" s="4"/>
      <c r="F113" s="4"/>
      <c r="G113" s="4"/>
      <c r="H113" s="5"/>
      <c r="I113" s="6"/>
      <c r="J113" s="4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6"/>
      <c r="B114" s="36"/>
      <c r="C114" s="36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6"/>
      <c r="B115" s="36"/>
      <c r="C115" s="36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6"/>
      <c r="B116" s="36"/>
      <c r="C116" s="36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6"/>
      <c r="B117" s="36"/>
      <c r="C117" s="36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6"/>
      <c r="B118" s="36"/>
      <c r="C118" s="36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6"/>
      <c r="B119" s="36"/>
      <c r="C119" s="36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3734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0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205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4.30829433653E9</v>
      </c>
      <c r="E9" s="6">
        <v>1.0236662665E8</v>
      </c>
      <c r="F9" s="6">
        <f t="shared" ref="F9:F27" si="1">D9-E9</f>
        <v>4205927710</v>
      </c>
      <c r="G9" s="6">
        <v>3.90449651291E9</v>
      </c>
      <c r="H9" s="5">
        <v>7437.0</v>
      </c>
      <c r="I9" s="6">
        <v>9771880.9</v>
      </c>
      <c r="J9" s="4">
        <v>3.259233769E7</v>
      </c>
      <c r="K9" s="4">
        <f t="shared" ref="K9:K27" si="2">I9-J9</f>
        <v>-22820456.79</v>
      </c>
      <c r="L9" s="4">
        <f>I9+Aug!L9</f>
        <v>140613005.1</v>
      </c>
      <c r="M9" s="4">
        <f>J9+Aug!M9</f>
        <v>346205445.8</v>
      </c>
      <c r="N9" s="4">
        <f t="shared" ref="N9:N27" si="3">L9-M9</f>
        <v>-205592440.8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206</v>
      </c>
      <c r="D10" s="6">
        <v>6.9745435554E8</v>
      </c>
      <c r="E10" s="6">
        <v>1.118142334E7</v>
      </c>
      <c r="F10" s="6">
        <f t="shared" si="1"/>
        <v>686272932.2</v>
      </c>
      <c r="G10" s="6">
        <v>6.3341932306E8</v>
      </c>
      <c r="H10" s="5">
        <v>4300.0</v>
      </c>
      <c r="I10" s="6">
        <v>1.317189736E7</v>
      </c>
      <c r="J10" s="4">
        <v>4680838.260000002</v>
      </c>
      <c r="K10" s="4">
        <f t="shared" si="2"/>
        <v>8491059.1</v>
      </c>
      <c r="L10" s="4">
        <f>I10+Aug!L10</f>
        <v>206533473.3</v>
      </c>
      <c r="M10" s="4">
        <f>J10+Aug!M10</f>
        <v>140676973.1</v>
      </c>
      <c r="N10" s="4">
        <f t="shared" si="3"/>
        <v>65856500.24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207</v>
      </c>
      <c r="D11" s="6">
        <v>9.0896815157E8</v>
      </c>
      <c r="E11" s="6">
        <v>5037843.73</v>
      </c>
      <c r="F11" s="6">
        <f t="shared" si="1"/>
        <v>903930307.8</v>
      </c>
      <c r="G11" s="6">
        <v>8.5472462845E8</v>
      </c>
      <c r="H11" s="5">
        <v>2756.0</v>
      </c>
      <c r="I11" s="6">
        <v>8665863.479999999</v>
      </c>
      <c r="J11" s="4">
        <v>3350628.2199999997</v>
      </c>
      <c r="K11" s="4">
        <f t="shared" si="2"/>
        <v>5315235.26</v>
      </c>
      <c r="L11" s="4">
        <f>I11+Aug!L11</f>
        <v>102427534.8</v>
      </c>
      <c r="M11" s="4">
        <f>J11+Aug!M11</f>
        <v>130097258.1</v>
      </c>
      <c r="N11" s="4">
        <f t="shared" si="3"/>
        <v>-27669723.35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6">
        <v>3.3146595734E8</v>
      </c>
      <c r="E12" s="6">
        <v>9236255.38</v>
      </c>
      <c r="F12" s="6">
        <f t="shared" si="1"/>
        <v>322229702</v>
      </c>
      <c r="G12" s="6">
        <v>2.1393869225E8</v>
      </c>
      <c r="H12" s="5">
        <v>1721.0</v>
      </c>
      <c r="I12" s="6">
        <v>1808720.5</v>
      </c>
      <c r="J12" s="4">
        <v>150446.87</v>
      </c>
      <c r="K12" s="4">
        <f t="shared" si="2"/>
        <v>1658273.63</v>
      </c>
      <c r="L12" s="4">
        <f>I12+Aug!L12</f>
        <v>25151347.2</v>
      </c>
      <c r="M12" s="4">
        <f>J12+Aug!M12</f>
        <v>10962464.32</v>
      </c>
      <c r="N12" s="4">
        <f t="shared" si="3"/>
        <v>14188882.88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208</v>
      </c>
      <c r="D13" s="6">
        <v>4.9199485551E8</v>
      </c>
      <c r="E13" s="6">
        <v>3013295.13</v>
      </c>
      <c r="F13" s="6">
        <f t="shared" si="1"/>
        <v>488981560.4</v>
      </c>
      <c r="G13" s="6">
        <v>3.822574252E8</v>
      </c>
      <c r="H13" s="5">
        <v>1461.0</v>
      </c>
      <c r="I13" s="6">
        <v>577659.045</v>
      </c>
      <c r="J13" s="4">
        <v>911282.79</v>
      </c>
      <c r="K13" s="4">
        <f t="shared" si="2"/>
        <v>-333623.745</v>
      </c>
      <c r="L13" s="4">
        <f>I13+Aug!L13</f>
        <v>28905760.97</v>
      </c>
      <c r="M13" s="4">
        <f>J13+Aug!M13</f>
        <v>15721422.92</v>
      </c>
      <c r="N13" s="4">
        <f t="shared" si="3"/>
        <v>13184338.05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55"/>
      <c r="B14" s="56">
        <v>6.0</v>
      </c>
      <c r="C14" s="55" t="s">
        <v>26</v>
      </c>
      <c r="D14" s="57">
        <v>3.81220897219E9</v>
      </c>
      <c r="E14" s="57">
        <v>2.104260777E7</v>
      </c>
      <c r="F14" s="57">
        <f t="shared" si="1"/>
        <v>3791166364</v>
      </c>
      <c r="G14" s="57">
        <v>3.12540707271E9</v>
      </c>
      <c r="H14" s="58">
        <v>16418.0</v>
      </c>
      <c r="I14" s="57">
        <v>7.1419808312E7</v>
      </c>
      <c r="J14" s="59">
        <v>6162416.47000001</v>
      </c>
      <c r="K14" s="59">
        <f t="shared" si="2"/>
        <v>65257391.84</v>
      </c>
      <c r="L14" s="59">
        <f>I14+Aug!L14</f>
        <v>603974837.6</v>
      </c>
      <c r="M14" s="59">
        <f>J14+Aug!M14</f>
        <v>343567727.5</v>
      </c>
      <c r="N14" s="59">
        <f t="shared" si="3"/>
        <v>260407110</v>
      </c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</row>
    <row r="15" ht="12.0" customHeight="1">
      <c r="A15" s="55"/>
      <c r="B15" s="56">
        <v>7.0</v>
      </c>
      <c r="C15" s="55" t="s">
        <v>209</v>
      </c>
      <c r="D15" s="57">
        <v>8.722708789E7</v>
      </c>
      <c r="E15" s="57">
        <v>2541985.22</v>
      </c>
      <c r="F15" s="57">
        <f t="shared" si="1"/>
        <v>84685102.67</v>
      </c>
      <c r="G15" s="57">
        <v>8.295336911E7</v>
      </c>
      <c r="H15" s="58">
        <v>561.0</v>
      </c>
      <c r="I15" s="57">
        <v>1620277.66</v>
      </c>
      <c r="J15" s="59">
        <v>481689.9</v>
      </c>
      <c r="K15" s="59">
        <f t="shared" si="2"/>
        <v>1138587.76</v>
      </c>
      <c r="L15" s="59">
        <f>I15+Aug!L15</f>
        <v>19358166.12</v>
      </c>
      <c r="M15" s="59">
        <f>J15+Aug!M15</f>
        <v>7261541.301</v>
      </c>
      <c r="N15" s="59">
        <f t="shared" si="3"/>
        <v>12096624.82</v>
      </c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</row>
    <row r="16" ht="12.0" customHeight="1">
      <c r="A16" s="3"/>
      <c r="B16" s="2">
        <v>8.0</v>
      </c>
      <c r="C16" s="3" t="s">
        <v>28</v>
      </c>
      <c r="D16" s="6">
        <v>1.1351387974E8</v>
      </c>
      <c r="E16" s="6">
        <v>1491923.51</v>
      </c>
      <c r="F16" s="6">
        <f t="shared" si="1"/>
        <v>112021956.2</v>
      </c>
      <c r="G16" s="6">
        <v>1.05590697E8</v>
      </c>
      <c r="H16" s="5">
        <v>51.0</v>
      </c>
      <c r="I16" s="50">
        <v>0.0</v>
      </c>
      <c r="J16" s="51">
        <v>0.0</v>
      </c>
      <c r="K16" s="4">
        <f t="shared" si="2"/>
        <v>0</v>
      </c>
      <c r="L16" s="4">
        <f>I16+Aug!L16</f>
        <v>1800100</v>
      </c>
      <c r="M16" s="4">
        <f>J16+Aug!M16</f>
        <v>9705511.39</v>
      </c>
      <c r="N16" s="4">
        <f t="shared" si="3"/>
        <v>-7905411.39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6">
        <v>1.24752572801E9</v>
      </c>
      <c r="E17" s="6">
        <v>7.579622611E7</v>
      </c>
      <c r="F17" s="6">
        <f t="shared" si="1"/>
        <v>1171729502</v>
      </c>
      <c r="G17" s="6">
        <v>1.1850790813E9</v>
      </c>
      <c r="H17" s="5">
        <v>12437.0</v>
      </c>
      <c r="I17" s="6">
        <v>0.0</v>
      </c>
      <c r="J17" s="4">
        <v>3308729.98</v>
      </c>
      <c r="K17" s="4">
        <f t="shared" si="2"/>
        <v>-3308729.98</v>
      </c>
      <c r="L17" s="4">
        <f>I17+Aug!L17</f>
        <v>1345993612</v>
      </c>
      <c r="M17" s="4">
        <f>J17+Aug!M17</f>
        <v>14711618939</v>
      </c>
      <c r="N17" s="4">
        <f t="shared" si="3"/>
        <v>-13365625327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6">
        <v>3.62765603597E9</v>
      </c>
      <c r="E18" s="6">
        <v>2.3141855519E8</v>
      </c>
      <c r="F18" s="6">
        <f t="shared" si="1"/>
        <v>3396237481</v>
      </c>
      <c r="G18" s="6">
        <v>3.17367004336E9</v>
      </c>
      <c r="H18" s="5">
        <v>12391.0</v>
      </c>
      <c r="I18" s="6">
        <v>3008405.13</v>
      </c>
      <c r="J18" s="4">
        <v>1.163453833E7</v>
      </c>
      <c r="K18" s="4">
        <f t="shared" si="2"/>
        <v>-8626133.2</v>
      </c>
      <c r="L18" s="4">
        <f>I18+Aug!L18</f>
        <v>690490079.2</v>
      </c>
      <c r="M18" s="4">
        <f>J18+Aug!M18</f>
        <v>27826654044</v>
      </c>
      <c r="N18" s="4">
        <f t="shared" si="3"/>
        <v>-27136163965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6">
        <v>1.90080382547055E9</v>
      </c>
      <c r="E19" s="6">
        <v>2733678.06399999</v>
      </c>
      <c r="F19" s="6">
        <f t="shared" si="1"/>
        <v>1898070147</v>
      </c>
      <c r="G19" s="6">
        <v>1.57995700162196E9</v>
      </c>
      <c r="H19" s="5">
        <v>5718.0</v>
      </c>
      <c r="I19" s="6">
        <v>7664919.26</v>
      </c>
      <c r="J19" s="4">
        <v>1.051847391E7</v>
      </c>
      <c r="K19" s="4">
        <f t="shared" si="2"/>
        <v>-2853554.65</v>
      </c>
      <c r="L19" s="4">
        <f>I19+Aug!L19</f>
        <v>113061783.2</v>
      </c>
      <c r="M19" s="4">
        <f>J19+Aug!M19</f>
        <v>284992379.2</v>
      </c>
      <c r="N19" s="4">
        <f t="shared" si="3"/>
        <v>-171930596.1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6">
        <v>8.72276178299771E9</v>
      </c>
      <c r="E20" s="6">
        <v>2.44249024794998E7</v>
      </c>
      <c r="F20" s="6">
        <f t="shared" si="1"/>
        <v>8698336881</v>
      </c>
      <c r="G20" s="6">
        <v>7.51844876182E9</v>
      </c>
      <c r="H20" s="5">
        <v>36702.0</v>
      </c>
      <c r="I20" s="6">
        <v>2.292740805E7</v>
      </c>
      <c r="J20" s="4">
        <v>3.111736919E7</v>
      </c>
      <c r="K20" s="4">
        <f t="shared" si="2"/>
        <v>-8189961.14</v>
      </c>
      <c r="L20" s="4">
        <f>I20+Aug!L20</f>
        <v>235939505.1</v>
      </c>
      <c r="M20" s="4">
        <f>J20+Aug!M20</f>
        <v>470910584.4</v>
      </c>
      <c r="N20" s="4">
        <f t="shared" si="3"/>
        <v>-234971079.3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6">
        <v>2.77056080367189E8</v>
      </c>
      <c r="E21" s="6">
        <v>748550.270000105</v>
      </c>
      <c r="F21" s="6">
        <f t="shared" si="1"/>
        <v>276307530.1</v>
      </c>
      <c r="G21" s="6">
        <v>2.7350742065E8</v>
      </c>
      <c r="H21" s="5">
        <v>1033.0</v>
      </c>
      <c r="I21" s="6">
        <v>303457.51</v>
      </c>
      <c r="J21" s="4">
        <v>158803.73</v>
      </c>
      <c r="K21" s="4">
        <f t="shared" si="2"/>
        <v>144653.78</v>
      </c>
      <c r="L21" s="4">
        <f>I21+Aug!L21</f>
        <v>6166861.16</v>
      </c>
      <c r="M21" s="4">
        <f>J21+Aug!M21</f>
        <v>4286895.36</v>
      </c>
      <c r="N21" s="4">
        <f t="shared" si="3"/>
        <v>1879965.8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6">
        <v>3.26488643418959E9</v>
      </c>
      <c r="E22" s="6">
        <v>7015403.77679989</v>
      </c>
      <c r="F22" s="6">
        <f t="shared" si="1"/>
        <v>3257871030</v>
      </c>
      <c r="G22" s="6">
        <v>3.24138170660869E9</v>
      </c>
      <c r="H22" s="5">
        <v>27643.0</v>
      </c>
      <c r="I22" s="6">
        <v>2.803426112E7</v>
      </c>
      <c r="J22" s="4">
        <v>2.448953837E7</v>
      </c>
      <c r="K22" s="4">
        <f t="shared" si="2"/>
        <v>3544722.75</v>
      </c>
      <c r="L22" s="4">
        <f>I22+Aug!L22</f>
        <v>370852780.8</v>
      </c>
      <c r="M22" s="4">
        <f>J22+Aug!M22</f>
        <v>301109709</v>
      </c>
      <c r="N22" s="4">
        <f t="shared" si="3"/>
        <v>69743071.81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6">
        <v>8.13239260002E9</v>
      </c>
      <c r="E23" s="6">
        <v>2.461440917E7</v>
      </c>
      <c r="F23" s="6">
        <f t="shared" si="1"/>
        <v>8107778191</v>
      </c>
      <c r="G23" s="6">
        <v>8.08722173575E9</v>
      </c>
      <c r="H23" s="5">
        <v>14884.0</v>
      </c>
      <c r="I23" s="6">
        <v>2263403.51</v>
      </c>
      <c r="J23" s="4">
        <v>4.863305244E7</v>
      </c>
      <c r="K23" s="4">
        <f t="shared" si="2"/>
        <v>-46369648.93</v>
      </c>
      <c r="L23" s="4">
        <f>I23+Aug!L23</f>
        <v>43647584.03</v>
      </c>
      <c r="M23" s="4">
        <f>J23+Aug!M23</f>
        <v>1004368378</v>
      </c>
      <c r="N23" s="4">
        <f t="shared" si="3"/>
        <v>-960720793.5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19" t="s">
        <v>36</v>
      </c>
      <c r="D24" s="6">
        <v>2.52488225802E9</v>
      </c>
      <c r="E24" s="6">
        <v>1.016767175E7</v>
      </c>
      <c r="F24" s="6">
        <f t="shared" si="1"/>
        <v>2514714586</v>
      </c>
      <c r="G24" s="6">
        <v>2.39042416335E9</v>
      </c>
      <c r="H24" s="5">
        <v>12914.0</v>
      </c>
      <c r="I24" s="6">
        <v>3.5659690410000004E7</v>
      </c>
      <c r="J24" s="4">
        <v>2875602.8499999996</v>
      </c>
      <c r="K24" s="4">
        <f t="shared" si="2"/>
        <v>32784087.56</v>
      </c>
      <c r="L24" s="4">
        <f>I24+Aug!L24</f>
        <v>638089084</v>
      </c>
      <c r="M24" s="4">
        <f>J24+Aug!M24</f>
        <v>19298362.01</v>
      </c>
      <c r="N24" s="4">
        <f t="shared" si="3"/>
        <v>618790721.9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v>17.0</v>
      </c>
      <c r="C25" s="21" t="s">
        <v>37</v>
      </c>
      <c r="D25" s="6">
        <v>6.52962248791E9</v>
      </c>
      <c r="E25" s="6">
        <v>4.978248987E7</v>
      </c>
      <c r="F25" s="6">
        <f t="shared" si="1"/>
        <v>6479839998</v>
      </c>
      <c r="G25" s="6">
        <v>6.24339610505E9</v>
      </c>
      <c r="H25" s="5">
        <v>66208.0</v>
      </c>
      <c r="I25" s="6">
        <v>8.265329146E7</v>
      </c>
      <c r="J25" s="4">
        <v>5.623471238E7</v>
      </c>
      <c r="K25" s="4">
        <f t="shared" si="2"/>
        <v>26418579.08</v>
      </c>
      <c r="L25" s="4">
        <f>I25+Aug!L25</f>
        <v>855400204.8</v>
      </c>
      <c r="M25" s="4">
        <f>J25+Aug!M25</f>
        <v>626300425.1</v>
      </c>
      <c r="N25" s="4">
        <f t="shared" si="3"/>
        <v>229099779.8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v>18.0</v>
      </c>
      <c r="C26" s="21" t="s">
        <v>38</v>
      </c>
      <c r="D26" s="6">
        <v>1.023456798359E10</v>
      </c>
      <c r="E26" s="6">
        <v>1.2374949892E8</v>
      </c>
      <c r="F26" s="6">
        <f t="shared" si="1"/>
        <v>10110818485</v>
      </c>
      <c r="G26" s="6">
        <v>1.003968553732E10</v>
      </c>
      <c r="H26" s="5">
        <v>56656.0</v>
      </c>
      <c r="I26" s="6">
        <v>1.8691312928E8</v>
      </c>
      <c r="J26" s="4">
        <v>1.2974089572E8</v>
      </c>
      <c r="K26" s="4">
        <f t="shared" si="2"/>
        <v>57172233.56</v>
      </c>
      <c r="L26" s="4">
        <f>I26+Aug!L26</f>
        <v>2237340257</v>
      </c>
      <c r="M26" s="4">
        <f>J26+Aug!M26</f>
        <v>1599255913</v>
      </c>
      <c r="N26" s="4">
        <f t="shared" si="3"/>
        <v>638084344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6">
        <v>5.322935103580004E8</v>
      </c>
      <c r="E27" s="6">
        <v>2591124.2399999956</v>
      </c>
      <c r="F27" s="6">
        <f t="shared" si="1"/>
        <v>529702386.1</v>
      </c>
      <c r="G27" s="6">
        <v>4.743724036000004E8</v>
      </c>
      <c r="H27" s="5">
        <v>1307.0</v>
      </c>
      <c r="I27" s="6">
        <v>2023742.41</v>
      </c>
      <c r="J27" s="4">
        <v>333883.76</v>
      </c>
      <c r="K27" s="4">
        <f t="shared" si="2"/>
        <v>1689858.65</v>
      </c>
      <c r="L27" s="4">
        <f>I27+Aug!L27</f>
        <v>15513884.43</v>
      </c>
      <c r="M27" s="4">
        <f>J27+Aug!M27</f>
        <v>8469501.42</v>
      </c>
      <c r="N27" s="4">
        <f t="shared" si="3"/>
        <v>7044383.01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5"/>
      <c r="I28" s="6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3"/>
      <c r="B29" s="2">
        <v>20.0</v>
      </c>
      <c r="C29" s="3" t="s">
        <v>41</v>
      </c>
      <c r="D29" s="6">
        <v>3.09832292630001E8</v>
      </c>
      <c r="E29" s="6">
        <v>1743603.849</v>
      </c>
      <c r="F29" s="6">
        <f t="shared" ref="F29:F30" si="4">D29-E29</f>
        <v>308088688.8</v>
      </c>
      <c r="G29" s="6">
        <v>2.6978870345E8</v>
      </c>
      <c r="H29" s="5">
        <v>1439.0</v>
      </c>
      <c r="I29" s="6">
        <v>9566232.6</v>
      </c>
      <c r="J29" s="4">
        <v>1409970.65</v>
      </c>
      <c r="K29" s="4">
        <f t="shared" ref="K29:K30" si="5">I29-J29</f>
        <v>8156261.95</v>
      </c>
      <c r="L29" s="4">
        <f>I29+Aug!L29</f>
        <v>86237198.87</v>
      </c>
      <c r="M29" s="4">
        <f>J29+Aug!M29</f>
        <v>28800803.2</v>
      </c>
      <c r="N29" s="4">
        <f t="shared" ref="N29:N30" si="6">L29-M29</f>
        <v>57436395.67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35</v>
      </c>
      <c r="D30" s="6">
        <v>3.9891623788E8</v>
      </c>
      <c r="E30" s="6">
        <v>1.147665468E7</v>
      </c>
      <c r="F30" s="6">
        <f t="shared" si="4"/>
        <v>387439583.2</v>
      </c>
      <c r="G30" s="6">
        <v>3.860430135E8</v>
      </c>
      <c r="H30" s="5">
        <v>243013.0</v>
      </c>
      <c r="I30" s="6">
        <v>4.484957588E7</v>
      </c>
      <c r="J30" s="4">
        <v>1.03154368E7</v>
      </c>
      <c r="K30" s="4">
        <f t="shared" si="5"/>
        <v>34534139.08</v>
      </c>
      <c r="L30" s="4">
        <f>I30+Aug!L30</f>
        <v>596347395.5</v>
      </c>
      <c r="M30" s="4">
        <f>J30+Aug!M30</f>
        <v>128056027.3</v>
      </c>
      <c r="N30" s="4">
        <f t="shared" si="6"/>
        <v>468291368.2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18" t="s">
        <v>42</v>
      </c>
      <c r="B31" s="2"/>
      <c r="C31" s="3"/>
      <c r="D31" s="6"/>
      <c r="E31" s="6"/>
      <c r="F31" s="6"/>
      <c r="G31" s="6"/>
      <c r="H31" s="5"/>
      <c r="I31" s="6"/>
      <c r="J31" s="4"/>
      <c r="K31" s="4"/>
      <c r="L31" s="4"/>
      <c r="M31" s="4"/>
      <c r="N31" s="4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1.25" customHeight="1">
      <c r="A32" s="3"/>
      <c r="B32" s="2">
        <v>22.0</v>
      </c>
      <c r="C32" s="3" t="s">
        <v>43</v>
      </c>
      <c r="D32" s="6">
        <v>1.93816124318E9</v>
      </c>
      <c r="E32" s="6">
        <v>1.775028984E7</v>
      </c>
      <c r="F32" s="6">
        <f>D32-E32</f>
        <v>1920410953</v>
      </c>
      <c r="G32" s="6">
        <v>1.91062385162E9</v>
      </c>
      <c r="H32" s="5">
        <v>3267.0</v>
      </c>
      <c r="I32" s="6">
        <v>4.0625523E7</v>
      </c>
      <c r="J32" s="4">
        <v>0.0</v>
      </c>
      <c r="K32" s="4">
        <f>I32-J32</f>
        <v>40625523</v>
      </c>
      <c r="L32" s="4">
        <f>I32+Aug!L32</f>
        <v>346880690</v>
      </c>
      <c r="M32" s="4">
        <f>J32+Aug!M32</f>
        <v>203031950</v>
      </c>
      <c r="N32" s="4">
        <f>L32-M32</f>
        <v>143848740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22" t="s">
        <v>44</v>
      </c>
      <c r="B33" s="23"/>
      <c r="C33" s="1"/>
      <c r="D33" s="24">
        <f t="shared" ref="D33:N33" si="7">SUM(D9:D32)</f>
        <v>60392486097</v>
      </c>
      <c r="E33" s="24">
        <f t="shared" si="7"/>
        <v>739925018.9</v>
      </c>
      <c r="F33" s="24">
        <f t="shared" si="7"/>
        <v>59652561078</v>
      </c>
      <c r="G33" s="24">
        <f t="shared" si="7"/>
        <v>56076387250</v>
      </c>
      <c r="H33" s="24">
        <f t="shared" si="7"/>
        <v>530317</v>
      </c>
      <c r="I33" s="24">
        <f t="shared" si="7"/>
        <v>573529146.9</v>
      </c>
      <c r="J33" s="24">
        <f t="shared" si="7"/>
        <v>379100648.3</v>
      </c>
      <c r="K33" s="24">
        <f t="shared" si="7"/>
        <v>194428498.6</v>
      </c>
      <c r="L33" s="24">
        <f t="shared" si="7"/>
        <v>8710725145</v>
      </c>
      <c r="M33" s="24">
        <f t="shared" si="7"/>
        <v>48221352254</v>
      </c>
      <c r="N33" s="24">
        <f t="shared" si="7"/>
        <v>-39510627110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2.0" customHeight="1">
      <c r="A34" s="18" t="s">
        <v>45</v>
      </c>
      <c r="B34" s="2"/>
      <c r="C34" s="3"/>
      <c r="D34" s="6"/>
      <c r="E34" s="6"/>
      <c r="F34" s="6"/>
      <c r="G34" s="6"/>
      <c r="H34" s="5"/>
      <c r="I34" s="6"/>
      <c r="J34" s="4"/>
      <c r="K34" s="4"/>
      <c r="L34" s="4"/>
      <c r="M34" s="4"/>
      <c r="N34" s="4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2.0" customHeight="1">
      <c r="A35" s="3"/>
      <c r="B35" s="2">
        <v>23.0</v>
      </c>
      <c r="C35" s="3" t="s">
        <v>210</v>
      </c>
      <c r="D35" s="6">
        <v>3.70695524675E7</v>
      </c>
      <c r="E35" s="6">
        <v>962678.1937500001</v>
      </c>
      <c r="F35" s="6">
        <f t="shared" ref="F35:F36" si="8">D35-E35</f>
        <v>36106874.27</v>
      </c>
      <c r="G35" s="27">
        <v>0.0</v>
      </c>
      <c r="H35" s="5">
        <v>57.0</v>
      </c>
      <c r="I35" s="6">
        <v>116928.15</v>
      </c>
      <c r="J35" s="4">
        <v>0.0</v>
      </c>
      <c r="K35" s="4">
        <f t="shared" ref="K35:K36" si="9">I35-J35</f>
        <v>116928.15</v>
      </c>
      <c r="L35" s="4">
        <f>I35+Aug!L35</f>
        <v>1173618.44</v>
      </c>
      <c r="M35" s="4">
        <f>J35+Aug!M35</f>
        <v>5570351.08</v>
      </c>
      <c r="N35" s="4">
        <f t="shared" ref="N35:N36" si="10">L35-M35</f>
        <v>-4396732.64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47</v>
      </c>
      <c r="D36" s="6">
        <f>58.625*30825597.53</f>
        <v>1807150655</v>
      </c>
      <c r="E36" s="6">
        <f>58.625*602505.76</f>
        <v>35321900.18</v>
      </c>
      <c r="F36" s="6">
        <f t="shared" si="8"/>
        <v>1771828755</v>
      </c>
      <c r="G36" s="6">
        <v>0.0</v>
      </c>
      <c r="H36" s="5">
        <v>2844.0</v>
      </c>
      <c r="I36" s="6">
        <f>58.625*74251.34</f>
        <v>4352984.808</v>
      </c>
      <c r="J36" s="6">
        <f>58.625*880300.41</f>
        <v>51607611.54</v>
      </c>
      <c r="K36" s="4">
        <f t="shared" si="9"/>
        <v>-47254626.73</v>
      </c>
      <c r="L36" s="4">
        <f>I36+Aug!L36</f>
        <v>278428327</v>
      </c>
      <c r="M36" s="4">
        <f>J36+Aug!M36</f>
        <v>318481264.1</v>
      </c>
      <c r="N36" s="4">
        <f t="shared" si="10"/>
        <v>-40052937.09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22" t="s">
        <v>48</v>
      </c>
      <c r="B37" s="23"/>
      <c r="C37" s="1"/>
      <c r="D37" s="24">
        <f t="shared" ref="D37:N37" si="11">SUM(D35:D36)</f>
        <v>1844220208</v>
      </c>
      <c r="E37" s="24">
        <f t="shared" si="11"/>
        <v>36284578.37</v>
      </c>
      <c r="F37" s="24">
        <f t="shared" si="11"/>
        <v>1807935629</v>
      </c>
      <c r="G37" s="24">
        <f t="shared" si="11"/>
        <v>0</v>
      </c>
      <c r="H37" s="24">
        <f t="shared" si="11"/>
        <v>2901</v>
      </c>
      <c r="I37" s="24">
        <f t="shared" si="11"/>
        <v>4469912.958</v>
      </c>
      <c r="J37" s="24">
        <f t="shared" si="11"/>
        <v>51607611.54</v>
      </c>
      <c r="K37" s="24">
        <f t="shared" si="11"/>
        <v>-47137698.58</v>
      </c>
      <c r="L37" s="24">
        <f t="shared" si="11"/>
        <v>279601945.4</v>
      </c>
      <c r="M37" s="24">
        <f t="shared" si="11"/>
        <v>324051615.2</v>
      </c>
      <c r="N37" s="24">
        <f t="shared" si="11"/>
        <v>-44449669.73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2.0" customHeight="1">
      <c r="A38" s="1" t="s">
        <v>49</v>
      </c>
      <c r="B38" s="23"/>
      <c r="C38" s="1"/>
      <c r="D38" s="24">
        <f t="shared" ref="D38:N38" si="12">D33+D37</f>
        <v>62236706305</v>
      </c>
      <c r="E38" s="24">
        <f t="shared" si="12"/>
        <v>776209597.3</v>
      </c>
      <c r="F38" s="24">
        <f t="shared" si="12"/>
        <v>61460496707</v>
      </c>
      <c r="G38" s="24">
        <f t="shared" si="12"/>
        <v>56076387250</v>
      </c>
      <c r="H38" s="24">
        <f t="shared" si="12"/>
        <v>533218</v>
      </c>
      <c r="I38" s="24">
        <f t="shared" si="12"/>
        <v>577999059.8</v>
      </c>
      <c r="J38" s="24">
        <f t="shared" si="12"/>
        <v>430708259.8</v>
      </c>
      <c r="K38" s="24">
        <f t="shared" si="12"/>
        <v>147290800</v>
      </c>
      <c r="L38" s="24">
        <f t="shared" si="12"/>
        <v>8990327090</v>
      </c>
      <c r="M38" s="24">
        <f t="shared" si="12"/>
        <v>48545403870</v>
      </c>
      <c r="N38" s="24">
        <f t="shared" si="12"/>
        <v>-39555076780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50</v>
      </c>
      <c r="B39" s="2"/>
      <c r="C39" s="3"/>
      <c r="D39" s="6"/>
      <c r="E39" s="6"/>
      <c r="F39" s="6"/>
      <c r="G39" s="6"/>
      <c r="H39" s="5"/>
      <c r="I39" s="6"/>
      <c r="J39" s="4"/>
      <c r="K39" s="4"/>
      <c r="L39" s="4"/>
      <c r="M39" s="4"/>
      <c r="N39" s="4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ht="12.0" customHeight="1">
      <c r="A40" s="18" t="s">
        <v>20</v>
      </c>
      <c r="B40" s="2"/>
      <c r="C40" s="3"/>
      <c r="D40" s="6"/>
      <c r="E40" s="6"/>
      <c r="F40" s="6"/>
      <c r="G40" s="6"/>
      <c r="H40" s="5"/>
      <c r="I40" s="6"/>
      <c r="J40" s="4"/>
      <c r="K40" s="4"/>
      <c r="L40" s="4"/>
      <c r="M40" s="4"/>
      <c r="N40" s="4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/>
      <c r="B41" s="2">
        <v>25.0</v>
      </c>
      <c r="C41" s="3" t="s">
        <v>211</v>
      </c>
      <c r="D41" s="6">
        <v>1.3327631450000001E8</v>
      </c>
      <c r="E41" s="6">
        <v>1.768285224E7</v>
      </c>
      <c r="F41" s="6">
        <f t="shared" ref="F41:F50" si="13">D41-E41</f>
        <v>115593462.3</v>
      </c>
      <c r="G41" s="6">
        <v>3.81115974E7</v>
      </c>
      <c r="H41" s="5">
        <v>724.0</v>
      </c>
      <c r="I41" s="6">
        <v>564749.7100000001</v>
      </c>
      <c r="J41" s="4">
        <v>157717.14</v>
      </c>
      <c r="K41" s="4">
        <f t="shared" ref="K41:K50" si="14">I41-J41</f>
        <v>407032.57</v>
      </c>
      <c r="L41" s="4">
        <f>I41+Aug!L41</f>
        <v>10580779.83</v>
      </c>
      <c r="M41" s="4">
        <f>J41+Aug!M41</f>
        <v>4208864.6</v>
      </c>
      <c r="N41" s="4">
        <f t="shared" ref="N41:N50" si="15">L41-M41</f>
        <v>6371915.23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3"/>
      <c r="B42" s="2">
        <v>26.0</v>
      </c>
      <c r="C42" s="3" t="s">
        <v>212</v>
      </c>
      <c r="D42" s="6">
        <v>6.266987179399999E8</v>
      </c>
      <c r="E42" s="6">
        <v>5.64429316E7</v>
      </c>
      <c r="F42" s="6">
        <f t="shared" si="13"/>
        <v>570255786.3</v>
      </c>
      <c r="G42" s="6">
        <v>2.530214707E8</v>
      </c>
      <c r="H42" s="5">
        <v>2454.0</v>
      </c>
      <c r="I42" s="6">
        <v>963919.5800000001</v>
      </c>
      <c r="J42" s="4">
        <v>1.575377379E7</v>
      </c>
      <c r="K42" s="4">
        <f t="shared" si="14"/>
        <v>-14789854.21</v>
      </c>
      <c r="L42" s="4">
        <f>I42+Aug!L42</f>
        <v>13381258.27</v>
      </c>
      <c r="M42" s="4">
        <f>J42+Aug!M42</f>
        <v>59171473.51</v>
      </c>
      <c r="N42" s="4">
        <f t="shared" si="15"/>
        <v>-45790215.24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55"/>
      <c r="B43" s="56">
        <v>27.0</v>
      </c>
      <c r="C43" s="55" t="s">
        <v>53</v>
      </c>
      <c r="D43" s="57">
        <v>1.00433367099E9</v>
      </c>
      <c r="E43" s="57">
        <v>3854414.33</v>
      </c>
      <c r="F43" s="57">
        <f t="shared" si="13"/>
        <v>1000479257</v>
      </c>
      <c r="G43" s="57">
        <v>4.785771669E8</v>
      </c>
      <c r="H43" s="58">
        <v>4779.0</v>
      </c>
      <c r="I43" s="57">
        <v>8917940.8178</v>
      </c>
      <c r="J43" s="59">
        <v>4094241.82</v>
      </c>
      <c r="K43" s="59">
        <f t="shared" si="14"/>
        <v>4823698.998</v>
      </c>
      <c r="L43" s="59">
        <f>I43+Aug!L43</f>
        <v>38231534.95</v>
      </c>
      <c r="M43" s="59">
        <f>J43+Aug!M43</f>
        <v>196621586.6</v>
      </c>
      <c r="N43" s="59">
        <f t="shared" si="15"/>
        <v>-158390051.7</v>
      </c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</row>
    <row r="44" ht="12.0" customHeight="1">
      <c r="A44" s="3"/>
      <c r="B44" s="2">
        <v>28.0</v>
      </c>
      <c r="C44" s="3" t="s">
        <v>54</v>
      </c>
      <c r="D44" s="6">
        <v>2.7582462535E8</v>
      </c>
      <c r="E44" s="6">
        <v>950584.41</v>
      </c>
      <c r="F44" s="6">
        <f t="shared" si="13"/>
        <v>274874040.9</v>
      </c>
      <c r="G44" s="6">
        <v>1.3168117088E8</v>
      </c>
      <c r="H44" s="5">
        <v>221.0</v>
      </c>
      <c r="I44" s="6">
        <v>3245110.0</v>
      </c>
      <c r="J44" s="4">
        <v>1778399.17</v>
      </c>
      <c r="K44" s="4">
        <f t="shared" si="14"/>
        <v>1466710.83</v>
      </c>
      <c r="L44" s="4">
        <f>I44+Aug!L44</f>
        <v>311330937.4</v>
      </c>
      <c r="M44" s="4">
        <f>J44+Aug!M44</f>
        <v>26701810.07</v>
      </c>
      <c r="N44" s="4">
        <f t="shared" si="15"/>
        <v>284629127.4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55</v>
      </c>
      <c r="D45" s="6">
        <v>3.1881287856E8</v>
      </c>
      <c r="E45" s="6">
        <v>1598885.2</v>
      </c>
      <c r="F45" s="6">
        <f t="shared" si="13"/>
        <v>317213993.4</v>
      </c>
      <c r="G45" s="6">
        <v>1.3842619436E8</v>
      </c>
      <c r="H45" s="5">
        <v>56.0</v>
      </c>
      <c r="I45" s="6">
        <v>0.0</v>
      </c>
      <c r="J45" s="4">
        <v>0.0</v>
      </c>
      <c r="K45" s="4">
        <f t="shared" si="14"/>
        <v>0</v>
      </c>
      <c r="L45" s="4">
        <f>I45+Aug!L45</f>
        <v>0</v>
      </c>
      <c r="M45" s="4">
        <f>J45+Aug!M45</f>
        <v>2789770.37</v>
      </c>
      <c r="N45" s="4">
        <f t="shared" si="15"/>
        <v>-2789770.37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56</v>
      </c>
      <c r="D46" s="6">
        <v>5.325133712E8</v>
      </c>
      <c r="E46" s="6">
        <v>1.841303654E7</v>
      </c>
      <c r="F46" s="6">
        <f t="shared" si="13"/>
        <v>514100334.7</v>
      </c>
      <c r="G46" s="6">
        <v>2.7336774445E8</v>
      </c>
      <c r="H46" s="5">
        <v>10156.0</v>
      </c>
      <c r="I46" s="6">
        <v>257150.2</v>
      </c>
      <c r="J46" s="4">
        <v>4231104.66</v>
      </c>
      <c r="K46" s="4">
        <f t="shared" si="14"/>
        <v>-3973954.46</v>
      </c>
      <c r="L46" s="4">
        <f>I46+Aug!L46</f>
        <v>5217942.87</v>
      </c>
      <c r="M46" s="4">
        <f>J46+Aug!M46</f>
        <v>45596859.52</v>
      </c>
      <c r="N46" s="4">
        <f t="shared" si="15"/>
        <v>-40378916.65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57</v>
      </c>
      <c r="D47" s="6">
        <v>2.1116285621E9</v>
      </c>
      <c r="E47" s="6">
        <v>1.4246057506E8</v>
      </c>
      <c r="F47" s="6">
        <f t="shared" si="13"/>
        <v>1969167987</v>
      </c>
      <c r="G47" s="6">
        <v>9.5788504825E8</v>
      </c>
      <c r="H47" s="5">
        <v>8299.0</v>
      </c>
      <c r="I47" s="6">
        <v>4333030.59</v>
      </c>
      <c r="J47" s="4">
        <v>1.885327962E7</v>
      </c>
      <c r="K47" s="4">
        <f t="shared" si="14"/>
        <v>-14520249.03</v>
      </c>
      <c r="L47" s="4">
        <f>I47+Aug!L47</f>
        <v>197087922.8</v>
      </c>
      <c r="M47" s="4">
        <f>J47+Aug!M47</f>
        <v>8255344527</v>
      </c>
      <c r="N47" s="4">
        <f t="shared" si="15"/>
        <v>-8058256604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1.25" customHeight="1">
      <c r="A48" s="18"/>
      <c r="B48" s="2">
        <v>32.0</v>
      </c>
      <c r="C48" s="3" t="s">
        <v>213</v>
      </c>
      <c r="D48" s="6">
        <v>1.288819448E8</v>
      </c>
      <c r="E48" s="6">
        <v>284303.48</v>
      </c>
      <c r="F48" s="6">
        <f t="shared" si="13"/>
        <v>128597641.3</v>
      </c>
      <c r="G48" s="6">
        <v>7.70720725E7</v>
      </c>
      <c r="H48" s="5">
        <v>197.0</v>
      </c>
      <c r="I48" s="6">
        <v>25993.27</v>
      </c>
      <c r="J48" s="4">
        <v>104657.76</v>
      </c>
      <c r="K48" s="4">
        <f t="shared" si="14"/>
        <v>-78664.49</v>
      </c>
      <c r="L48" s="4">
        <f>I48+Aug!L48</f>
        <v>3698349.65</v>
      </c>
      <c r="M48" s="4">
        <f>J48+Aug!M48</f>
        <v>6741043.38</v>
      </c>
      <c r="N48" s="4">
        <f t="shared" si="15"/>
        <v>-3042693.73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v>33.0</v>
      </c>
      <c r="C49" s="3" t="s">
        <v>59</v>
      </c>
      <c r="D49" s="6">
        <v>6.92100358919E9</v>
      </c>
      <c r="E49" s="6">
        <v>4.600401844E7</v>
      </c>
      <c r="F49" s="6">
        <f t="shared" si="13"/>
        <v>6874999571</v>
      </c>
      <c r="G49" s="6">
        <v>3.4838526483E9</v>
      </c>
      <c r="H49" s="5">
        <v>53479.0</v>
      </c>
      <c r="I49" s="6">
        <v>1.504931263E7</v>
      </c>
      <c r="J49" s="4">
        <v>2.861207727E7</v>
      </c>
      <c r="K49" s="4">
        <f t="shared" si="14"/>
        <v>-13562764.64</v>
      </c>
      <c r="L49" s="4">
        <f>I49+Aug!L49</f>
        <v>144767852.7</v>
      </c>
      <c r="M49" s="4">
        <f>J49+Aug!M49</f>
        <v>382048659.3</v>
      </c>
      <c r="N49" s="4">
        <f t="shared" si="15"/>
        <v>-237280806.6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60</v>
      </c>
      <c r="D50" s="6">
        <v>1.10126768324E9</v>
      </c>
      <c r="E50" s="6">
        <v>1.780056351E7</v>
      </c>
      <c r="F50" s="6">
        <f t="shared" si="13"/>
        <v>1083467120</v>
      </c>
      <c r="G50" s="6">
        <v>6.0762406245E8</v>
      </c>
      <c r="H50" s="5">
        <v>4998.0</v>
      </c>
      <c r="I50" s="6">
        <v>0.0</v>
      </c>
      <c r="J50" s="4">
        <v>1399358.64</v>
      </c>
      <c r="K50" s="4">
        <f t="shared" si="14"/>
        <v>-1399358.64</v>
      </c>
      <c r="L50" s="4">
        <f>I50+Aug!L50</f>
        <v>0</v>
      </c>
      <c r="M50" s="4">
        <f>J50+Aug!M50</f>
        <v>57218774.53</v>
      </c>
      <c r="N50" s="4">
        <f t="shared" si="15"/>
        <v>-57218774.53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18" t="s">
        <v>40</v>
      </c>
      <c r="B51" s="2"/>
      <c r="C51" s="3"/>
      <c r="D51" s="6"/>
      <c r="E51" s="6"/>
      <c r="F51" s="6"/>
      <c r="G51" s="6"/>
      <c r="H51" s="5"/>
      <c r="I51" s="6"/>
      <c r="J51" s="4"/>
      <c r="K51" s="4"/>
      <c r="L51" s="4"/>
      <c r="M51" s="4"/>
      <c r="N51" s="4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v>35.0</v>
      </c>
      <c r="C52" s="3" t="s">
        <v>61</v>
      </c>
      <c r="D52" s="6">
        <v>7.082602929E7</v>
      </c>
      <c r="E52" s="6">
        <v>1221428.58</v>
      </c>
      <c r="F52" s="6">
        <f t="shared" ref="F52:F54" si="16">D52-E52</f>
        <v>69604600.71</v>
      </c>
      <c r="G52" s="6">
        <v>2.43203793E7</v>
      </c>
      <c r="H52" s="5">
        <v>1002.0</v>
      </c>
      <c r="I52" s="6">
        <v>2769719.38</v>
      </c>
      <c r="J52" s="4">
        <v>873784.81</v>
      </c>
      <c r="K52" s="4">
        <f t="shared" ref="K52:K54" si="17">I52-J52</f>
        <v>1895934.57</v>
      </c>
      <c r="L52" s="4">
        <f>I52+Aug!L52</f>
        <v>8067438</v>
      </c>
      <c r="M52" s="4">
        <f>J52+Aug!M52</f>
        <v>2183735.59</v>
      </c>
      <c r="N52" s="4">
        <f t="shared" ref="N52:N54" si="18">L52-M52</f>
        <v>5883702.41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62</v>
      </c>
      <c r="D53" s="6">
        <v>4.980192201E7</v>
      </c>
      <c r="E53" s="6">
        <v>422190.99</v>
      </c>
      <c r="F53" s="6">
        <f t="shared" si="16"/>
        <v>49379731.02</v>
      </c>
      <c r="G53" s="6">
        <v>3.826278555E7</v>
      </c>
      <c r="H53" s="5">
        <v>387.0</v>
      </c>
      <c r="I53" s="6">
        <v>372253.42</v>
      </c>
      <c r="J53" s="4">
        <v>106728.51</v>
      </c>
      <c r="K53" s="4">
        <f t="shared" si="17"/>
        <v>265524.91</v>
      </c>
      <c r="L53" s="4">
        <f>I53+Aug!L53</f>
        <v>5627476.57</v>
      </c>
      <c r="M53" s="4">
        <f>J53+Aug!M53</f>
        <v>503940.39</v>
      </c>
      <c r="N53" s="4">
        <f t="shared" si="18"/>
        <v>5123536.18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63</v>
      </c>
      <c r="D54" s="6">
        <v>4.167670056E7</v>
      </c>
      <c r="E54" s="6">
        <v>337514.81</v>
      </c>
      <c r="F54" s="6">
        <f t="shared" si="16"/>
        <v>41339185.75</v>
      </c>
      <c r="G54" s="6">
        <v>3.95777849E7</v>
      </c>
      <c r="H54" s="5">
        <v>180.0</v>
      </c>
      <c r="I54" s="6">
        <v>144867.0</v>
      </c>
      <c r="J54" s="4">
        <v>7564.16</v>
      </c>
      <c r="K54" s="4">
        <f t="shared" si="17"/>
        <v>137302.84</v>
      </c>
      <c r="L54" s="4">
        <f>I54+Aug!L54</f>
        <v>2196829.65</v>
      </c>
      <c r="M54" s="4">
        <f>J54+Aug!M54</f>
        <v>267591.72</v>
      </c>
      <c r="N54" s="4">
        <f t="shared" si="18"/>
        <v>1929237.93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22" t="s">
        <v>44</v>
      </c>
      <c r="B55" s="22"/>
      <c r="C55" s="1"/>
      <c r="D55" s="24">
        <f t="shared" ref="D55:N55" si="19">SUM(D41:D54)</f>
        <v>13316546010</v>
      </c>
      <c r="E55" s="24">
        <f t="shared" si="19"/>
        <v>307473299.2</v>
      </c>
      <c r="F55" s="24">
        <f t="shared" si="19"/>
        <v>13009072711</v>
      </c>
      <c r="G55" s="24">
        <f t="shared" si="19"/>
        <v>6541780126</v>
      </c>
      <c r="H55" s="24">
        <f t="shared" si="19"/>
        <v>86932</v>
      </c>
      <c r="I55" s="24">
        <f t="shared" si="19"/>
        <v>36644046.6</v>
      </c>
      <c r="J55" s="24">
        <f t="shared" si="19"/>
        <v>75972687.35</v>
      </c>
      <c r="K55" s="24">
        <f t="shared" si="19"/>
        <v>-39328640.75</v>
      </c>
      <c r="L55" s="24">
        <f t="shared" si="19"/>
        <v>740188322.7</v>
      </c>
      <c r="M55" s="24">
        <f t="shared" si="19"/>
        <v>9039398637</v>
      </c>
      <c r="N55" s="24">
        <f t="shared" si="19"/>
        <v>-8299210314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2.0" customHeight="1">
      <c r="A56" s="18" t="s">
        <v>45</v>
      </c>
      <c r="B56" s="2"/>
      <c r="C56" s="3"/>
      <c r="D56" s="6"/>
      <c r="E56" s="6"/>
      <c r="F56" s="6"/>
      <c r="G56" s="6"/>
      <c r="H56" s="5"/>
      <c r="I56" s="6"/>
      <c r="J56" s="4"/>
      <c r="K56" s="4"/>
      <c r="L56" s="4"/>
      <c r="M56" s="4"/>
      <c r="N56" s="4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18"/>
      <c r="B57" s="2">
        <v>38.0</v>
      </c>
      <c r="C57" s="3" t="s">
        <v>64</v>
      </c>
      <c r="D57" s="6">
        <f>58.625*1256699.49</f>
        <v>73674007.6</v>
      </c>
      <c r="E57" s="6">
        <f>58.625*7350.19</f>
        <v>430904.8888</v>
      </c>
      <c r="F57" s="6">
        <f t="shared" ref="F57:F60" si="20">D57-E57</f>
        <v>73243102.71</v>
      </c>
      <c r="G57" s="6">
        <v>0.0</v>
      </c>
      <c r="H57" s="5">
        <v>55.0</v>
      </c>
      <c r="I57" s="6">
        <v>0.0</v>
      </c>
      <c r="J57" s="6">
        <v>0.0</v>
      </c>
      <c r="K57" s="4">
        <f t="shared" ref="K57:K60" si="21">I57-J57</f>
        <v>0</v>
      </c>
      <c r="L57" s="4">
        <f>I57+Aug!L57</f>
        <v>5201914.981</v>
      </c>
      <c r="M57" s="4">
        <f>J57+Aug!M57</f>
        <v>4087392.839</v>
      </c>
      <c r="N57" s="4">
        <f t="shared" ref="N57:N60" si="22">L57-M57</f>
        <v>1114522.142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65</v>
      </c>
      <c r="D58" s="6">
        <f>58.625*5755440.51</f>
        <v>337412699.9</v>
      </c>
      <c r="E58" s="6">
        <f>58.625*412147.66</f>
        <v>24162156.57</v>
      </c>
      <c r="F58" s="6">
        <f t="shared" si="20"/>
        <v>313250543.3</v>
      </c>
      <c r="G58" s="6">
        <f>58.625*2737700.73</f>
        <v>160497705.3</v>
      </c>
      <c r="H58" s="5">
        <v>270.0</v>
      </c>
      <c r="I58" s="6">
        <v>0.0</v>
      </c>
      <c r="J58" s="6">
        <f>58.625*10844.47</f>
        <v>635757.0538</v>
      </c>
      <c r="K58" s="4">
        <f t="shared" si="21"/>
        <v>-635757.0538</v>
      </c>
      <c r="L58" s="4">
        <f>I58+Aug!L58</f>
        <v>602209.6245</v>
      </c>
      <c r="M58" s="4">
        <f>J58+Aug!M58</f>
        <v>18407229.84</v>
      </c>
      <c r="N58" s="4">
        <f t="shared" si="22"/>
        <v>-17805020.22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3"/>
      <c r="B59" s="2">
        <v>40.0</v>
      </c>
      <c r="C59" s="3" t="s">
        <v>66</v>
      </c>
      <c r="D59" s="6">
        <f>58.625*26939708.33</f>
        <v>1579340401</v>
      </c>
      <c r="E59" s="6">
        <f>58.625*177917.6</f>
        <v>10430419.3</v>
      </c>
      <c r="F59" s="6">
        <f t="shared" si="20"/>
        <v>1568909982</v>
      </c>
      <c r="G59" s="6">
        <v>0.0</v>
      </c>
      <c r="H59" s="5">
        <v>4128.0</v>
      </c>
      <c r="I59" s="6">
        <f>58.625*9847.6</f>
        <v>577315.55</v>
      </c>
      <c r="J59" s="6">
        <f>58.625*227276.58</f>
        <v>13324089.5</v>
      </c>
      <c r="K59" s="4">
        <f t="shared" si="21"/>
        <v>-12746773.95</v>
      </c>
      <c r="L59" s="4">
        <f>I59+Aug!L59</f>
        <v>62547318.52</v>
      </c>
      <c r="M59" s="4">
        <f>J59+Aug!M59</f>
        <v>180834075</v>
      </c>
      <c r="N59" s="4">
        <f t="shared" si="22"/>
        <v>-118286756.5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67</v>
      </c>
      <c r="D60" s="6">
        <f>58.625*5382598.01</f>
        <v>315554808.3</v>
      </c>
      <c r="E60" s="6">
        <f>58.625*41812.75</f>
        <v>2451272.469</v>
      </c>
      <c r="F60" s="6">
        <f t="shared" si="20"/>
        <v>313103535.9</v>
      </c>
      <c r="G60" s="6">
        <v>0.0</v>
      </c>
      <c r="H60" s="5">
        <v>710.0</v>
      </c>
      <c r="I60" s="6">
        <f>58.625*13092.24</f>
        <v>767532.57</v>
      </c>
      <c r="J60" s="6">
        <f>58.625*36010.73</f>
        <v>2111129.046</v>
      </c>
      <c r="K60" s="4">
        <f t="shared" si="21"/>
        <v>-1343596.476</v>
      </c>
      <c r="L60" s="4">
        <f>I60+Aug!L60</f>
        <v>12411370.97</v>
      </c>
      <c r="M60" s="4">
        <f>J60+Aug!M60</f>
        <v>35911845.42</v>
      </c>
      <c r="N60" s="4">
        <f t="shared" si="22"/>
        <v>-23500474.45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22" t="s">
        <v>48</v>
      </c>
      <c r="B61" s="23"/>
      <c r="C61" s="1"/>
      <c r="D61" s="24">
        <f t="shared" ref="D61:N61" si="23">SUM(D57:D60)</f>
        <v>2305981917</v>
      </c>
      <c r="E61" s="24">
        <f t="shared" si="23"/>
        <v>37474753.23</v>
      </c>
      <c r="F61" s="24">
        <f t="shared" si="23"/>
        <v>2268507163</v>
      </c>
      <c r="G61" s="24">
        <f t="shared" si="23"/>
        <v>160497705.3</v>
      </c>
      <c r="H61" s="24">
        <f t="shared" si="23"/>
        <v>5163</v>
      </c>
      <c r="I61" s="24">
        <f t="shared" si="23"/>
        <v>1344848.12</v>
      </c>
      <c r="J61" s="24">
        <f t="shared" si="23"/>
        <v>16070975.6</v>
      </c>
      <c r="K61" s="24">
        <f t="shared" si="23"/>
        <v>-14726127.48</v>
      </c>
      <c r="L61" s="24">
        <f t="shared" si="23"/>
        <v>80762814.1</v>
      </c>
      <c r="M61" s="24">
        <f t="shared" si="23"/>
        <v>239240543.1</v>
      </c>
      <c r="N61" s="24">
        <f t="shared" si="23"/>
        <v>-158477729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2.0" customHeight="1">
      <c r="A62" s="1" t="s">
        <v>68</v>
      </c>
      <c r="B62" s="23"/>
      <c r="C62" s="1"/>
      <c r="D62" s="24">
        <f t="shared" ref="D62:N62" si="24">D55+D61</f>
        <v>15622527926</v>
      </c>
      <c r="E62" s="24">
        <f t="shared" si="24"/>
        <v>344948052.4</v>
      </c>
      <c r="F62" s="24">
        <f t="shared" si="24"/>
        <v>15277579874</v>
      </c>
      <c r="G62" s="24">
        <f t="shared" si="24"/>
        <v>6702277831</v>
      </c>
      <c r="H62" s="24">
        <f t="shared" si="24"/>
        <v>92095</v>
      </c>
      <c r="I62" s="24">
        <f t="shared" si="24"/>
        <v>37988894.72</v>
      </c>
      <c r="J62" s="24">
        <f t="shared" si="24"/>
        <v>92043662.95</v>
      </c>
      <c r="K62" s="24">
        <f t="shared" si="24"/>
        <v>-54054768.23</v>
      </c>
      <c r="L62" s="24">
        <f t="shared" si="24"/>
        <v>820951136.8</v>
      </c>
      <c r="M62" s="24">
        <f t="shared" si="24"/>
        <v>9278639180</v>
      </c>
      <c r="N62" s="24">
        <f t="shared" si="24"/>
        <v>-8457688043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69</v>
      </c>
      <c r="B63" s="2"/>
      <c r="C63" s="3"/>
      <c r="D63" s="6"/>
      <c r="E63" s="6"/>
      <c r="F63" s="6"/>
      <c r="G63" s="6"/>
      <c r="H63" s="5"/>
      <c r="I63" s="6"/>
      <c r="J63" s="4"/>
      <c r="K63" s="4"/>
      <c r="L63" s="4"/>
      <c r="M63" s="4"/>
      <c r="N63" s="4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ht="12.0" customHeight="1">
      <c r="A64" s="18" t="s">
        <v>20</v>
      </c>
      <c r="B64" s="2"/>
      <c r="C64" s="3"/>
      <c r="D64" s="6"/>
      <c r="E64" s="6"/>
      <c r="F64" s="6"/>
      <c r="G64" s="6"/>
      <c r="H64" s="5"/>
      <c r="I64" s="6"/>
      <c r="J64" s="4"/>
      <c r="K64" s="4"/>
      <c r="L64" s="4"/>
      <c r="M64" s="4"/>
      <c r="N64" s="4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3"/>
      <c r="B65" s="2">
        <v>42.0</v>
      </c>
      <c r="C65" s="3" t="s">
        <v>70</v>
      </c>
      <c r="D65" s="6">
        <v>4.107221792529E10</v>
      </c>
      <c r="E65" s="6">
        <v>2.4392747742E8</v>
      </c>
      <c r="F65" s="6">
        <f t="shared" ref="F65:F75" si="25">D65-E65</f>
        <v>40828290448</v>
      </c>
      <c r="G65" s="6">
        <v>9.2242168E8</v>
      </c>
      <c r="H65" s="5">
        <v>26102.0</v>
      </c>
      <c r="I65" s="6">
        <v>2.6255837846E8</v>
      </c>
      <c r="J65" s="4">
        <v>8.567856913E8</v>
      </c>
      <c r="K65" s="4">
        <f t="shared" ref="K65:K75" si="26">I65-J65</f>
        <v>-594227312.8</v>
      </c>
      <c r="L65" s="4">
        <f>I65+Aug!L65</f>
        <v>2470558241</v>
      </c>
      <c r="M65" s="4">
        <f>J65+Aug!M65</f>
        <v>5828040690</v>
      </c>
      <c r="N65" s="4">
        <f t="shared" ref="N65:N75" si="27">L65-M65</f>
        <v>-3357482449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214</v>
      </c>
      <c r="D66" s="6">
        <v>3.9429010836E8</v>
      </c>
      <c r="E66" s="6">
        <v>717109.36</v>
      </c>
      <c r="F66" s="6">
        <f t="shared" si="25"/>
        <v>393572999</v>
      </c>
      <c r="G66" s="6">
        <v>0.0</v>
      </c>
      <c r="H66" s="5">
        <v>1070.0</v>
      </c>
      <c r="I66" s="6">
        <v>2.04633541E7</v>
      </c>
      <c r="J66" s="4">
        <v>2073912.0099999995</v>
      </c>
      <c r="K66" s="4">
        <f t="shared" si="26"/>
        <v>18389442.09</v>
      </c>
      <c r="L66" s="4">
        <f>I66+Aug!L66</f>
        <v>127383358.4</v>
      </c>
      <c r="M66" s="4">
        <f>J66+Aug!M66</f>
        <v>28107357.15</v>
      </c>
      <c r="N66" s="4">
        <f t="shared" si="27"/>
        <v>99276001.27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72</v>
      </c>
      <c r="D67" s="6">
        <v>1.1628143607400002E9</v>
      </c>
      <c r="E67" s="6">
        <v>1.992920653E7</v>
      </c>
      <c r="F67" s="6">
        <f t="shared" si="25"/>
        <v>1142885154</v>
      </c>
      <c r="G67" s="6">
        <v>0.0</v>
      </c>
      <c r="H67" s="5">
        <v>2009.0</v>
      </c>
      <c r="I67" s="6">
        <v>2910746.2299999944</v>
      </c>
      <c r="J67" s="4">
        <v>7824015.499999999</v>
      </c>
      <c r="K67" s="4">
        <f t="shared" si="26"/>
        <v>-4913269.27</v>
      </c>
      <c r="L67" s="4">
        <f>I67+Aug!L67</f>
        <v>131982742.5</v>
      </c>
      <c r="M67" s="4">
        <f>J67+Aug!M67</f>
        <v>207833551.7</v>
      </c>
      <c r="N67" s="4">
        <f t="shared" si="27"/>
        <v>-75850809.19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1"/>
      <c r="B68" s="2">
        <v>45.0</v>
      </c>
      <c r="C68" s="3" t="s">
        <v>73</v>
      </c>
      <c r="D68" s="6">
        <v>1.9066198924E8</v>
      </c>
      <c r="E68" s="6">
        <v>287134.67</v>
      </c>
      <c r="F68" s="6">
        <f t="shared" si="25"/>
        <v>190374854.6</v>
      </c>
      <c r="G68" s="6">
        <v>4860000.0</v>
      </c>
      <c r="H68" s="5">
        <v>163.0</v>
      </c>
      <c r="I68" s="6">
        <v>1512821.35</v>
      </c>
      <c r="J68" s="4">
        <v>186956.11</v>
      </c>
      <c r="K68" s="4">
        <f t="shared" si="26"/>
        <v>1325865.24</v>
      </c>
      <c r="L68" s="4">
        <f>I68+Aug!L68</f>
        <v>4401583.28</v>
      </c>
      <c r="M68" s="4">
        <f>J68+Aug!M68</f>
        <v>9534130.76</v>
      </c>
      <c r="N68" s="4">
        <f t="shared" si="27"/>
        <v>-5132547.48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55"/>
      <c r="B69" s="56">
        <v>46.0</v>
      </c>
      <c r="C69" s="55" t="s">
        <v>74</v>
      </c>
      <c r="D69" s="57">
        <v>1.33339360497E9</v>
      </c>
      <c r="E69" s="57">
        <v>2803512.04</v>
      </c>
      <c r="F69" s="57">
        <f t="shared" si="25"/>
        <v>1330590093</v>
      </c>
      <c r="G69" s="57">
        <v>0.0</v>
      </c>
      <c r="H69" s="58">
        <v>1837.0</v>
      </c>
      <c r="I69" s="57">
        <v>672101.5</v>
      </c>
      <c r="J69" s="59">
        <v>1.583523127E7</v>
      </c>
      <c r="K69" s="59">
        <f t="shared" si="26"/>
        <v>-15163129.77</v>
      </c>
      <c r="L69" s="59">
        <f>I69+Aug!L69</f>
        <v>29336530.41</v>
      </c>
      <c r="M69" s="59">
        <f>J69+Aug!M69</f>
        <v>206988943.5</v>
      </c>
      <c r="N69" s="59">
        <f t="shared" si="27"/>
        <v>-177652413.1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</row>
    <row r="70" ht="12.0" customHeight="1">
      <c r="A70" s="3"/>
      <c r="B70" s="2">
        <v>47.0</v>
      </c>
      <c r="C70" s="3" t="s">
        <v>75</v>
      </c>
      <c r="D70" s="6">
        <v>9.0839176906E8</v>
      </c>
      <c r="E70" s="6">
        <v>3.666683654E7</v>
      </c>
      <c r="F70" s="6">
        <f t="shared" si="25"/>
        <v>871724932.5</v>
      </c>
      <c r="G70" s="6">
        <v>0.0</v>
      </c>
      <c r="H70" s="5">
        <v>518.0</v>
      </c>
      <c r="I70" s="6">
        <v>1082613.17</v>
      </c>
      <c r="J70" s="4">
        <v>3249467.23</v>
      </c>
      <c r="K70" s="4">
        <f t="shared" si="26"/>
        <v>-2166854.06</v>
      </c>
      <c r="L70" s="4">
        <f>I70+Aug!L70</f>
        <v>23988427.65</v>
      </c>
      <c r="M70" s="4">
        <f>J70+Aug!M70</f>
        <v>143160577.5</v>
      </c>
      <c r="N70" s="4">
        <f t="shared" si="27"/>
        <v>-119172149.8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76</v>
      </c>
      <c r="D71" s="6">
        <v>1.76205840061E9</v>
      </c>
      <c r="E71" s="6">
        <v>2.339453686E7</v>
      </c>
      <c r="F71" s="6">
        <f t="shared" si="25"/>
        <v>1738663864</v>
      </c>
      <c r="G71" s="6">
        <v>0.0</v>
      </c>
      <c r="H71" s="5">
        <v>5082.0</v>
      </c>
      <c r="I71" s="6">
        <v>2712017.93</v>
      </c>
      <c r="J71" s="4">
        <v>9351884.69</v>
      </c>
      <c r="K71" s="4">
        <f t="shared" si="26"/>
        <v>-6639866.76</v>
      </c>
      <c r="L71" s="4">
        <f>I71+Aug!L71</f>
        <v>221024753.9</v>
      </c>
      <c r="M71" s="4">
        <f>J71+Aug!M71</f>
        <v>4932544670</v>
      </c>
      <c r="N71" s="4">
        <f t="shared" si="27"/>
        <v>-4711519916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77</v>
      </c>
      <c r="D72" s="6">
        <v>3.03901242042344E8</v>
      </c>
      <c r="E72" s="6">
        <v>461536.436300098</v>
      </c>
      <c r="F72" s="6">
        <f t="shared" si="25"/>
        <v>303439705.6</v>
      </c>
      <c r="G72" s="6">
        <v>0.0</v>
      </c>
      <c r="H72" s="5">
        <v>4156.0</v>
      </c>
      <c r="I72" s="6">
        <v>743382.78</v>
      </c>
      <c r="J72" s="4">
        <v>1.028125198E7</v>
      </c>
      <c r="K72" s="4">
        <f t="shared" si="26"/>
        <v>-9537869.2</v>
      </c>
      <c r="L72" s="4">
        <f>I72+Aug!L72</f>
        <v>31264463.1</v>
      </c>
      <c r="M72" s="4">
        <f>J72+Aug!M72</f>
        <v>32030458.11</v>
      </c>
      <c r="N72" s="4">
        <f t="shared" si="27"/>
        <v>-765995.01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78</v>
      </c>
      <c r="D73" s="6">
        <v>1.14545951501E9</v>
      </c>
      <c r="E73" s="28">
        <v>2798661.05</v>
      </c>
      <c r="F73" s="6">
        <f t="shared" si="25"/>
        <v>1142660854</v>
      </c>
      <c r="G73" s="6">
        <v>0.0</v>
      </c>
      <c r="H73" s="5">
        <v>837.0</v>
      </c>
      <c r="I73" s="6">
        <v>2.00202692E7</v>
      </c>
      <c r="J73" s="4">
        <v>491697.19</v>
      </c>
      <c r="K73" s="4">
        <f t="shared" si="26"/>
        <v>19528572.01</v>
      </c>
      <c r="L73" s="4">
        <f>I73+Aug!L73</f>
        <v>251431871.2</v>
      </c>
      <c r="M73" s="4">
        <f>J73+Aug!M73</f>
        <v>10443853.13</v>
      </c>
      <c r="N73" s="4">
        <f t="shared" si="27"/>
        <v>240988018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79</v>
      </c>
      <c r="D74" s="6">
        <v>4.4533180614E9</v>
      </c>
      <c r="E74" s="6">
        <v>1.603224188E7</v>
      </c>
      <c r="F74" s="6">
        <f t="shared" si="25"/>
        <v>4437285820</v>
      </c>
      <c r="G74" s="6">
        <v>0.0</v>
      </c>
      <c r="H74" s="5">
        <v>16399.0</v>
      </c>
      <c r="I74" s="6">
        <v>4.99760100099999E7</v>
      </c>
      <c r="J74" s="4">
        <v>4.113700598E7</v>
      </c>
      <c r="K74" s="4">
        <f t="shared" si="26"/>
        <v>8839004.03</v>
      </c>
      <c r="L74" s="4">
        <f>I74+Aug!L74</f>
        <v>426206581.1</v>
      </c>
      <c r="M74" s="4">
        <f>J74+Aug!M74</f>
        <v>603850651.9</v>
      </c>
      <c r="N74" s="4">
        <f t="shared" si="27"/>
        <v>-177644070.9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80</v>
      </c>
      <c r="D75" s="6">
        <v>1.3665934439E8</v>
      </c>
      <c r="E75" s="6">
        <v>432922.17</v>
      </c>
      <c r="F75" s="6">
        <f t="shared" si="25"/>
        <v>136226422.2</v>
      </c>
      <c r="G75" s="6">
        <v>0.0</v>
      </c>
      <c r="H75" s="5">
        <v>2603.0</v>
      </c>
      <c r="I75" s="6">
        <v>693758.29</v>
      </c>
      <c r="J75" s="4">
        <v>432541.98</v>
      </c>
      <c r="K75" s="4">
        <f t="shared" si="26"/>
        <v>261216.31</v>
      </c>
      <c r="L75" s="4">
        <f>I75+Aug!L75</f>
        <v>5883205.43</v>
      </c>
      <c r="M75" s="4">
        <f>J75+Aug!M75</f>
        <v>28414391.85</v>
      </c>
      <c r="N75" s="4">
        <f t="shared" si="27"/>
        <v>-22531186.42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22" t="s">
        <v>44</v>
      </c>
      <c r="B76" s="1"/>
      <c r="C76" s="1"/>
      <c r="D76" s="24">
        <f t="shared" ref="D76:N76" si="28">SUM(D65:D75)</f>
        <v>52863166321</v>
      </c>
      <c r="E76" s="24">
        <f t="shared" si="28"/>
        <v>347451175</v>
      </c>
      <c r="F76" s="24">
        <f t="shared" si="28"/>
        <v>52515715146</v>
      </c>
      <c r="G76" s="24">
        <f t="shared" si="28"/>
        <v>927281680</v>
      </c>
      <c r="H76" s="24">
        <f t="shared" si="28"/>
        <v>60776</v>
      </c>
      <c r="I76" s="24">
        <f t="shared" si="28"/>
        <v>363345453</v>
      </c>
      <c r="J76" s="24">
        <f t="shared" si="28"/>
        <v>947649655.2</v>
      </c>
      <c r="K76" s="24">
        <f t="shared" si="28"/>
        <v>-584304202.2</v>
      </c>
      <c r="L76" s="24">
        <f t="shared" si="28"/>
        <v>3723461758</v>
      </c>
      <c r="M76" s="24">
        <f t="shared" si="28"/>
        <v>12030949275</v>
      </c>
      <c r="N76" s="24">
        <f t="shared" si="28"/>
        <v>-8307487518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18" t="s">
        <v>45</v>
      </c>
      <c r="B77" s="2"/>
      <c r="C77" s="3"/>
      <c r="D77" s="6"/>
      <c r="E77" s="6"/>
      <c r="F77" s="6"/>
      <c r="G77" s="6"/>
      <c r="H77" s="5"/>
      <c r="I77" s="6"/>
      <c r="J77" s="4"/>
      <c r="K77" s="4"/>
      <c r="L77" s="4"/>
      <c r="M77" s="4"/>
      <c r="N77" s="4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3"/>
      <c r="B78" s="2">
        <v>53.0</v>
      </c>
      <c r="C78" s="3" t="s">
        <v>81</v>
      </c>
      <c r="D78" s="6">
        <f>58.625*260990855.48</f>
        <v>15300588903</v>
      </c>
      <c r="E78" s="6">
        <f>58.625*667955.91</f>
        <v>39158915.22</v>
      </c>
      <c r="F78" s="6">
        <f t="shared" ref="F78:F84" si="29">D78-E78</f>
        <v>15261429987</v>
      </c>
      <c r="G78" s="6">
        <v>0.0</v>
      </c>
      <c r="H78" s="5">
        <v>9242.0</v>
      </c>
      <c r="I78" s="6">
        <f>58.625*894581.34</f>
        <v>52444831.06</v>
      </c>
      <c r="J78" s="4">
        <f>58.625*5049038.3</f>
        <v>295999870.3</v>
      </c>
      <c r="K78" s="4">
        <f t="shared" ref="K78:K84" si="30">I78-J78</f>
        <v>-243555039.3</v>
      </c>
      <c r="L78" s="4">
        <f>I78+Aug!L78</f>
        <v>857703313.2</v>
      </c>
      <c r="M78" s="4">
        <f>J78+Aug!M78</f>
        <v>4921140974</v>
      </c>
      <c r="N78" s="4">
        <f t="shared" ref="N78:N84" si="31">L78-M78</f>
        <v>-4063437661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215</v>
      </c>
      <c r="D79" s="6">
        <v>2.8844390806875E8</v>
      </c>
      <c r="E79" s="6">
        <v>2473974.41375</v>
      </c>
      <c r="F79" s="6">
        <f t="shared" si="29"/>
        <v>285969933.7</v>
      </c>
      <c r="G79" s="6">
        <v>0.0</v>
      </c>
      <c r="H79" s="5">
        <v>183.0</v>
      </c>
      <c r="I79" s="6">
        <v>0.0</v>
      </c>
      <c r="J79" s="4">
        <v>3.002569423E7</v>
      </c>
      <c r="K79" s="4">
        <f t="shared" si="30"/>
        <v>-30025694.23</v>
      </c>
      <c r="L79" s="4">
        <f>I79+Aug!L79</f>
        <v>20400772.17</v>
      </c>
      <c r="M79" s="4">
        <f>J79+Aug!M79</f>
        <v>506998533.7</v>
      </c>
      <c r="N79" s="4">
        <f t="shared" si="31"/>
        <v>-486597761.6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55"/>
      <c r="B80" s="56">
        <v>55.0</v>
      </c>
      <c r="C80" s="55" t="s">
        <v>83</v>
      </c>
      <c r="D80" s="57">
        <v>4.6139314536875E8</v>
      </c>
      <c r="E80" s="57">
        <v>3194574.15375</v>
      </c>
      <c r="F80" s="57">
        <f t="shared" si="29"/>
        <v>458198571.2</v>
      </c>
      <c r="G80" s="57">
        <v>0.0</v>
      </c>
      <c r="H80" s="58">
        <v>149.0</v>
      </c>
      <c r="I80" s="57">
        <v>79408.4097636899</v>
      </c>
      <c r="J80" s="59">
        <v>2516427.7852756684</v>
      </c>
      <c r="K80" s="59">
        <f t="shared" si="30"/>
        <v>-2437019.376</v>
      </c>
      <c r="L80" s="59">
        <f>I80+Aug!L80</f>
        <v>15846820.63</v>
      </c>
      <c r="M80" s="59">
        <f>J80+Aug!M80</f>
        <v>318991687.6</v>
      </c>
      <c r="N80" s="59">
        <f t="shared" si="31"/>
        <v>-303144866.9</v>
      </c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</row>
    <row r="81" ht="11.25" customHeight="1">
      <c r="A81" s="18"/>
      <c r="B81" s="2">
        <v>56.0</v>
      </c>
      <c r="C81" s="3" t="s">
        <v>84</v>
      </c>
      <c r="D81" s="6">
        <f>58.625*1132436.33</f>
        <v>66389079.85</v>
      </c>
      <c r="E81" s="6">
        <f>58.625*233424.75</f>
        <v>13684525.97</v>
      </c>
      <c r="F81" s="6">
        <f t="shared" si="29"/>
        <v>52704553.88</v>
      </c>
      <c r="G81" s="6">
        <v>0.0</v>
      </c>
      <c r="H81" s="5">
        <v>26.0</v>
      </c>
      <c r="I81" s="6">
        <v>0.0</v>
      </c>
      <c r="J81" s="6">
        <v>0.0</v>
      </c>
      <c r="K81" s="4">
        <f t="shared" si="30"/>
        <v>0</v>
      </c>
      <c r="L81" s="4">
        <f>I81+Aug!L81</f>
        <v>684910.0473</v>
      </c>
      <c r="M81" s="4">
        <f>J81+Aug!M81</f>
        <v>1188416.954</v>
      </c>
      <c r="N81" s="4">
        <f t="shared" si="31"/>
        <v>-503506.9064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v>57.0</v>
      </c>
      <c r="C82" s="3" t="s">
        <v>85</v>
      </c>
      <c r="D82" s="6">
        <f>58.625*37812931.78</f>
        <v>2216783126</v>
      </c>
      <c r="E82" s="6">
        <f>58.625*426345.8</f>
        <v>24994522.53</v>
      </c>
      <c r="F82" s="6">
        <f t="shared" si="29"/>
        <v>2191788603</v>
      </c>
      <c r="G82" s="6">
        <v>0.0</v>
      </c>
      <c r="H82" s="5">
        <v>1972.0</v>
      </c>
      <c r="I82" s="6">
        <f>58.625*6092.77</f>
        <v>357188.6413</v>
      </c>
      <c r="J82" s="6">
        <f>58.625*289340.96</f>
        <v>16962613.78</v>
      </c>
      <c r="K82" s="4">
        <f t="shared" si="30"/>
        <v>-16605425.14</v>
      </c>
      <c r="L82" s="4">
        <f>I82+Aug!L82</f>
        <v>268686660.3</v>
      </c>
      <c r="M82" s="4">
        <f>J82+Aug!M82</f>
        <v>539570008.6</v>
      </c>
      <c r="N82" s="4">
        <f t="shared" si="31"/>
        <v>-270883348.3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86</v>
      </c>
      <c r="D83" s="6">
        <v>2.481966982775E8</v>
      </c>
      <c r="E83" s="6">
        <v>653846.38375</v>
      </c>
      <c r="F83" s="6">
        <f t="shared" si="29"/>
        <v>247542851.9</v>
      </c>
      <c r="G83" s="6">
        <v>0.0</v>
      </c>
      <c r="H83" s="5">
        <v>126.0</v>
      </c>
      <c r="I83" s="6">
        <v>6507.38</v>
      </c>
      <c r="J83" s="4">
        <v>0.0</v>
      </c>
      <c r="K83" s="4">
        <f t="shared" si="30"/>
        <v>6507.38</v>
      </c>
      <c r="L83" s="4">
        <f>I83+Aug!L83</f>
        <v>1298531.38</v>
      </c>
      <c r="M83" s="4">
        <f>J83+Aug!M83</f>
        <v>2154226.79</v>
      </c>
      <c r="N83" s="4">
        <f t="shared" si="31"/>
        <v>-855695.4104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87</v>
      </c>
      <c r="D84" s="6">
        <f>58.625*8104127.88</f>
        <v>475104497</v>
      </c>
      <c r="E84" s="6">
        <f>58.625*55796.87</f>
        <v>3271091.504</v>
      </c>
      <c r="F84" s="6">
        <f t="shared" si="29"/>
        <v>471833405.5</v>
      </c>
      <c r="G84" s="6">
        <v>0.0</v>
      </c>
      <c r="H84" s="5">
        <v>2526.0</v>
      </c>
      <c r="I84" s="6">
        <f>58.625*1337.88</f>
        <v>78433.215</v>
      </c>
      <c r="J84" s="4">
        <f>58.625*10958.3</f>
        <v>642430.3375</v>
      </c>
      <c r="K84" s="4">
        <f t="shared" si="30"/>
        <v>-563997.1225</v>
      </c>
      <c r="L84" s="4">
        <f>I84+Aug!L84</f>
        <v>25296855.54</v>
      </c>
      <c r="M84" s="4">
        <f>J84+Aug!M84</f>
        <v>57273627.22</v>
      </c>
      <c r="N84" s="4">
        <f t="shared" si="31"/>
        <v>-31976771.68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22" t="s">
        <v>88</v>
      </c>
      <c r="B85" s="23"/>
      <c r="C85" s="29"/>
      <c r="D85" s="24">
        <f t="shared" ref="D85:N85" si="32">SUM(D78:D84)</f>
        <v>19056899357</v>
      </c>
      <c r="E85" s="24">
        <f t="shared" si="32"/>
        <v>87431450.17</v>
      </c>
      <c r="F85" s="24">
        <f t="shared" si="32"/>
        <v>18969467906</v>
      </c>
      <c r="G85" s="24">
        <f t="shared" si="32"/>
        <v>0</v>
      </c>
      <c r="H85" s="24">
        <f t="shared" si="32"/>
        <v>14224</v>
      </c>
      <c r="I85" s="24">
        <f t="shared" si="32"/>
        <v>52966368.7</v>
      </c>
      <c r="J85" s="24">
        <f t="shared" si="32"/>
        <v>346147036.5</v>
      </c>
      <c r="K85" s="24">
        <f t="shared" si="32"/>
        <v>-293180667.8</v>
      </c>
      <c r="L85" s="24">
        <f t="shared" si="32"/>
        <v>1189917863</v>
      </c>
      <c r="M85" s="24">
        <f t="shared" si="32"/>
        <v>6347317474</v>
      </c>
      <c r="N85" s="24">
        <f t="shared" si="32"/>
        <v>-5157399611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v>60.0</v>
      </c>
      <c r="C86" s="3" t="s">
        <v>89</v>
      </c>
      <c r="D86" s="6">
        <f>57.6928625*15494806.02</f>
        <v>893939713.2</v>
      </c>
      <c r="E86" s="6">
        <f>57.6928625*32904.35</f>
        <v>1898346.14</v>
      </c>
      <c r="F86" s="6">
        <f>D86-E86</f>
        <v>892041367</v>
      </c>
      <c r="G86" s="6">
        <v>0.0</v>
      </c>
      <c r="H86" s="5">
        <v>676.0</v>
      </c>
      <c r="I86" s="6">
        <f>57.6928625*37379.01</f>
        <v>2156502.084</v>
      </c>
      <c r="J86" s="4">
        <f>57.6928625*126318.44</f>
        <v>7287672.39</v>
      </c>
      <c r="K86" s="4">
        <f>I86-J86</f>
        <v>-5131170.306</v>
      </c>
      <c r="L86" s="4">
        <f>I86+Aug!L86</f>
        <v>33322065.51</v>
      </c>
      <c r="M86" s="4">
        <f>J86+Aug!M86</f>
        <v>81808941.83</v>
      </c>
      <c r="N86" s="4">
        <f>L86-M86</f>
        <v>-48486876.32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22" t="s">
        <v>90</v>
      </c>
      <c r="B87" s="29"/>
      <c r="C87" s="1"/>
      <c r="D87" s="24">
        <f t="shared" ref="D87:N87" si="33">SUM(D86)</f>
        <v>893939713.2</v>
      </c>
      <c r="E87" s="24">
        <f t="shared" si="33"/>
        <v>1898346.14</v>
      </c>
      <c r="F87" s="24">
        <f t="shared" si="33"/>
        <v>892041367</v>
      </c>
      <c r="G87" s="24">
        <f t="shared" si="33"/>
        <v>0</v>
      </c>
      <c r="H87" s="24">
        <f t="shared" si="33"/>
        <v>676</v>
      </c>
      <c r="I87" s="24">
        <f t="shared" si="33"/>
        <v>2156502.084</v>
      </c>
      <c r="J87" s="24">
        <f t="shared" si="33"/>
        <v>7287672.39</v>
      </c>
      <c r="K87" s="24">
        <f t="shared" si="33"/>
        <v>-5131170.306</v>
      </c>
      <c r="L87" s="24">
        <f t="shared" si="33"/>
        <v>33322065.51</v>
      </c>
      <c r="M87" s="24">
        <f t="shared" si="33"/>
        <v>81808941.83</v>
      </c>
      <c r="N87" s="24">
        <f t="shared" si="33"/>
        <v>-48486876.32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1" t="s">
        <v>91</v>
      </c>
      <c r="B88" s="23"/>
      <c r="C88" s="29"/>
      <c r="D88" s="24">
        <f t="shared" ref="D88:N88" si="34">D76+D85+D87</f>
        <v>72814005391</v>
      </c>
      <c r="E88" s="24">
        <f t="shared" si="34"/>
        <v>436780971.3</v>
      </c>
      <c r="F88" s="24">
        <f t="shared" si="34"/>
        <v>72377224420</v>
      </c>
      <c r="G88" s="24">
        <f t="shared" si="34"/>
        <v>927281680</v>
      </c>
      <c r="H88" s="24">
        <f t="shared" si="34"/>
        <v>75676</v>
      </c>
      <c r="I88" s="24">
        <f t="shared" si="34"/>
        <v>418468323.8</v>
      </c>
      <c r="J88" s="24">
        <f t="shared" si="34"/>
        <v>1301084364</v>
      </c>
      <c r="K88" s="24">
        <f t="shared" si="34"/>
        <v>-882616040.3</v>
      </c>
      <c r="L88" s="24">
        <f t="shared" si="34"/>
        <v>4946701686</v>
      </c>
      <c r="M88" s="24">
        <f t="shared" si="34"/>
        <v>18460075692</v>
      </c>
      <c r="N88" s="24">
        <f t="shared" si="34"/>
        <v>-13513374005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92</v>
      </c>
      <c r="B89" s="2"/>
      <c r="C89" s="30"/>
      <c r="D89" s="6"/>
      <c r="E89" s="6"/>
      <c r="F89" s="6"/>
      <c r="G89" s="6"/>
      <c r="H89" s="5"/>
      <c r="I89" s="6"/>
      <c r="J89" s="4"/>
      <c r="K89" s="4"/>
      <c r="L89" s="4"/>
      <c r="M89" s="4"/>
      <c r="N89" s="4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8" t="s">
        <v>20</v>
      </c>
      <c r="B90" s="2"/>
      <c r="C90" s="30"/>
      <c r="D90" s="6"/>
      <c r="E90" s="6"/>
      <c r="F90" s="6"/>
      <c r="G90" s="6"/>
      <c r="H90" s="5"/>
      <c r="I90" s="6"/>
      <c r="J90" s="4"/>
      <c r="K90" s="4"/>
      <c r="L90" s="4"/>
      <c r="M90" s="4"/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/>
      <c r="B91" s="2">
        <v>61.0</v>
      </c>
      <c r="C91" s="3" t="s">
        <v>93</v>
      </c>
      <c r="D91" s="6">
        <v>5.527270381107E10</v>
      </c>
      <c r="E91" s="6">
        <v>2.418583559E7</v>
      </c>
      <c r="F91" s="6">
        <f t="shared" ref="F91:F93" si="35">D91-E91</f>
        <v>55248517975</v>
      </c>
      <c r="G91" s="6">
        <v>0.0</v>
      </c>
      <c r="H91" s="5">
        <v>33502.0</v>
      </c>
      <c r="I91" s="6">
        <v>6.78431723982E9</v>
      </c>
      <c r="J91" s="4">
        <v>6.19098330003E9</v>
      </c>
      <c r="K91" s="4">
        <f t="shared" ref="K91:K93" si="36">I91-J91</f>
        <v>593333939.8</v>
      </c>
      <c r="L91" s="4">
        <f>I91+Aug!L91</f>
        <v>32276887241</v>
      </c>
      <c r="M91" s="4">
        <f>J91+Aug!M91</f>
        <v>30332818178</v>
      </c>
      <c r="N91" s="4">
        <f t="shared" ref="N91:N95" si="37">L91-M91</f>
        <v>1944069062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94</v>
      </c>
      <c r="D92" s="6">
        <v>3.13394330826E9</v>
      </c>
      <c r="E92" s="6">
        <v>3.316680986E7</v>
      </c>
      <c r="F92" s="6">
        <f t="shared" si="35"/>
        <v>3100776498</v>
      </c>
      <c r="G92" s="6">
        <v>0.0</v>
      </c>
      <c r="H92" s="5">
        <v>667.0</v>
      </c>
      <c r="I92" s="6">
        <v>5.003510851E8</v>
      </c>
      <c r="J92" s="4">
        <v>1.4547450112E8</v>
      </c>
      <c r="K92" s="4">
        <f t="shared" si="36"/>
        <v>354876584</v>
      </c>
      <c r="L92" s="4">
        <f>I92+Aug!L92</f>
        <v>2521942546</v>
      </c>
      <c r="M92" s="4">
        <f>J92+Aug!M92</f>
        <v>2218374003</v>
      </c>
      <c r="N92" s="4">
        <f t="shared" si="37"/>
        <v>303568543.5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/>
      <c r="B93" s="2">
        <v>63.0</v>
      </c>
      <c r="C93" s="3" t="s">
        <v>95</v>
      </c>
      <c r="D93" s="6">
        <v>9.071474571662E10</v>
      </c>
      <c r="E93" s="6">
        <v>1.0296144612E9</v>
      </c>
      <c r="F93" s="6">
        <f t="shared" si="35"/>
        <v>89685131255</v>
      </c>
      <c r="G93" s="6">
        <v>0.0</v>
      </c>
      <c r="H93" s="5">
        <v>63780.0</v>
      </c>
      <c r="I93" s="6">
        <v>6.7554295134E9</v>
      </c>
      <c r="J93" s="4">
        <v>2.523687395338E10</v>
      </c>
      <c r="K93" s="4">
        <f t="shared" si="36"/>
        <v>-18481444440</v>
      </c>
      <c r="L93" s="4">
        <f>I93+Aug!L93</f>
        <v>135393885681</v>
      </c>
      <c r="M93" s="4">
        <f>J93+Aug!M93</f>
        <v>174299656702</v>
      </c>
      <c r="N93" s="4">
        <f t="shared" si="37"/>
        <v>-38905771022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 t="s">
        <v>40</v>
      </c>
      <c r="B94" s="2"/>
      <c r="C94" s="3"/>
      <c r="D94" s="6"/>
      <c r="E94" s="6"/>
      <c r="F94" s="6"/>
      <c r="G94" s="6"/>
      <c r="H94" s="5"/>
      <c r="I94" s="6"/>
      <c r="J94" s="4"/>
      <c r="K94" s="4"/>
      <c r="L94" s="4"/>
      <c r="M94" s="4"/>
      <c r="N94" s="4">
        <f t="shared" si="37"/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"/>
      <c r="B95" s="2">
        <v>64.0</v>
      </c>
      <c r="C95" s="3" t="s">
        <v>93</v>
      </c>
      <c r="D95" s="6">
        <v>1.32494770324E9</v>
      </c>
      <c r="E95" s="6">
        <v>1731411.52</v>
      </c>
      <c r="F95" s="6">
        <f>D95-E95</f>
        <v>1323216292</v>
      </c>
      <c r="G95" s="6">
        <v>0.0</v>
      </c>
      <c r="H95" s="5">
        <v>1478.0</v>
      </c>
      <c r="I95" s="6">
        <v>1.4225216987E9</v>
      </c>
      <c r="J95" s="4">
        <v>9.893320206E7</v>
      </c>
      <c r="K95" s="4">
        <f>I95-J95</f>
        <v>1323588497</v>
      </c>
      <c r="L95" s="4">
        <f>I95+Aug!L95</f>
        <v>1422521699</v>
      </c>
      <c r="M95" s="4">
        <f>J95+Aug!M95</f>
        <v>98933202.06</v>
      </c>
      <c r="N95" s="4">
        <f t="shared" si="37"/>
        <v>1323588497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22" t="s">
        <v>44</v>
      </c>
      <c r="B96" s="2"/>
      <c r="C96" s="3"/>
      <c r="D96" s="24">
        <f t="shared" ref="D96:N96" si="38">SUM(D91:D93)+D95</f>
        <v>150446340539</v>
      </c>
      <c r="E96" s="24">
        <f t="shared" si="38"/>
        <v>1088698518</v>
      </c>
      <c r="F96" s="24">
        <f t="shared" si="38"/>
        <v>149357642021</v>
      </c>
      <c r="G96" s="24">
        <f t="shared" si="38"/>
        <v>0</v>
      </c>
      <c r="H96" s="24">
        <f t="shared" si="38"/>
        <v>99427</v>
      </c>
      <c r="I96" s="24">
        <f t="shared" si="38"/>
        <v>15462619537</v>
      </c>
      <c r="J96" s="24">
        <f t="shared" si="38"/>
        <v>31672264957</v>
      </c>
      <c r="K96" s="24">
        <f t="shared" si="38"/>
        <v>-16209645420</v>
      </c>
      <c r="L96" s="24">
        <f t="shared" si="38"/>
        <v>171615237166</v>
      </c>
      <c r="M96" s="24">
        <f t="shared" si="38"/>
        <v>206949782086</v>
      </c>
      <c r="N96" s="24">
        <f t="shared" si="38"/>
        <v>-35334544919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8" t="s">
        <v>45</v>
      </c>
      <c r="B97" s="2"/>
      <c r="C97" s="3"/>
      <c r="D97" s="6"/>
      <c r="E97" s="6"/>
      <c r="F97" s="6"/>
      <c r="G97" s="6"/>
      <c r="H97" s="5"/>
      <c r="I97" s="6"/>
      <c r="J97" s="4"/>
      <c r="K97" s="4"/>
      <c r="L97" s="4"/>
      <c r="M97" s="4"/>
      <c r="N97" s="4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v>65.0</v>
      </c>
      <c r="C98" s="3" t="s">
        <v>96</v>
      </c>
      <c r="D98" s="6">
        <f>58.625*154597913.65</f>
        <v>9063302688</v>
      </c>
      <c r="E98" s="6">
        <f>58.625*2254523.9</f>
        <v>132171463.6</v>
      </c>
      <c r="F98" s="6">
        <f>D98-E98</f>
        <v>8931131224</v>
      </c>
      <c r="G98" s="6">
        <v>0.0</v>
      </c>
      <c r="H98" s="5">
        <v>3257.0</v>
      </c>
      <c r="I98" s="6">
        <f>58.625*19974307.63</f>
        <v>1170993785</v>
      </c>
      <c r="J98" s="6">
        <f>58.625*47516294.1</f>
        <v>2785642742</v>
      </c>
      <c r="K98" s="4">
        <f>I98-J98</f>
        <v>-1614648957</v>
      </c>
      <c r="L98" s="4">
        <f>I98+Aug!L96</f>
        <v>21666507725</v>
      </c>
      <c r="M98" s="4">
        <f>J98+Aug!M96</f>
        <v>23941161888</v>
      </c>
      <c r="N98" s="4">
        <f>L98-M98</f>
        <v>-2274654163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2" t="s">
        <v>88</v>
      </c>
      <c r="B99" s="2"/>
      <c r="C99" s="3"/>
      <c r="D99" s="24">
        <f t="shared" ref="D99:N99" si="39">SUM(D98)</f>
        <v>9063302688</v>
      </c>
      <c r="E99" s="24">
        <f t="shared" si="39"/>
        <v>132171463.6</v>
      </c>
      <c r="F99" s="24">
        <f t="shared" si="39"/>
        <v>8931131224</v>
      </c>
      <c r="G99" s="24">
        <f t="shared" si="39"/>
        <v>0</v>
      </c>
      <c r="H99" s="24">
        <f t="shared" si="39"/>
        <v>3257</v>
      </c>
      <c r="I99" s="24">
        <f t="shared" si="39"/>
        <v>1170993785</v>
      </c>
      <c r="J99" s="24">
        <f t="shared" si="39"/>
        <v>2785642742</v>
      </c>
      <c r="K99" s="24">
        <f t="shared" si="39"/>
        <v>-1614648957</v>
      </c>
      <c r="L99" s="24">
        <f t="shared" si="39"/>
        <v>21666507725</v>
      </c>
      <c r="M99" s="24">
        <f t="shared" si="39"/>
        <v>23941161888</v>
      </c>
      <c r="N99" s="24">
        <f t="shared" si="39"/>
        <v>-2274654163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 t="s">
        <v>97</v>
      </c>
      <c r="B100" s="2"/>
      <c r="C100" s="3"/>
      <c r="D100" s="24">
        <f t="shared" ref="D100:N100" si="40">D96+D99</f>
        <v>159509643227</v>
      </c>
      <c r="E100" s="24">
        <f t="shared" si="40"/>
        <v>1220869982</v>
      </c>
      <c r="F100" s="24">
        <f t="shared" si="40"/>
        <v>158288773245</v>
      </c>
      <c r="G100" s="24">
        <f t="shared" si="40"/>
        <v>0</v>
      </c>
      <c r="H100" s="24">
        <f t="shared" si="40"/>
        <v>102684</v>
      </c>
      <c r="I100" s="24">
        <f t="shared" si="40"/>
        <v>16633613322</v>
      </c>
      <c r="J100" s="24">
        <f t="shared" si="40"/>
        <v>34457907698</v>
      </c>
      <c r="K100" s="24">
        <f t="shared" si="40"/>
        <v>-17824294376</v>
      </c>
      <c r="L100" s="24">
        <f t="shared" si="40"/>
        <v>193281744891</v>
      </c>
      <c r="M100" s="24">
        <f t="shared" si="40"/>
        <v>230890943974</v>
      </c>
      <c r="N100" s="24">
        <f t="shared" si="40"/>
        <v>-37609199083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" t="s">
        <v>98</v>
      </c>
      <c r="B101" s="2"/>
      <c r="C101" s="3"/>
      <c r="D101" s="6"/>
      <c r="E101" s="6"/>
      <c r="F101" s="6"/>
      <c r="G101" s="6"/>
      <c r="H101" s="5"/>
      <c r="I101" s="6"/>
      <c r="J101" s="6"/>
      <c r="K101" s="4"/>
      <c r="L101" s="4"/>
      <c r="M101" s="4"/>
      <c r="N101" s="4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8" t="s">
        <v>99</v>
      </c>
      <c r="B102" s="2"/>
      <c r="C102" s="3"/>
      <c r="D102" s="6"/>
      <c r="E102" s="6"/>
      <c r="F102" s="6"/>
      <c r="G102" s="6"/>
      <c r="H102" s="5"/>
      <c r="I102" s="6"/>
      <c r="J102" s="6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8"/>
      <c r="B103" s="2">
        <v>66.0</v>
      </c>
      <c r="C103" s="3" t="s">
        <v>100</v>
      </c>
      <c r="D103" s="6">
        <v>9.31006995168E9</v>
      </c>
      <c r="E103" s="6">
        <v>1.812064042E7</v>
      </c>
      <c r="F103" s="6">
        <f t="shared" ref="F103:F104" si="41">D103-E103</f>
        <v>9291949311</v>
      </c>
      <c r="G103" s="6">
        <v>0.0</v>
      </c>
      <c r="H103" s="5">
        <v>46312.0</v>
      </c>
      <c r="I103" s="6">
        <v>1.8184420758E8</v>
      </c>
      <c r="J103" s="6">
        <v>7.73075123E7</v>
      </c>
      <c r="K103" s="4">
        <f t="shared" ref="K103:K104" si="42">I103-J103</f>
        <v>104536695.3</v>
      </c>
      <c r="L103" s="4">
        <f>I103+Aug!L101</f>
        <v>3160004473</v>
      </c>
      <c r="M103" s="4">
        <f>J103+Aug!M101</f>
        <v>749829807.5</v>
      </c>
      <c r="N103" s="4">
        <f t="shared" ref="N103:N104" si="43">L103-M103</f>
        <v>2410174665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"/>
      <c r="B104" s="2">
        <v>67.0</v>
      </c>
      <c r="C104" s="3" t="s">
        <v>101</v>
      </c>
      <c r="D104" s="6">
        <v>3.22597179484E9</v>
      </c>
      <c r="E104" s="6">
        <v>2.493369599E7</v>
      </c>
      <c r="F104" s="6">
        <f t="shared" si="41"/>
        <v>3201038099</v>
      </c>
      <c r="G104" s="6">
        <v>0.0</v>
      </c>
      <c r="H104" s="5">
        <v>5775.0</v>
      </c>
      <c r="I104" s="6">
        <v>5.094561299E7</v>
      </c>
      <c r="J104" s="6">
        <v>5.387788446E7</v>
      </c>
      <c r="K104" s="4">
        <f t="shared" si="42"/>
        <v>-2932271.47</v>
      </c>
      <c r="L104" s="4">
        <f>I104+Aug!L102</f>
        <v>1086384034</v>
      </c>
      <c r="M104" s="4">
        <f>J104+Aug!M102</f>
        <v>1141910386</v>
      </c>
      <c r="N104" s="4">
        <f t="shared" si="43"/>
        <v>-55526351.6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22" t="s">
        <v>44</v>
      </c>
      <c r="B105" s="2"/>
      <c r="C105" s="3"/>
      <c r="D105" s="24">
        <f t="shared" ref="D105:N105" si="44">D103+D104</f>
        <v>12536041747</v>
      </c>
      <c r="E105" s="24">
        <f t="shared" si="44"/>
        <v>43054336.41</v>
      </c>
      <c r="F105" s="24">
        <f t="shared" si="44"/>
        <v>12492987410</v>
      </c>
      <c r="G105" s="24">
        <f t="shared" si="44"/>
        <v>0</v>
      </c>
      <c r="H105" s="24">
        <f t="shared" si="44"/>
        <v>52087</v>
      </c>
      <c r="I105" s="24">
        <f t="shared" si="44"/>
        <v>232789820.6</v>
      </c>
      <c r="J105" s="24">
        <f t="shared" si="44"/>
        <v>131185396.8</v>
      </c>
      <c r="K105" s="24">
        <f t="shared" si="44"/>
        <v>101604423.8</v>
      </c>
      <c r="L105" s="24">
        <f t="shared" si="44"/>
        <v>4246388507</v>
      </c>
      <c r="M105" s="24">
        <f t="shared" si="44"/>
        <v>1891740194</v>
      </c>
      <c r="N105" s="24">
        <f t="shared" si="44"/>
        <v>2354648314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8" t="s">
        <v>102</v>
      </c>
      <c r="B106" s="2"/>
      <c r="C106" s="3"/>
      <c r="D106" s="6"/>
      <c r="E106" s="6"/>
      <c r="F106" s="6"/>
      <c r="G106" s="6"/>
      <c r="H106" s="5"/>
      <c r="I106" s="6"/>
      <c r="J106" s="6"/>
      <c r="K106" s="4"/>
      <c r="L106" s="4"/>
      <c r="M106" s="4"/>
      <c r="N106" s="4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"/>
      <c r="B107" s="2">
        <v>68.0</v>
      </c>
      <c r="C107" s="3" t="s">
        <v>103</v>
      </c>
      <c r="D107" s="6">
        <f>58.625*173579428.09</f>
        <v>10176093972</v>
      </c>
      <c r="E107" s="6">
        <f>58.625*658932.63</f>
        <v>38629925.43</v>
      </c>
      <c r="F107" s="6">
        <f>D107-E107</f>
        <v>10137464046</v>
      </c>
      <c r="G107" s="6">
        <v>0.0</v>
      </c>
      <c r="H107" s="5">
        <v>8412.0</v>
      </c>
      <c r="I107" s="6">
        <f>58.625*1483613.07</f>
        <v>86976816.23</v>
      </c>
      <c r="J107" s="6">
        <f>58.625*2937001.14</f>
        <v>172181691.8</v>
      </c>
      <c r="K107" s="4">
        <f>I107-J107</f>
        <v>-85204875.6</v>
      </c>
      <c r="L107" s="4">
        <f>I107+Aug!L105</f>
        <v>1561426778</v>
      </c>
      <c r="M107" s="4">
        <f>J107+Aug!M105</f>
        <v>1079137979</v>
      </c>
      <c r="N107" s="4">
        <f>L107-M107</f>
        <v>482288799.1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22" t="s">
        <v>88</v>
      </c>
      <c r="B108" s="23"/>
      <c r="C108" s="1"/>
      <c r="D108" s="24">
        <f t="shared" ref="D108:N108" si="45">SUM(D107)</f>
        <v>10176093972</v>
      </c>
      <c r="E108" s="24">
        <f t="shared" si="45"/>
        <v>38629925.43</v>
      </c>
      <c r="F108" s="24">
        <f t="shared" si="45"/>
        <v>10137464046</v>
      </c>
      <c r="G108" s="24">
        <f t="shared" si="45"/>
        <v>0</v>
      </c>
      <c r="H108" s="24">
        <f t="shared" si="45"/>
        <v>8412</v>
      </c>
      <c r="I108" s="24">
        <f t="shared" si="45"/>
        <v>86976816.23</v>
      </c>
      <c r="J108" s="24">
        <f t="shared" si="45"/>
        <v>172181691.8</v>
      </c>
      <c r="K108" s="24">
        <f t="shared" si="45"/>
        <v>-85204875.6</v>
      </c>
      <c r="L108" s="24">
        <f t="shared" si="45"/>
        <v>1561426778</v>
      </c>
      <c r="M108" s="24">
        <f t="shared" si="45"/>
        <v>1079137979</v>
      </c>
      <c r="N108" s="24">
        <f t="shared" si="45"/>
        <v>482288799.1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 t="s">
        <v>104</v>
      </c>
      <c r="B109" s="31"/>
      <c r="C109" s="29"/>
      <c r="D109" s="24">
        <f t="shared" ref="D109:N109" si="46">SUM(D105+D108)</f>
        <v>22712135718</v>
      </c>
      <c r="E109" s="24">
        <f t="shared" si="46"/>
        <v>81684261.84</v>
      </c>
      <c r="F109" s="24">
        <f t="shared" si="46"/>
        <v>22630451456</v>
      </c>
      <c r="G109" s="24">
        <f t="shared" si="46"/>
        <v>0</v>
      </c>
      <c r="H109" s="24">
        <f t="shared" si="46"/>
        <v>60499</v>
      </c>
      <c r="I109" s="24">
        <f t="shared" si="46"/>
        <v>319766636.8</v>
      </c>
      <c r="J109" s="24">
        <f t="shared" si="46"/>
        <v>303367088.6</v>
      </c>
      <c r="K109" s="24">
        <f t="shared" si="46"/>
        <v>16399548.21</v>
      </c>
      <c r="L109" s="24">
        <f t="shared" si="46"/>
        <v>5807815285</v>
      </c>
      <c r="M109" s="24">
        <f t="shared" si="46"/>
        <v>2970878173</v>
      </c>
      <c r="N109" s="24">
        <f t="shared" si="46"/>
        <v>2836937113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32" t="s">
        <v>105</v>
      </c>
      <c r="B110" s="33"/>
      <c r="C110" s="34"/>
      <c r="D110" s="35">
        <f t="shared" ref="D110:N110" si="47">D38+D62+D88+D100+D109</f>
        <v>332895018567</v>
      </c>
      <c r="E110" s="35">
        <f t="shared" si="47"/>
        <v>2860492865</v>
      </c>
      <c r="F110" s="35">
        <f t="shared" si="47"/>
        <v>330034525702</v>
      </c>
      <c r="G110" s="35">
        <f t="shared" si="47"/>
        <v>63705946761</v>
      </c>
      <c r="H110" s="35">
        <f t="shared" si="47"/>
        <v>864172</v>
      </c>
      <c r="I110" s="35">
        <f t="shared" si="47"/>
        <v>17987836237</v>
      </c>
      <c r="J110" s="35">
        <f t="shared" si="47"/>
        <v>36585111074</v>
      </c>
      <c r="K110" s="35">
        <f t="shared" si="47"/>
        <v>-18597274837</v>
      </c>
      <c r="L110" s="35">
        <f t="shared" si="47"/>
        <v>213847540090</v>
      </c>
      <c r="M110" s="35">
        <f t="shared" si="47"/>
        <v>310145940887</v>
      </c>
      <c r="N110" s="35">
        <f t="shared" si="47"/>
        <v>-96298400798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2.0" customHeight="1">
      <c r="A111" s="3"/>
      <c r="B111" s="2"/>
      <c r="C111" s="36"/>
      <c r="D111" s="4"/>
      <c r="E111" s="4"/>
      <c r="F111" s="4"/>
      <c r="G111" s="4"/>
      <c r="H111" s="5"/>
      <c r="I111" s="6"/>
      <c r="J111" s="4"/>
      <c r="K111" s="4"/>
      <c r="L111" s="4"/>
      <c r="M111" s="4"/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60" t="s">
        <v>216</v>
      </c>
      <c r="B112" s="30"/>
      <c r="C112" s="30"/>
      <c r="D112" s="4"/>
      <c r="E112" s="4"/>
      <c r="F112" s="4"/>
      <c r="G112" s="4"/>
      <c r="H112" s="5"/>
      <c r="I112" s="4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0" t="s">
        <v>217</v>
      </c>
      <c r="B113" s="30"/>
      <c r="C113" s="30"/>
      <c r="D113" s="4"/>
      <c r="E113" s="4"/>
      <c r="F113" s="4"/>
      <c r="G113" s="4"/>
      <c r="H113" s="5"/>
      <c r="I113" s="6"/>
      <c r="J113" s="4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6"/>
      <c r="B114" s="36"/>
      <c r="C114" s="36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6"/>
      <c r="B115" s="36"/>
      <c r="C115" s="36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6"/>
      <c r="B116" s="36"/>
      <c r="C116" s="36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6"/>
      <c r="B117" s="36"/>
      <c r="C117" s="36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6"/>
      <c r="B118" s="36"/>
      <c r="C118" s="36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6"/>
      <c r="B119" s="36"/>
      <c r="C119" s="36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5.75"/>
    <col customWidth="1" min="5" max="5" width="14.5"/>
    <col customWidth="1" min="6" max="6" width="16.88"/>
    <col customWidth="1" min="7" max="7" width="17.13"/>
    <col customWidth="1" min="8" max="27" width="9.13"/>
  </cols>
  <sheetData>
    <row r="1" ht="12.0" customHeight="1">
      <c r="A1" s="1" t="s">
        <v>0</v>
      </c>
      <c r="B1" s="2"/>
      <c r="C1" s="3"/>
      <c r="D1" s="37"/>
      <c r="E1" s="38"/>
      <c r="F1" s="37"/>
      <c r="G1" s="39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0" customHeight="1">
      <c r="A2" s="1" t="s">
        <v>1</v>
      </c>
      <c r="B2" s="2"/>
      <c r="C2" s="3"/>
      <c r="D2" s="37"/>
      <c r="E2" s="38"/>
      <c r="F2" s="40"/>
      <c r="G2" s="4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0" customHeight="1">
      <c r="A3" s="1" t="s">
        <v>218</v>
      </c>
      <c r="B3" s="2"/>
      <c r="C3" s="1"/>
      <c r="D3" s="42"/>
      <c r="E3" s="43"/>
      <c r="F3" s="44"/>
      <c r="G3" s="3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0" customHeight="1">
      <c r="A4" s="1" t="s">
        <v>3</v>
      </c>
      <c r="B4" s="2"/>
      <c r="C4" s="1"/>
      <c r="D4" s="42"/>
      <c r="E4" s="43"/>
      <c r="F4" s="44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0" customHeight="1">
      <c r="A5" s="1"/>
      <c r="B5" s="2"/>
      <c r="C5" s="3"/>
      <c r="D5" s="37"/>
      <c r="E5" s="4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0" customHeight="1">
      <c r="A6" s="45" t="s">
        <v>6</v>
      </c>
      <c r="B6" s="46"/>
      <c r="C6" s="47" t="s">
        <v>7</v>
      </c>
      <c r="D6" s="48" t="s">
        <v>10</v>
      </c>
      <c r="E6" s="48" t="s">
        <v>16</v>
      </c>
      <c r="F6" s="48" t="s">
        <v>17</v>
      </c>
      <c r="G6" s="49" t="s">
        <v>15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0" customHeight="1">
      <c r="A9" s="18"/>
      <c r="B9" s="2">
        <v>1.0</v>
      </c>
      <c r="C9" s="3" t="s">
        <v>21</v>
      </c>
      <c r="D9" s="6">
        <f>Sep!F9</f>
        <v>4205927710</v>
      </c>
      <c r="E9" s="4">
        <f>July!I9+Aug!I9+Sep!I9</f>
        <v>38222905.34</v>
      </c>
      <c r="F9" s="4">
        <f>July!J9+Aug!J9+Sep!J9</f>
        <v>88200185.84</v>
      </c>
      <c r="G9" s="4">
        <f t="shared" ref="G9:G27" si="1">E9-F9</f>
        <v>-49977280.5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0" customHeight="1">
      <c r="A10" s="18"/>
      <c r="B10" s="2">
        <v>2.0</v>
      </c>
      <c r="C10" s="3" t="s">
        <v>219</v>
      </c>
      <c r="D10" s="6">
        <f>Sep!F10</f>
        <v>686272932.2</v>
      </c>
      <c r="E10" s="4">
        <f>July!I10+Aug!I10+Sep!I10</f>
        <v>25645271.9</v>
      </c>
      <c r="F10" s="4">
        <f>July!J10+Aug!J10+Sep!J10</f>
        <v>17003204.12</v>
      </c>
      <c r="G10" s="4">
        <f t="shared" si="1"/>
        <v>8642067.78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0" customHeight="1">
      <c r="A11" s="18"/>
      <c r="B11" s="2">
        <v>3.0</v>
      </c>
      <c r="C11" s="3" t="s">
        <v>220</v>
      </c>
      <c r="D11" s="6">
        <f>Sep!F11</f>
        <v>903930307.8</v>
      </c>
      <c r="E11" s="4">
        <f>July!I11+Aug!I11+Sep!I11</f>
        <v>28121422.04</v>
      </c>
      <c r="F11" s="4">
        <f>July!J11+Aug!J11+Sep!J11</f>
        <v>15456586.14</v>
      </c>
      <c r="G11" s="4">
        <f t="shared" si="1"/>
        <v>12664835.9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0" customHeight="1">
      <c r="A12" s="18"/>
      <c r="B12" s="2">
        <v>4.0</v>
      </c>
      <c r="C12" s="3" t="s">
        <v>24</v>
      </c>
      <c r="D12" s="6">
        <f>Sep!F12</f>
        <v>322229702</v>
      </c>
      <c r="E12" s="4">
        <f>July!I12+Aug!I12+Sep!I12</f>
        <v>4700436.43</v>
      </c>
      <c r="F12" s="4">
        <f>July!J12+Aug!J12+Sep!J12</f>
        <v>850297.58</v>
      </c>
      <c r="G12" s="4">
        <f t="shared" si="1"/>
        <v>3850138.85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18"/>
      <c r="B13" s="2">
        <v>5.0</v>
      </c>
      <c r="C13" s="3" t="s">
        <v>208</v>
      </c>
      <c r="D13" s="6">
        <f>Sep!F13</f>
        <v>488981560.4</v>
      </c>
      <c r="E13" s="4">
        <f>July!I13+Aug!I13+Sep!I13</f>
        <v>6661230.065</v>
      </c>
      <c r="F13" s="4">
        <f>July!J13+Aug!J13+Sep!J13</f>
        <v>1713026.43</v>
      </c>
      <c r="G13" s="4">
        <f t="shared" si="1"/>
        <v>4948203.635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3"/>
      <c r="B14" s="2">
        <v>6.0</v>
      </c>
      <c r="C14" s="3" t="s">
        <v>26</v>
      </c>
      <c r="D14" s="6">
        <f>Sep!F14</f>
        <v>3791166364</v>
      </c>
      <c r="E14" s="4">
        <f>July!I14+Aug!I14+Sep!I14</f>
        <v>105204542.8</v>
      </c>
      <c r="F14" s="4">
        <f>July!J14+Aug!J14+Sep!J14</f>
        <v>25987666.56</v>
      </c>
      <c r="G14" s="4">
        <f t="shared" si="1"/>
        <v>79216876.27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3"/>
      <c r="B15" s="2">
        <v>7.0</v>
      </c>
      <c r="C15" s="3" t="s">
        <v>221</v>
      </c>
      <c r="D15" s="6">
        <f>Sep!F15</f>
        <v>84685102.67</v>
      </c>
      <c r="E15" s="4">
        <f>July!I15+Aug!I15+Sep!I15</f>
        <v>4681677.64</v>
      </c>
      <c r="F15" s="4">
        <f>July!J15+Aug!J15+Sep!J15</f>
        <v>832134.38</v>
      </c>
      <c r="G15" s="4">
        <f t="shared" si="1"/>
        <v>3849543.26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3"/>
      <c r="B16" s="2">
        <v>8.0</v>
      </c>
      <c r="C16" s="3" t="s">
        <v>28</v>
      </c>
      <c r="D16" s="6">
        <f>Sep!F16</f>
        <v>112021956.2</v>
      </c>
      <c r="E16" s="4">
        <f>July!I16+Aug!I16+Sep!I16</f>
        <v>200100</v>
      </c>
      <c r="F16" s="4">
        <f>July!J16+Aug!J16+Sep!J16</f>
        <v>2284732.56</v>
      </c>
      <c r="G16" s="4">
        <f t="shared" si="1"/>
        <v>-2084632.56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3"/>
      <c r="B17" s="2">
        <v>9.0</v>
      </c>
      <c r="C17" s="3" t="s">
        <v>29</v>
      </c>
      <c r="D17" s="6">
        <f>Sep!F17</f>
        <v>1171729502</v>
      </c>
      <c r="E17" s="4">
        <f>July!I17+Aug!I17+Sep!I17</f>
        <v>152080873.9</v>
      </c>
      <c r="F17" s="4">
        <f>July!J17+Aug!J17+Sep!J17</f>
        <v>14629104360</v>
      </c>
      <c r="G17" s="4">
        <f t="shared" si="1"/>
        <v>-14477023486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2">
        <v>10.0</v>
      </c>
      <c r="C18" s="3" t="s">
        <v>30</v>
      </c>
      <c r="D18" s="6">
        <f>Sep!F18</f>
        <v>3396237481</v>
      </c>
      <c r="E18" s="4">
        <f>July!I18+Aug!I18+Sep!I18</f>
        <v>75067162.34</v>
      </c>
      <c r="F18" s="4">
        <f>July!J18+Aug!J18+Sep!J18</f>
        <v>27330790816</v>
      </c>
      <c r="G18" s="4">
        <f t="shared" si="1"/>
        <v>-27255723654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3"/>
      <c r="B19" s="2">
        <v>11.0</v>
      </c>
      <c r="C19" s="3" t="s">
        <v>31</v>
      </c>
      <c r="D19" s="6">
        <f>Sep!F19</f>
        <v>1898070147</v>
      </c>
      <c r="E19" s="4">
        <f>July!I19+Aug!I19+Sep!I19</f>
        <v>15073976.66</v>
      </c>
      <c r="F19" s="4">
        <f>July!J19+Aug!J19+Sep!J19</f>
        <v>19997552.11</v>
      </c>
      <c r="G19" s="4">
        <f t="shared" si="1"/>
        <v>-4923575.45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2">
        <v>12.0</v>
      </c>
      <c r="C20" s="3" t="s">
        <v>32</v>
      </c>
      <c r="D20" s="6">
        <f>Sep!F20</f>
        <v>8698336881</v>
      </c>
      <c r="E20" s="4">
        <f>July!I20+Aug!I20+Sep!I20</f>
        <v>50104580.33</v>
      </c>
      <c r="F20" s="4">
        <f>July!J20+Aug!J20+Sep!J20</f>
        <v>143327165.1</v>
      </c>
      <c r="G20" s="4">
        <f t="shared" si="1"/>
        <v>-93222584.78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2">
        <v>13.0</v>
      </c>
      <c r="C21" s="3" t="s">
        <v>33</v>
      </c>
      <c r="D21" s="6">
        <f>Sep!F21</f>
        <v>276307530.1</v>
      </c>
      <c r="E21" s="4">
        <f>July!I21+Aug!I21+Sep!I21</f>
        <v>1197882.8</v>
      </c>
      <c r="F21" s="4">
        <f>July!J21+Aug!J21+Sep!J21</f>
        <v>814957.37</v>
      </c>
      <c r="G21" s="4">
        <f t="shared" si="1"/>
        <v>382925.43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1"/>
      <c r="B22" s="2">
        <v>14.0</v>
      </c>
      <c r="C22" s="3" t="s">
        <v>34</v>
      </c>
      <c r="D22" s="6">
        <f>Sep!F22</f>
        <v>3257871030</v>
      </c>
      <c r="E22" s="4">
        <f>July!I22+Aug!I22+Sep!I22</f>
        <v>64627216.9</v>
      </c>
      <c r="F22" s="4">
        <f>July!J22+Aug!J22+Sep!J22</f>
        <v>100320511.2</v>
      </c>
      <c r="G22" s="4">
        <f t="shared" si="1"/>
        <v>-35693294.33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2">
        <v>15.0</v>
      </c>
      <c r="C23" s="3" t="s">
        <v>35</v>
      </c>
      <c r="D23" s="6">
        <f>Sep!F23</f>
        <v>8107778191</v>
      </c>
      <c r="E23" s="4">
        <f>July!I23+Aug!I23+Sep!I23</f>
        <v>5282092.17</v>
      </c>
      <c r="F23" s="4">
        <f>July!J23+Aug!J23+Sep!J23</f>
        <v>186187817.3</v>
      </c>
      <c r="G23" s="4">
        <f t="shared" si="1"/>
        <v>-180905725.1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2">
        <v>16.0</v>
      </c>
      <c r="C24" s="19" t="s">
        <v>36</v>
      </c>
      <c r="D24" s="6">
        <f>Sep!F24</f>
        <v>2514714586</v>
      </c>
      <c r="E24" s="4">
        <f>July!I24+Aug!I24+Sep!I24</f>
        <v>232719064.4</v>
      </c>
      <c r="F24" s="4">
        <f>July!J24+Aug!J24+Sep!J24</f>
        <v>6642150.47</v>
      </c>
      <c r="G24" s="4">
        <f t="shared" si="1"/>
        <v>226076914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20"/>
      <c r="B25" s="2">
        <v>17.0</v>
      </c>
      <c r="C25" s="21" t="s">
        <v>37</v>
      </c>
      <c r="D25" s="6">
        <f>Sep!F25</f>
        <v>6479839998</v>
      </c>
      <c r="E25" s="4">
        <f>July!I25+Aug!I25+Sep!I25</f>
        <v>164205390.8</v>
      </c>
      <c r="F25" s="4">
        <f>July!J25+Aug!J25+Sep!J25</f>
        <v>172483585.6</v>
      </c>
      <c r="G25" s="4">
        <f t="shared" si="1"/>
        <v>-8278194.78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20"/>
      <c r="B26" s="2">
        <v>18.0</v>
      </c>
      <c r="C26" s="21" t="s">
        <v>38</v>
      </c>
      <c r="D26" s="6">
        <f>Sep!F26</f>
        <v>10110818485</v>
      </c>
      <c r="E26" s="4">
        <f>July!I26+Aug!I26+Sep!I26</f>
        <v>530616392.9</v>
      </c>
      <c r="F26" s="4">
        <f>July!J26+Aug!J26+Sep!J26</f>
        <v>368398148.6</v>
      </c>
      <c r="G26" s="4">
        <f t="shared" si="1"/>
        <v>162218244.4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2">
        <v>19.0</v>
      </c>
      <c r="C27" s="3" t="s">
        <v>39</v>
      </c>
      <c r="D27" s="6">
        <f>Sep!F27</f>
        <v>529702386.1</v>
      </c>
      <c r="E27" s="4">
        <f>July!I27+Aug!I27+Sep!I27</f>
        <v>2750454.88</v>
      </c>
      <c r="F27" s="4">
        <f>July!J27+Aug!J27+Sep!J27</f>
        <v>1282533.57</v>
      </c>
      <c r="G27" s="4">
        <f t="shared" si="1"/>
        <v>1467921.31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18" t="s">
        <v>40</v>
      </c>
      <c r="B28" s="2"/>
      <c r="C28" s="3"/>
      <c r="D28" s="6"/>
      <c r="E28" s="4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3"/>
      <c r="B29" s="2">
        <v>20.0</v>
      </c>
      <c r="C29" s="3" t="s">
        <v>41</v>
      </c>
      <c r="D29" s="6">
        <f>Sep!F29</f>
        <v>308088688.8</v>
      </c>
      <c r="E29" s="4">
        <f>July!I29+Aug!I29+Sep!I29</f>
        <v>12695722.6</v>
      </c>
      <c r="F29" s="4">
        <f>July!J29+Aug!J29+Sep!J29</f>
        <v>2895818.9</v>
      </c>
      <c r="G29" s="4">
        <f t="shared" ref="G29:G30" si="2">E29-F29</f>
        <v>9799903.7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3"/>
      <c r="B30" s="2">
        <v>21.0</v>
      </c>
      <c r="C30" s="3" t="s">
        <v>35</v>
      </c>
      <c r="D30" s="6">
        <f>Sep!F30</f>
        <v>387439583.2</v>
      </c>
      <c r="E30" s="4">
        <f>July!I30+Aug!I30+Sep!I30</f>
        <v>122993807.4</v>
      </c>
      <c r="F30" s="4">
        <f>July!J30+Aug!J30+Sep!J30</f>
        <v>51308819.01</v>
      </c>
      <c r="G30" s="4">
        <f t="shared" si="2"/>
        <v>71684988.39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18" t="s">
        <v>42</v>
      </c>
      <c r="B31" s="2"/>
      <c r="C31" s="3"/>
      <c r="D31" s="6"/>
      <c r="E31" s="4"/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1.25" customHeight="1">
      <c r="A32" s="3"/>
      <c r="B32" s="2">
        <v>22.0</v>
      </c>
      <c r="C32" s="3" t="s">
        <v>43</v>
      </c>
      <c r="D32" s="6">
        <f>Sep!F32</f>
        <v>1920410953</v>
      </c>
      <c r="E32" s="4">
        <f>July!I32+Aug!I32+Sep!I32</f>
        <v>239807125</v>
      </c>
      <c r="F32" s="4">
        <f>July!J32+Aug!J32+Sep!J32</f>
        <v>189348565</v>
      </c>
      <c r="G32" s="4">
        <f>E32-F32</f>
        <v>50458560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1.25" customHeight="1">
      <c r="A33" s="22" t="s">
        <v>44</v>
      </c>
      <c r="B33" s="23"/>
      <c r="C33" s="1"/>
      <c r="D33" s="24">
        <f t="shared" ref="D33:G33" si="3">SUM(D9:D32)</f>
        <v>59652561078</v>
      </c>
      <c r="E33" s="24">
        <f t="shared" si="3"/>
        <v>1882659329</v>
      </c>
      <c r="F33" s="24">
        <f t="shared" si="3"/>
        <v>43355230633</v>
      </c>
      <c r="G33" s="24">
        <f t="shared" si="3"/>
        <v>-41472571304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2.0" customHeight="1">
      <c r="A34" s="18" t="s">
        <v>45</v>
      </c>
      <c r="B34" s="2"/>
      <c r="C34" s="3"/>
      <c r="D34" s="6"/>
      <c r="E34" s="4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2.0" customHeight="1">
      <c r="A35" s="3"/>
      <c r="B35" s="2">
        <v>23.0</v>
      </c>
      <c r="C35" s="3" t="s">
        <v>222</v>
      </c>
      <c r="D35" s="6">
        <f>Sep!F35</f>
        <v>36106874.27</v>
      </c>
      <c r="E35" s="4">
        <f>July!I35+Aug!I35+Sep!I35</f>
        <v>245014.74</v>
      </c>
      <c r="F35" s="4">
        <f>July!J35+Aug!J35+Sep!J35</f>
        <v>30143.13</v>
      </c>
      <c r="G35" s="4">
        <f t="shared" ref="G35:G36" si="4">E35-F35</f>
        <v>214871.61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0" customHeight="1">
      <c r="A36" s="3"/>
      <c r="B36" s="2">
        <v>24.0</v>
      </c>
      <c r="C36" s="3" t="s">
        <v>47</v>
      </c>
      <c r="D36" s="6">
        <f>Sep!F36</f>
        <v>1771828755</v>
      </c>
      <c r="E36" s="4">
        <f>July!I36+Aug!I36+Sep!I36</f>
        <v>27146438.68</v>
      </c>
      <c r="F36" s="4">
        <f>July!J36+Aug!J36+Sep!J36</f>
        <v>97057950.83</v>
      </c>
      <c r="G36" s="4">
        <f t="shared" si="4"/>
        <v>-69911512.15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22" t="s">
        <v>48</v>
      </c>
      <c r="B37" s="23"/>
      <c r="C37" s="1"/>
      <c r="D37" s="24">
        <f t="shared" ref="D37:G37" si="5">SUM(D35:D36)</f>
        <v>1807935629</v>
      </c>
      <c r="E37" s="24">
        <f t="shared" si="5"/>
        <v>27391453.42</v>
      </c>
      <c r="F37" s="24">
        <f t="shared" si="5"/>
        <v>97088093.96</v>
      </c>
      <c r="G37" s="24">
        <f t="shared" si="5"/>
        <v>-69696640.54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2.0" customHeight="1">
      <c r="A38" s="1" t="s">
        <v>49</v>
      </c>
      <c r="B38" s="23"/>
      <c r="C38" s="1"/>
      <c r="D38" s="24">
        <f t="shared" ref="D38:G38" si="6">D33+D37</f>
        <v>61460496707</v>
      </c>
      <c r="E38" s="24">
        <f t="shared" si="6"/>
        <v>1910050783</v>
      </c>
      <c r="F38" s="24">
        <f t="shared" si="6"/>
        <v>43452318727</v>
      </c>
      <c r="G38" s="24">
        <f t="shared" si="6"/>
        <v>-41542267944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0" customHeight="1">
      <c r="A39" s="1" t="s">
        <v>50</v>
      </c>
      <c r="B39" s="2"/>
      <c r="C39" s="3"/>
      <c r="D39" s="6"/>
      <c r="E39" s="4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2.0" customHeight="1">
      <c r="A40" s="18" t="s">
        <v>20</v>
      </c>
      <c r="B40" s="2"/>
      <c r="C40" s="3"/>
      <c r="D40" s="6"/>
      <c r="E40" s="4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0" customHeight="1">
      <c r="A41" s="18"/>
      <c r="B41" s="2">
        <v>25.0</v>
      </c>
      <c r="C41" s="3" t="s">
        <v>223</v>
      </c>
      <c r="D41" s="6">
        <f>Sep!F41</f>
        <v>115593462.3</v>
      </c>
      <c r="E41" s="4">
        <f>July!I41+Aug!I41+Sep!I41</f>
        <v>1514797.76</v>
      </c>
      <c r="F41" s="4">
        <f>July!J41+Aug!J41+Sep!J41</f>
        <v>584740.64</v>
      </c>
      <c r="G41" s="4">
        <f t="shared" ref="G41:G50" si="7">E41-F41</f>
        <v>930057.12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3"/>
      <c r="B42" s="2">
        <v>26.0</v>
      </c>
      <c r="C42" s="3" t="s">
        <v>224</v>
      </c>
      <c r="D42" s="6">
        <f>Sep!F42</f>
        <v>570255786.3</v>
      </c>
      <c r="E42" s="4">
        <f>July!I42+Aug!I42+Sep!I42</f>
        <v>2570691.78</v>
      </c>
      <c r="F42" s="4">
        <f>July!J42+Aug!J42+Sep!J42</f>
        <v>23492897.79</v>
      </c>
      <c r="G42" s="4">
        <f t="shared" si="7"/>
        <v>-20922206.01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/>
      <c r="B43" s="2">
        <v>27.0</v>
      </c>
      <c r="C43" s="3" t="s">
        <v>53</v>
      </c>
      <c r="D43" s="6">
        <f>Sep!F43</f>
        <v>1000479257</v>
      </c>
      <c r="E43" s="4">
        <f>July!I43+Aug!I43+Sep!I43</f>
        <v>20788968.74</v>
      </c>
      <c r="F43" s="4">
        <f>July!J43+Aug!J43+Sep!J43</f>
        <v>32008580.09</v>
      </c>
      <c r="G43" s="4">
        <f t="shared" si="7"/>
        <v>-11219611.35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2">
        <v>28.0</v>
      </c>
      <c r="C44" s="3" t="s">
        <v>54</v>
      </c>
      <c r="D44" s="6">
        <f>Sep!F44</f>
        <v>274874040.9</v>
      </c>
      <c r="E44" s="4">
        <f>July!I44+Aug!I44+Sep!I44</f>
        <v>14225759.61</v>
      </c>
      <c r="F44" s="4">
        <f>July!J44+Aug!J44+Sep!J44</f>
        <v>12664303.54</v>
      </c>
      <c r="G44" s="4">
        <f t="shared" si="7"/>
        <v>1561456.07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2">
        <v>29.0</v>
      </c>
      <c r="C45" s="3" t="s">
        <v>55</v>
      </c>
      <c r="D45" s="6">
        <f>Sep!F45</f>
        <v>317213993.4</v>
      </c>
      <c r="E45" s="4">
        <f>July!I45+Aug!I45+Sep!I45</f>
        <v>0</v>
      </c>
      <c r="F45" s="4">
        <f>July!J45+Aug!J45+Sep!J45</f>
        <v>0</v>
      </c>
      <c r="G45" s="4">
        <f t="shared" si="7"/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2">
        <v>30.0</v>
      </c>
      <c r="C46" s="3" t="s">
        <v>56</v>
      </c>
      <c r="D46" s="6">
        <f>Sep!F46</f>
        <v>514100334.7</v>
      </c>
      <c r="E46" s="4">
        <f>July!I46+Aug!I46+Sep!I46</f>
        <v>904491.97</v>
      </c>
      <c r="F46" s="4">
        <f>July!J46+Aug!J46+Sep!J46</f>
        <v>12231851.81</v>
      </c>
      <c r="G46" s="4">
        <f t="shared" si="7"/>
        <v>-11327359.84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2">
        <v>31.0</v>
      </c>
      <c r="C47" s="3" t="s">
        <v>57</v>
      </c>
      <c r="D47" s="6">
        <f>Sep!F47</f>
        <v>1969167987</v>
      </c>
      <c r="E47" s="4">
        <f>July!I47+Aug!I47+Sep!I47</f>
        <v>32619288.33</v>
      </c>
      <c r="F47" s="4">
        <f>July!J47+Aug!J47+Sep!J47</f>
        <v>8141886159</v>
      </c>
      <c r="G47" s="4">
        <f t="shared" si="7"/>
        <v>-8109266871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1.25" customHeight="1">
      <c r="A48" s="18"/>
      <c r="B48" s="2">
        <v>32.0</v>
      </c>
      <c r="C48" s="3" t="s">
        <v>225</v>
      </c>
      <c r="D48" s="6">
        <f>Sep!F48</f>
        <v>128597641.3</v>
      </c>
      <c r="E48" s="4">
        <f>July!I48+Aug!I48+Sep!I48</f>
        <v>325480.39</v>
      </c>
      <c r="F48" s="4">
        <f>July!J48+Aug!J48+Sep!J48</f>
        <v>110223.19</v>
      </c>
      <c r="G48" s="4">
        <f t="shared" si="7"/>
        <v>215257.2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0" customHeight="1">
      <c r="A49" s="3"/>
      <c r="B49" s="2">
        <v>33.0</v>
      </c>
      <c r="C49" s="3" t="s">
        <v>59</v>
      </c>
      <c r="D49" s="6">
        <f>Sep!F49</f>
        <v>6874999571</v>
      </c>
      <c r="E49" s="4">
        <f>July!I49+Aug!I49+Sep!I49</f>
        <v>45337639.9</v>
      </c>
      <c r="F49" s="4">
        <f>July!J49+Aug!J49+Sep!J49</f>
        <v>84483419.13</v>
      </c>
      <c r="G49" s="4">
        <f t="shared" si="7"/>
        <v>-39145779.23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0" customHeight="1">
      <c r="A50" s="3"/>
      <c r="B50" s="2">
        <v>34.0</v>
      </c>
      <c r="C50" s="3" t="s">
        <v>60</v>
      </c>
      <c r="D50" s="6">
        <f>Sep!F50</f>
        <v>1083467120</v>
      </c>
      <c r="E50" s="4">
        <f>July!I50+Aug!I50+Sep!I50</f>
        <v>0</v>
      </c>
      <c r="F50" s="4">
        <f>July!J50+Aug!J50+Sep!J50</f>
        <v>3473617.12</v>
      </c>
      <c r="G50" s="4">
        <f t="shared" si="7"/>
        <v>-3473617.12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18" t="s">
        <v>40</v>
      </c>
      <c r="B51" s="2"/>
      <c r="C51" s="3"/>
      <c r="D51" s="6"/>
      <c r="E51" s="4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3"/>
      <c r="B52" s="2">
        <v>35.0</v>
      </c>
      <c r="C52" s="3" t="s">
        <v>61</v>
      </c>
      <c r="D52" s="6">
        <f>Sep!F52</f>
        <v>69604600.71</v>
      </c>
      <c r="E52" s="4">
        <f>July!I52+Aug!I52+Sep!I52</f>
        <v>3695082.22</v>
      </c>
      <c r="F52" s="4">
        <f>July!J52+Aug!J52+Sep!J52</f>
        <v>1032045.23</v>
      </c>
      <c r="G52" s="4">
        <f t="shared" ref="G52:G54" si="8">E52-F52</f>
        <v>2663036.99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3"/>
      <c r="B53" s="2">
        <v>36.0</v>
      </c>
      <c r="C53" s="3" t="s">
        <v>62</v>
      </c>
      <c r="D53" s="6">
        <f>Sep!F53</f>
        <v>49379731.02</v>
      </c>
      <c r="E53" s="4">
        <f>July!I53+Aug!I53+Sep!I53</f>
        <v>1125288.03</v>
      </c>
      <c r="F53" s="4">
        <f>July!J53+Aug!J53+Sep!J53</f>
        <v>133600.58</v>
      </c>
      <c r="G53" s="4">
        <f t="shared" si="8"/>
        <v>991687.45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2">
        <v>37.0</v>
      </c>
      <c r="C54" s="3" t="s">
        <v>63</v>
      </c>
      <c r="D54" s="6">
        <f>Sep!F54</f>
        <v>41339185.75</v>
      </c>
      <c r="E54" s="4">
        <f>July!I54+Aug!I54+Sep!I54</f>
        <v>579062.98</v>
      </c>
      <c r="F54" s="4">
        <f>July!J54+Aug!J54+Sep!J54</f>
        <v>108978.45</v>
      </c>
      <c r="G54" s="4">
        <f t="shared" si="8"/>
        <v>470084.53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22" t="s">
        <v>44</v>
      </c>
      <c r="B55" s="22"/>
      <c r="C55" s="1"/>
      <c r="D55" s="24">
        <f t="shared" ref="D55:G55" si="9">SUM(D41:D54)</f>
        <v>13009072711</v>
      </c>
      <c r="E55" s="24">
        <f t="shared" si="9"/>
        <v>123686551.7</v>
      </c>
      <c r="F55" s="24">
        <f t="shared" si="9"/>
        <v>8312210417</v>
      </c>
      <c r="G55" s="24">
        <f t="shared" si="9"/>
        <v>-8188523865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0" customHeight="1">
      <c r="A56" s="18" t="s">
        <v>45</v>
      </c>
      <c r="B56" s="2"/>
      <c r="C56" s="3"/>
      <c r="D56" s="6"/>
      <c r="E56" s="4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0" customHeight="1">
      <c r="A57" s="18"/>
      <c r="B57" s="2">
        <v>38.0</v>
      </c>
      <c r="C57" s="3" t="s">
        <v>64</v>
      </c>
      <c r="D57" s="6">
        <f>Sep!F57</f>
        <v>73243102.71</v>
      </c>
      <c r="E57" s="4">
        <f>July!I57+Aug!I57+Sep!I57</f>
        <v>0</v>
      </c>
      <c r="F57" s="4">
        <f>July!J57+Aug!J57+Sep!J57</f>
        <v>0</v>
      </c>
      <c r="G57" s="4">
        <f t="shared" ref="G57:G60" si="10">E57-F57</f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0" customHeight="1">
      <c r="A58" s="18"/>
      <c r="B58" s="2">
        <v>39.0</v>
      </c>
      <c r="C58" s="3" t="s">
        <v>65</v>
      </c>
      <c r="D58" s="6">
        <f>Sep!F58</f>
        <v>313250543.3</v>
      </c>
      <c r="E58" s="4">
        <f>July!I58+Aug!I58+Sep!I58</f>
        <v>38698.2801</v>
      </c>
      <c r="F58" s="4">
        <f>July!J58+Aug!J58+Sep!J58</f>
        <v>6173570.231</v>
      </c>
      <c r="G58" s="4">
        <f t="shared" si="10"/>
        <v>-6134871.951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3"/>
      <c r="B59" s="2">
        <v>40.0</v>
      </c>
      <c r="C59" s="3" t="s">
        <v>66</v>
      </c>
      <c r="D59" s="6">
        <f>Sep!F59</f>
        <v>1568909982</v>
      </c>
      <c r="E59" s="4">
        <f>July!I59+Aug!I59+Sep!I59</f>
        <v>4431685.265</v>
      </c>
      <c r="F59" s="4">
        <f>July!J59+Aug!J59+Sep!J59</f>
        <v>38034954.58</v>
      </c>
      <c r="G59" s="4">
        <f t="shared" si="10"/>
        <v>-33603269.31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3"/>
      <c r="B60" s="2">
        <v>41.0</v>
      </c>
      <c r="C60" s="3" t="s">
        <v>67</v>
      </c>
      <c r="D60" s="6">
        <f>Sep!F60</f>
        <v>313103535.9</v>
      </c>
      <c r="E60" s="4">
        <f>July!I60+Aug!I60+Sep!I60</f>
        <v>2455956.185</v>
      </c>
      <c r="F60" s="4">
        <f>July!J60+Aug!J60+Sep!J60</f>
        <v>18468995.64</v>
      </c>
      <c r="G60" s="4">
        <f t="shared" si="10"/>
        <v>-16013039.46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22" t="s">
        <v>48</v>
      </c>
      <c r="B61" s="23"/>
      <c r="C61" s="1"/>
      <c r="D61" s="24">
        <f t="shared" ref="D61:G61" si="11">SUM(D57:D60)</f>
        <v>2268507163</v>
      </c>
      <c r="E61" s="24">
        <f t="shared" si="11"/>
        <v>6926339.73</v>
      </c>
      <c r="F61" s="24">
        <f t="shared" si="11"/>
        <v>62677520.45</v>
      </c>
      <c r="G61" s="24">
        <f t="shared" si="11"/>
        <v>-55751180.72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0" customHeight="1">
      <c r="A62" s="1" t="s">
        <v>68</v>
      </c>
      <c r="B62" s="23"/>
      <c r="C62" s="1"/>
      <c r="D62" s="24">
        <f t="shared" ref="D62:G62" si="12">D55+D61</f>
        <v>15277579874</v>
      </c>
      <c r="E62" s="24">
        <f t="shared" si="12"/>
        <v>130612891.4</v>
      </c>
      <c r="F62" s="24">
        <f t="shared" si="12"/>
        <v>8374887937</v>
      </c>
      <c r="G62" s="24">
        <f t="shared" si="12"/>
        <v>-8244275046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0" customHeight="1">
      <c r="A63" s="1" t="s">
        <v>69</v>
      </c>
      <c r="B63" s="2"/>
      <c r="C63" s="3"/>
      <c r="D63" s="6"/>
      <c r="E63" s="4"/>
      <c r="F63" s="4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2.0" customHeight="1">
      <c r="A64" s="18" t="s">
        <v>20</v>
      </c>
      <c r="B64" s="2"/>
      <c r="C64" s="3"/>
      <c r="D64" s="6"/>
      <c r="E64" s="4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2.0" customHeight="1">
      <c r="A65" s="3"/>
      <c r="B65" s="2">
        <v>42.0</v>
      </c>
      <c r="C65" s="3" t="s">
        <v>70</v>
      </c>
      <c r="D65" s="6">
        <f>Sep!F65</f>
        <v>40828290448</v>
      </c>
      <c r="E65" s="4">
        <f>July!I65+Aug!I65+Sep!I65</f>
        <v>868034450.4</v>
      </c>
      <c r="F65" s="4">
        <f>July!J65+Aug!J65+Sep!J65</f>
        <v>1843980905</v>
      </c>
      <c r="G65" s="4">
        <f t="shared" ref="G65:G75" si="13">E65-F65</f>
        <v>-975946454.6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3"/>
      <c r="B66" s="2">
        <v>43.0</v>
      </c>
      <c r="C66" s="3" t="s">
        <v>226</v>
      </c>
      <c r="D66" s="6">
        <f>Sep!F66</f>
        <v>393572999</v>
      </c>
      <c r="E66" s="4">
        <f>July!I66+Aug!I66+Sep!I66</f>
        <v>102986718.3</v>
      </c>
      <c r="F66" s="4">
        <f>July!J66+Aug!J66+Sep!J66</f>
        <v>13077660.18</v>
      </c>
      <c r="G66" s="4">
        <f t="shared" si="13"/>
        <v>89909058.15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2">
        <v>44.0</v>
      </c>
      <c r="C67" s="3" t="s">
        <v>72</v>
      </c>
      <c r="D67" s="6">
        <f>Sep!F67</f>
        <v>1142885154</v>
      </c>
      <c r="E67" s="4">
        <f>July!I67+Aug!I67+Sep!I67</f>
        <v>7577984.91</v>
      </c>
      <c r="F67" s="4">
        <f>July!J67+Aug!J67+Sep!J67</f>
        <v>28221482.26</v>
      </c>
      <c r="G67" s="4">
        <f t="shared" si="13"/>
        <v>-20643497.35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1"/>
      <c r="B68" s="2">
        <v>45.0</v>
      </c>
      <c r="C68" s="3" t="s">
        <v>73</v>
      </c>
      <c r="D68" s="6">
        <f>Sep!F68</f>
        <v>190374854.6</v>
      </c>
      <c r="E68" s="4">
        <f>July!I68+Aug!I68+Sep!I68</f>
        <v>2364284.8</v>
      </c>
      <c r="F68" s="4">
        <f>July!J68+Aug!J68+Sep!J68</f>
        <v>6696589.27</v>
      </c>
      <c r="G68" s="4">
        <f t="shared" si="13"/>
        <v>-4332304.47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3"/>
      <c r="B69" s="2">
        <v>46.0</v>
      </c>
      <c r="C69" s="3" t="s">
        <v>74</v>
      </c>
      <c r="D69" s="6">
        <f>Sep!F69</f>
        <v>1330590093</v>
      </c>
      <c r="E69" s="4">
        <f>July!I69+Aug!I69+Sep!I69</f>
        <v>2802939</v>
      </c>
      <c r="F69" s="4">
        <f>July!J69+Aug!J69+Sep!J69</f>
        <v>46857087.17</v>
      </c>
      <c r="G69" s="4">
        <f t="shared" si="13"/>
        <v>-44054148.17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3"/>
      <c r="B70" s="2">
        <v>47.0</v>
      </c>
      <c r="C70" s="3" t="s">
        <v>75</v>
      </c>
      <c r="D70" s="6">
        <f>Sep!F70</f>
        <v>871724932.5</v>
      </c>
      <c r="E70" s="4">
        <f>July!I70+Aug!I70+Sep!I70</f>
        <v>3428081.12</v>
      </c>
      <c r="F70" s="4">
        <f>July!J70+Aug!J70+Sep!J70</f>
        <v>75397577.38</v>
      </c>
      <c r="G70" s="4">
        <f t="shared" si="13"/>
        <v>-71969496.26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2">
        <v>48.0</v>
      </c>
      <c r="C71" s="3" t="s">
        <v>76</v>
      </c>
      <c r="D71" s="6">
        <f>Sep!F71</f>
        <v>1738663864</v>
      </c>
      <c r="E71" s="4">
        <f>July!I71+Aug!I71+Sep!I71</f>
        <v>31148543.04</v>
      </c>
      <c r="F71" s="4">
        <f>July!J71+Aug!J71+Sep!J71</f>
        <v>4536037265</v>
      </c>
      <c r="G71" s="4">
        <f t="shared" si="13"/>
        <v>-4504888722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2">
        <v>49.0</v>
      </c>
      <c r="C72" s="3" t="s">
        <v>77</v>
      </c>
      <c r="D72" s="6">
        <f>Sep!F72</f>
        <v>303439705.6</v>
      </c>
      <c r="E72" s="4">
        <f>July!I72+Aug!I72+Sep!I72</f>
        <v>2247453.91</v>
      </c>
      <c r="F72" s="4">
        <f>July!J72+Aug!J72+Sep!J72</f>
        <v>13938936.61</v>
      </c>
      <c r="G72" s="4">
        <f t="shared" si="13"/>
        <v>-11691482.7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2">
        <v>50.0</v>
      </c>
      <c r="C73" s="3" t="s">
        <v>78</v>
      </c>
      <c r="D73" s="6">
        <f>Sep!F73</f>
        <v>1142660854</v>
      </c>
      <c r="E73" s="4">
        <f>July!I73+Aug!I73+Sep!I73</f>
        <v>145291712.6</v>
      </c>
      <c r="F73" s="4">
        <f>July!J73+Aug!J73+Sep!J73</f>
        <v>6473844.51</v>
      </c>
      <c r="G73" s="4">
        <f t="shared" si="13"/>
        <v>138817868.1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2">
        <v>51.0</v>
      </c>
      <c r="C74" s="3" t="s">
        <v>79</v>
      </c>
      <c r="D74" s="6">
        <f>Sep!F74</f>
        <v>4437285820</v>
      </c>
      <c r="E74" s="4">
        <f>July!I74+Aug!I74+Sep!I74</f>
        <v>185100532.1</v>
      </c>
      <c r="F74" s="4">
        <f>July!J74+Aug!J74+Sep!J74</f>
        <v>132782657.5</v>
      </c>
      <c r="G74" s="4">
        <f t="shared" si="13"/>
        <v>52317874.61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2">
        <v>52.0</v>
      </c>
      <c r="C75" s="3" t="s">
        <v>80</v>
      </c>
      <c r="D75" s="6">
        <f>Sep!F75</f>
        <v>136226422.2</v>
      </c>
      <c r="E75" s="4">
        <f>July!I75+Aug!I75+Sep!I75</f>
        <v>1335861.62</v>
      </c>
      <c r="F75" s="4">
        <f>July!J75+Aug!J75+Sep!J75</f>
        <v>5067598.79</v>
      </c>
      <c r="G75" s="4">
        <f t="shared" si="13"/>
        <v>-3731737.17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22" t="s">
        <v>44</v>
      </c>
      <c r="B76" s="1"/>
      <c r="C76" s="1"/>
      <c r="D76" s="24">
        <f t="shared" ref="D76:G76" si="14">SUM(D65:D75)</f>
        <v>52515715146</v>
      </c>
      <c r="E76" s="24">
        <f t="shared" si="14"/>
        <v>1352318562</v>
      </c>
      <c r="F76" s="24">
        <f t="shared" si="14"/>
        <v>6708531604</v>
      </c>
      <c r="G76" s="24">
        <f t="shared" si="14"/>
        <v>-5356213042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18" t="s">
        <v>45</v>
      </c>
      <c r="B77" s="2"/>
      <c r="C77" s="3"/>
      <c r="D77" s="6"/>
      <c r="E77" s="4"/>
      <c r="F77" s="4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3"/>
      <c r="B78" s="2">
        <v>53.0</v>
      </c>
      <c r="C78" s="3" t="s">
        <v>81</v>
      </c>
      <c r="D78" s="6">
        <f>Sep!F78</f>
        <v>15261429987</v>
      </c>
      <c r="E78" s="4">
        <f>July!I78+Aug!I78+Sep!I78</f>
        <v>207571622.6</v>
      </c>
      <c r="F78" s="4">
        <f>July!J78+Aug!J78+Sep!J78</f>
        <v>721273698.8</v>
      </c>
      <c r="G78" s="4">
        <f t="shared" ref="G78:G84" si="15">E78-F78</f>
        <v>-513702076.2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2">
        <v>54.0</v>
      </c>
      <c r="C79" s="3" t="s">
        <v>227</v>
      </c>
      <c r="D79" s="6">
        <f>Sep!F79</f>
        <v>285969933.7</v>
      </c>
      <c r="E79" s="4">
        <f>July!I79+Aug!I79+Sep!I79</f>
        <v>1435625.77</v>
      </c>
      <c r="F79" s="4">
        <f>July!J79+Aug!J79+Sep!J79</f>
        <v>124560522.4</v>
      </c>
      <c r="G79" s="4">
        <f t="shared" si="15"/>
        <v>-123124896.7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3"/>
      <c r="B80" s="2">
        <v>55.0</v>
      </c>
      <c r="C80" s="3" t="s">
        <v>83</v>
      </c>
      <c r="D80" s="6">
        <f>Sep!F80</f>
        <v>458198571.2</v>
      </c>
      <c r="E80" s="4">
        <f>July!I80+Aug!I80+Sep!I80</f>
        <v>14537523.53</v>
      </c>
      <c r="F80" s="4">
        <f>July!J80+Aug!J80+Sep!J80</f>
        <v>304425963.1</v>
      </c>
      <c r="G80" s="4">
        <f t="shared" si="15"/>
        <v>-289888439.6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1.25" customHeight="1">
      <c r="A81" s="18"/>
      <c r="B81" s="2">
        <v>56.0</v>
      </c>
      <c r="C81" s="3" t="s">
        <v>84</v>
      </c>
      <c r="D81" s="6">
        <f>Sep!F81</f>
        <v>52704553.88</v>
      </c>
      <c r="E81" s="4">
        <f>July!I81+Aug!I81+Sep!I81</f>
        <v>0</v>
      </c>
      <c r="F81" s="4">
        <f>July!J81+Aug!J81+Sep!J81</f>
        <v>0</v>
      </c>
      <c r="G81" s="4">
        <f t="shared" si="15"/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0" customHeight="1">
      <c r="A82" s="3"/>
      <c r="B82" s="2">
        <v>57.0</v>
      </c>
      <c r="C82" s="3" t="s">
        <v>85</v>
      </c>
      <c r="D82" s="6">
        <f>Sep!F82</f>
        <v>2191788603</v>
      </c>
      <c r="E82" s="4">
        <f>July!I82+Aug!I82+Sep!I82</f>
        <v>532560.5288</v>
      </c>
      <c r="F82" s="4">
        <f>July!J82+Aug!J82+Sep!J82</f>
        <v>468621961.7</v>
      </c>
      <c r="G82" s="4">
        <f t="shared" si="15"/>
        <v>-468089401.1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2">
        <v>58.0</v>
      </c>
      <c r="C83" s="3" t="s">
        <v>86</v>
      </c>
      <c r="D83" s="6">
        <f>Sep!F83</f>
        <v>247542851.9</v>
      </c>
      <c r="E83" s="4">
        <f>July!I83+Aug!I83+Sep!I83</f>
        <v>17736.38</v>
      </c>
      <c r="F83" s="4">
        <f>July!J83+Aug!J83+Sep!J83</f>
        <v>158534.5845</v>
      </c>
      <c r="G83" s="4">
        <f t="shared" si="15"/>
        <v>-140798.2045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2">
        <v>59.0</v>
      </c>
      <c r="C84" s="3" t="s">
        <v>87</v>
      </c>
      <c r="D84" s="6">
        <f>Sep!F84</f>
        <v>471833405.5</v>
      </c>
      <c r="E84" s="4">
        <f>July!I84+Aug!I84+Sep!I84</f>
        <v>5986413.337</v>
      </c>
      <c r="F84" s="4">
        <f>July!J84+Aug!J84+Sep!J84</f>
        <v>15713218.54</v>
      </c>
      <c r="G84" s="4">
        <f t="shared" si="15"/>
        <v>-9726805.2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0" customHeight="1">
      <c r="A85" s="22" t="s">
        <v>88</v>
      </c>
      <c r="B85" s="23"/>
      <c r="C85" s="29"/>
      <c r="D85" s="24">
        <f t="shared" ref="D85:G85" si="16">SUM(D78:D84)</f>
        <v>18969467906</v>
      </c>
      <c r="E85" s="24">
        <f t="shared" si="16"/>
        <v>230081482.1</v>
      </c>
      <c r="F85" s="24">
        <f t="shared" si="16"/>
        <v>1634753899</v>
      </c>
      <c r="G85" s="24">
        <f t="shared" si="16"/>
        <v>-1404672417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3"/>
      <c r="B86" s="2">
        <v>60.0</v>
      </c>
      <c r="C86" s="3" t="s">
        <v>89</v>
      </c>
      <c r="D86" s="6">
        <f>Sep!F86</f>
        <v>892041367</v>
      </c>
      <c r="E86" s="4">
        <f>July!I86+Aug!I86+Sep!I86</f>
        <v>13928329.32</v>
      </c>
      <c r="F86" s="4">
        <f>July!J86+Aug!J86+Sep!J86</f>
        <v>18193845.37</v>
      </c>
      <c r="G86" s="4">
        <f>E86-F86</f>
        <v>-4265516.043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22" t="s">
        <v>90</v>
      </c>
      <c r="B87" s="29"/>
      <c r="C87" s="1"/>
      <c r="D87" s="24">
        <f t="shared" ref="D87:G87" si="17">SUM(D86)</f>
        <v>892041367</v>
      </c>
      <c r="E87" s="24">
        <f t="shared" si="17"/>
        <v>13928329.32</v>
      </c>
      <c r="F87" s="24">
        <f t="shared" si="17"/>
        <v>18193845.37</v>
      </c>
      <c r="G87" s="24">
        <f t="shared" si="17"/>
        <v>-4265516.043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1" t="s">
        <v>91</v>
      </c>
      <c r="B88" s="23"/>
      <c r="C88" s="29"/>
      <c r="D88" s="24">
        <f t="shared" ref="D88:G88" si="18">D76+D85+D87</f>
        <v>72377224420</v>
      </c>
      <c r="E88" s="24">
        <f t="shared" si="18"/>
        <v>1596328373</v>
      </c>
      <c r="F88" s="24">
        <f t="shared" si="18"/>
        <v>8361479348</v>
      </c>
      <c r="G88" s="24">
        <f t="shared" si="18"/>
        <v>-6765150975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1" t="s">
        <v>92</v>
      </c>
      <c r="B89" s="2"/>
      <c r="C89" s="30"/>
      <c r="D89" s="6"/>
      <c r="E89" s="4"/>
      <c r="F89" s="4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18" t="s">
        <v>20</v>
      </c>
      <c r="B90" s="2"/>
      <c r="C90" s="30"/>
      <c r="D90" s="6"/>
      <c r="E90" s="4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18"/>
      <c r="B91" s="2">
        <v>61.0</v>
      </c>
      <c r="C91" s="3" t="s">
        <v>93</v>
      </c>
      <c r="D91" s="6">
        <f>Sep!F91</f>
        <v>55248517975</v>
      </c>
      <c r="E91" s="4">
        <f>July!I91+Aug!I91+Sep!I91</f>
        <v>12965404282</v>
      </c>
      <c r="F91" s="4">
        <f>July!J91+Aug!J91+Sep!J91</f>
        <v>12488453440</v>
      </c>
      <c r="G91" s="4">
        <f t="shared" ref="G91:G93" si="19">E91-F91</f>
        <v>476950842.1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18"/>
      <c r="B92" s="2">
        <v>62.0</v>
      </c>
      <c r="C92" s="3" t="s">
        <v>94</v>
      </c>
      <c r="D92" s="6">
        <f>Sep!F92</f>
        <v>3100776498</v>
      </c>
      <c r="E92" s="4">
        <f>July!I92+Aug!I92+Sep!I92</f>
        <v>1205832033</v>
      </c>
      <c r="F92" s="4">
        <f>July!J92+Aug!J92+Sep!J92</f>
        <v>854284625.2</v>
      </c>
      <c r="G92" s="4">
        <f t="shared" si="19"/>
        <v>351547408.3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1"/>
      <c r="B93" s="2">
        <v>63.0</v>
      </c>
      <c r="C93" s="3" t="s">
        <v>95</v>
      </c>
      <c r="D93" s="6">
        <f>Sep!F93</f>
        <v>89685131255</v>
      </c>
      <c r="E93" s="4">
        <f>July!I93+Aug!I93+Sep!I93</f>
        <v>29335625989</v>
      </c>
      <c r="F93" s="4">
        <f>July!J93+Aug!J93+Sep!J93</f>
        <v>68164013549</v>
      </c>
      <c r="G93" s="4">
        <f t="shared" si="19"/>
        <v>-38828387560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18" t="s">
        <v>40</v>
      </c>
      <c r="B94" s="2"/>
      <c r="C94" s="3"/>
      <c r="D94" s="6"/>
      <c r="E94" s="4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1"/>
      <c r="B95" s="2">
        <v>64.0</v>
      </c>
      <c r="C95" s="3" t="s">
        <v>93</v>
      </c>
      <c r="D95" s="6">
        <f>Sep!F95</f>
        <v>1323216292</v>
      </c>
      <c r="E95" s="4">
        <f>Sep!I95</f>
        <v>1422521699</v>
      </c>
      <c r="F95" s="4">
        <f>Sep!J95</f>
        <v>98933202.06</v>
      </c>
      <c r="G95" s="4">
        <f>E95-F95</f>
        <v>1323588497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22" t="s">
        <v>44</v>
      </c>
      <c r="B96" s="2"/>
      <c r="C96" s="3"/>
      <c r="D96" s="24">
        <f t="shared" ref="D96:G96" si="20">SUM(D91:D95)</f>
        <v>149357642021</v>
      </c>
      <c r="E96" s="24">
        <f t="shared" si="20"/>
        <v>44929384003</v>
      </c>
      <c r="F96" s="24">
        <f t="shared" si="20"/>
        <v>81605684816</v>
      </c>
      <c r="G96" s="24">
        <f t="shared" si="20"/>
        <v>-36676300813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18" t="s">
        <v>45</v>
      </c>
      <c r="B97" s="2"/>
      <c r="C97" s="3"/>
      <c r="D97" s="6"/>
      <c r="E97" s="4"/>
      <c r="F97" s="4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1"/>
      <c r="B98" s="2">
        <v>64.0</v>
      </c>
      <c r="C98" s="3" t="s">
        <v>96</v>
      </c>
      <c r="D98" s="6">
        <f>Sep!F98</f>
        <v>8931131224</v>
      </c>
      <c r="E98" s="4">
        <f>July!I96+Aug!I96+Sep!I98</f>
        <v>4190645944</v>
      </c>
      <c r="F98" s="4">
        <f>July!J96+Aug!J96+Sep!J98</f>
        <v>9772516823</v>
      </c>
      <c r="G98" s="4">
        <f>E98-F98</f>
        <v>-5581870879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22" t="s">
        <v>88</v>
      </c>
      <c r="B99" s="2"/>
      <c r="C99" s="3"/>
      <c r="D99" s="24">
        <f t="shared" ref="D99:G99" si="21">SUM(D98)</f>
        <v>8931131224</v>
      </c>
      <c r="E99" s="24">
        <f t="shared" si="21"/>
        <v>4190645944</v>
      </c>
      <c r="F99" s="24">
        <f t="shared" si="21"/>
        <v>9772516823</v>
      </c>
      <c r="G99" s="24">
        <f t="shared" si="21"/>
        <v>-5581870879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1" t="s">
        <v>97</v>
      </c>
      <c r="B100" s="2"/>
      <c r="C100" s="3"/>
      <c r="D100" s="24">
        <f t="shared" ref="D100:G100" si="22">D96+D99</f>
        <v>158288773245</v>
      </c>
      <c r="E100" s="24">
        <f t="shared" si="22"/>
        <v>49120029947</v>
      </c>
      <c r="F100" s="24">
        <f t="shared" si="22"/>
        <v>91378201640</v>
      </c>
      <c r="G100" s="24">
        <f t="shared" si="22"/>
        <v>-42258171693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1" t="s">
        <v>98</v>
      </c>
      <c r="B101" s="2"/>
      <c r="C101" s="3"/>
      <c r="D101" s="6"/>
      <c r="E101" s="4"/>
      <c r="F101" s="4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18" t="s">
        <v>99</v>
      </c>
      <c r="B102" s="2"/>
      <c r="C102" s="3"/>
      <c r="D102" s="6"/>
      <c r="E102" s="4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18"/>
      <c r="B103" s="2">
        <v>65.0</v>
      </c>
      <c r="C103" s="3" t="s">
        <v>100</v>
      </c>
      <c r="D103" s="6">
        <f>Sep!F103</f>
        <v>9291949311</v>
      </c>
      <c r="E103" s="4">
        <f>July!I101+Aug!I101+Sep!I103</f>
        <v>566604158.8</v>
      </c>
      <c r="F103" s="4">
        <f>July!J101+Aug!J101+Sep!J103</f>
        <v>354957864.6</v>
      </c>
      <c r="G103" s="4">
        <f t="shared" ref="G103:G104" si="23">E103-F103</f>
        <v>211646294.2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1"/>
      <c r="B104" s="2">
        <v>66.0</v>
      </c>
      <c r="C104" s="3" t="s">
        <v>101</v>
      </c>
      <c r="D104" s="6">
        <f>Sep!F104</f>
        <v>3201038099</v>
      </c>
      <c r="E104" s="4">
        <f>July!I102+Aug!I102+Sep!I104</f>
        <v>172648542.5</v>
      </c>
      <c r="F104" s="4">
        <f>July!J102+Aug!J102+Sep!J104</f>
        <v>237402982.8</v>
      </c>
      <c r="G104" s="4">
        <f t="shared" si="23"/>
        <v>-64754440.27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22" t="s">
        <v>44</v>
      </c>
      <c r="B105" s="2"/>
      <c r="C105" s="3"/>
      <c r="D105" s="24">
        <f t="shared" ref="D105:G105" si="24">SUM(D103:D104)</f>
        <v>12492987410</v>
      </c>
      <c r="E105" s="24">
        <f t="shared" si="24"/>
        <v>739252701.3</v>
      </c>
      <c r="F105" s="24">
        <f t="shared" si="24"/>
        <v>592360847.4</v>
      </c>
      <c r="G105" s="24">
        <f t="shared" si="24"/>
        <v>146891853.9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18" t="s">
        <v>102</v>
      </c>
      <c r="B106" s="2"/>
      <c r="C106" s="3"/>
      <c r="D106" s="6"/>
      <c r="E106" s="4"/>
      <c r="F106" s="4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1"/>
      <c r="B107" s="2">
        <v>67.0</v>
      </c>
      <c r="C107" s="3" t="s">
        <v>103</v>
      </c>
      <c r="D107" s="6">
        <f>Sep!F107</f>
        <v>10137464046</v>
      </c>
      <c r="E107" s="4">
        <f>July!I105+Aug!I105+Sep!I107</f>
        <v>265554123</v>
      </c>
      <c r="F107" s="4">
        <f>July!J105+Aug!J105+Sep!J107</f>
        <v>421187712.1</v>
      </c>
      <c r="G107" s="4">
        <f>E107-F107</f>
        <v>-155633589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22" t="s">
        <v>88</v>
      </c>
      <c r="B108" s="23"/>
      <c r="C108" s="1"/>
      <c r="D108" s="24">
        <f t="shared" ref="D108:G108" si="25">SUM(D107)</f>
        <v>10137464046</v>
      </c>
      <c r="E108" s="24">
        <f t="shared" si="25"/>
        <v>265554123</v>
      </c>
      <c r="F108" s="24">
        <f t="shared" si="25"/>
        <v>421187712.1</v>
      </c>
      <c r="G108" s="24">
        <f t="shared" si="25"/>
        <v>-155633589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1" t="s">
        <v>104</v>
      </c>
      <c r="B109" s="31"/>
      <c r="C109" s="29"/>
      <c r="D109" s="24">
        <f t="shared" ref="D109:G109" si="26">D105+D108</f>
        <v>22630451456</v>
      </c>
      <c r="E109" s="24">
        <f t="shared" si="26"/>
        <v>1004806824</v>
      </c>
      <c r="F109" s="24">
        <f t="shared" si="26"/>
        <v>1013548559</v>
      </c>
      <c r="G109" s="24">
        <f t="shared" si="26"/>
        <v>-8741735.08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32" t="s">
        <v>105</v>
      </c>
      <c r="B110" s="33"/>
      <c r="C110" s="34"/>
      <c r="D110" s="35">
        <f t="shared" ref="D110:G110" si="27">D38+D62+D88+D100+D109</f>
        <v>330034525702</v>
      </c>
      <c r="E110" s="35">
        <f t="shared" si="27"/>
        <v>53761828819</v>
      </c>
      <c r="F110" s="35">
        <f t="shared" si="27"/>
        <v>152580436212</v>
      </c>
      <c r="G110" s="35">
        <f t="shared" si="27"/>
        <v>-98818607393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0" customHeight="1">
      <c r="A111" s="3"/>
      <c r="B111" s="2"/>
      <c r="C111" s="36"/>
      <c r="D111" s="4"/>
      <c r="E111" s="4"/>
      <c r="F111" s="4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60" t="s">
        <v>216</v>
      </c>
      <c r="B112" s="30"/>
      <c r="C112" s="30"/>
      <c r="D112" s="4">
        <f>Sep!F110-'Q3'!D110</f>
        <v>0</v>
      </c>
      <c r="E112" s="4">
        <f>SUM(July!I108+Aug!I108+Sep!I110)-E110</f>
        <v>0.000007629394531</v>
      </c>
      <c r="F112" s="4">
        <f>SUM(July!J108+Aug!J108+Sep!J110)-F110</f>
        <v>-0.00003051757813</v>
      </c>
      <c r="G112" s="4">
        <f>SUM(July!K108+Aug!K108+Sep!K110)-G110</f>
        <v>0.00003051757813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30" t="s">
        <v>228</v>
      </c>
      <c r="B113" s="30"/>
      <c r="C113" s="30"/>
      <c r="D113" s="4"/>
      <c r="E113" s="4"/>
      <c r="F113" s="4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36"/>
      <c r="B114" s="36"/>
      <c r="C114" s="36"/>
      <c r="D114" s="4"/>
      <c r="E114" s="4"/>
      <c r="F114" s="4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36"/>
      <c r="B115" s="36"/>
      <c r="C115" s="36"/>
      <c r="D115" s="4"/>
      <c r="E115" s="4"/>
      <c r="F115" s="4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6"/>
      <c r="B116" s="36"/>
      <c r="C116" s="36"/>
      <c r="D116" s="4"/>
      <c r="E116" s="4"/>
      <c r="F116" s="4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0" customHeight="1">
      <c r="A117" s="36"/>
      <c r="B117" s="36"/>
      <c r="C117" s="36"/>
      <c r="D117" s="4"/>
      <c r="E117" s="4"/>
      <c r="F117" s="4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36"/>
      <c r="B118" s="36"/>
      <c r="C118" s="36"/>
      <c r="D118" s="4"/>
      <c r="E118" s="4"/>
      <c r="F118" s="4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36"/>
      <c r="B119" s="36"/>
      <c r="C119" s="36"/>
      <c r="D119" s="4"/>
      <c r="E119" s="4"/>
      <c r="F119" s="4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36"/>
      <c r="B120" s="36"/>
      <c r="C120" s="36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36"/>
      <c r="B121" s="36"/>
      <c r="C121" s="36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36"/>
      <c r="B122" s="36"/>
      <c r="C122" s="36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36"/>
      <c r="B123" s="36"/>
      <c r="C123" s="36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36"/>
      <c r="B124" s="36"/>
      <c r="C124" s="36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36"/>
      <c r="B125" s="36"/>
      <c r="C125" s="36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36"/>
      <c r="B126" s="36"/>
      <c r="C126" s="36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36"/>
      <c r="B127" s="36"/>
      <c r="C127" s="36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36"/>
      <c r="B128" s="36"/>
      <c r="C128" s="36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36"/>
      <c r="B129" s="36"/>
      <c r="C129" s="36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36"/>
      <c r="B130" s="36"/>
      <c r="C130" s="36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36"/>
      <c r="B131" s="36"/>
      <c r="C131" s="36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36"/>
      <c r="B132" s="36"/>
      <c r="C132" s="36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36"/>
      <c r="B133" s="36"/>
      <c r="C133" s="36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36"/>
      <c r="B134" s="36"/>
      <c r="C134" s="36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36"/>
      <c r="B135" s="36"/>
      <c r="C135" s="36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36"/>
      <c r="B136" s="36"/>
      <c r="C136" s="36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36"/>
      <c r="B137" s="36"/>
      <c r="C137" s="36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36"/>
      <c r="B138" s="36"/>
      <c r="C138" s="36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36"/>
      <c r="B139" s="36"/>
      <c r="C139" s="36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36"/>
      <c r="B140" s="36"/>
      <c r="C140" s="36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36"/>
      <c r="B141" s="36"/>
      <c r="C141" s="36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36"/>
      <c r="B142" s="36"/>
      <c r="C142" s="36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36"/>
      <c r="B143" s="36"/>
      <c r="C143" s="36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36"/>
      <c r="B144" s="36"/>
      <c r="C144" s="36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36"/>
      <c r="B145" s="36"/>
      <c r="C145" s="36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36"/>
      <c r="B146" s="36"/>
      <c r="C146" s="36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36"/>
      <c r="B147" s="36"/>
      <c r="C147" s="36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36"/>
      <c r="B148" s="36"/>
      <c r="C148" s="36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36"/>
      <c r="B149" s="36"/>
      <c r="C149" s="36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36"/>
      <c r="B150" s="36"/>
      <c r="C150" s="36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36"/>
      <c r="B151" s="36"/>
      <c r="C151" s="36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36"/>
      <c r="B152" s="36"/>
      <c r="C152" s="36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36"/>
      <c r="B153" s="36"/>
      <c r="C153" s="36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36"/>
      <c r="B154" s="36"/>
      <c r="C154" s="36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36"/>
      <c r="B155" s="36"/>
      <c r="C155" s="36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36"/>
      <c r="B156" s="36"/>
      <c r="C156" s="36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36"/>
      <c r="B157" s="36"/>
      <c r="C157" s="36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36"/>
      <c r="B158" s="36"/>
      <c r="C158" s="36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36"/>
      <c r="B159" s="36"/>
      <c r="C159" s="36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36"/>
      <c r="B160" s="36"/>
      <c r="C160" s="36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36"/>
      <c r="B161" s="36"/>
      <c r="C161" s="36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36"/>
      <c r="B162" s="36"/>
      <c r="C162" s="36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36"/>
      <c r="B163" s="36"/>
      <c r="C163" s="36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36"/>
      <c r="B164" s="36"/>
      <c r="C164" s="36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36"/>
      <c r="B165" s="36"/>
      <c r="C165" s="36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36"/>
      <c r="B166" s="36"/>
      <c r="C166" s="36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36"/>
      <c r="B167" s="36"/>
      <c r="C167" s="36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36"/>
      <c r="B168" s="36"/>
      <c r="C168" s="36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36"/>
      <c r="B169" s="36"/>
      <c r="C169" s="36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36"/>
      <c r="B170" s="36"/>
      <c r="C170" s="36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36"/>
      <c r="B171" s="36"/>
      <c r="C171" s="36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36"/>
      <c r="B172" s="36"/>
      <c r="C172" s="36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36"/>
      <c r="B173" s="36"/>
      <c r="C173" s="36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36"/>
      <c r="B174" s="36"/>
      <c r="C174" s="36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36"/>
      <c r="B175" s="36"/>
      <c r="C175" s="36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36"/>
      <c r="B176" s="36"/>
      <c r="C176" s="36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36"/>
      <c r="B177" s="36"/>
      <c r="C177" s="36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36"/>
      <c r="B178" s="36"/>
      <c r="C178" s="36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36"/>
      <c r="B179" s="36"/>
      <c r="C179" s="36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36"/>
      <c r="B180" s="36"/>
      <c r="C180" s="36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36"/>
      <c r="B181" s="36"/>
      <c r="C181" s="36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36"/>
      <c r="B182" s="36"/>
      <c r="C182" s="36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36"/>
      <c r="B183" s="36"/>
      <c r="C183" s="36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36"/>
      <c r="B184" s="36"/>
      <c r="C184" s="36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36"/>
      <c r="B185" s="36"/>
      <c r="C185" s="36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36"/>
      <c r="B186" s="36"/>
      <c r="C186" s="36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36"/>
      <c r="B187" s="36"/>
      <c r="C187" s="36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36"/>
      <c r="B188" s="36"/>
      <c r="C188" s="36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36"/>
      <c r="B189" s="36"/>
      <c r="C189" s="36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36"/>
      <c r="B190" s="36"/>
      <c r="C190" s="36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36"/>
      <c r="B191" s="36"/>
      <c r="C191" s="36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36"/>
      <c r="B192" s="36"/>
      <c r="C192" s="36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36"/>
      <c r="B193" s="36"/>
      <c r="C193" s="36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36"/>
      <c r="B194" s="36"/>
      <c r="C194" s="36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36"/>
      <c r="B195" s="36"/>
      <c r="C195" s="36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36"/>
      <c r="B196" s="36"/>
      <c r="C196" s="36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36"/>
      <c r="B197" s="36"/>
      <c r="C197" s="36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36"/>
      <c r="B198" s="36"/>
      <c r="C198" s="36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36"/>
      <c r="B199" s="36"/>
      <c r="C199" s="36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36"/>
      <c r="B200" s="36"/>
      <c r="C200" s="36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36"/>
      <c r="B201" s="36"/>
      <c r="C201" s="36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36"/>
      <c r="B202" s="36"/>
      <c r="C202" s="36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36"/>
      <c r="B203" s="36"/>
      <c r="C203" s="36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36"/>
      <c r="B204" s="36"/>
      <c r="C204" s="36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36"/>
      <c r="B205" s="36"/>
      <c r="C205" s="36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6"/>
      <c r="B206" s="36"/>
      <c r="C206" s="36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6"/>
      <c r="B207" s="36"/>
      <c r="C207" s="36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6"/>
      <c r="B208" s="36"/>
      <c r="C208" s="36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6"/>
      <c r="B209" s="36"/>
      <c r="C209" s="36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6"/>
      <c r="B210" s="36"/>
      <c r="C210" s="36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6"/>
      <c r="B211" s="36"/>
      <c r="C211" s="36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6"/>
      <c r="B212" s="36"/>
      <c r="C212" s="36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6"/>
      <c r="B213" s="36"/>
      <c r="C213" s="36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6"/>
      <c r="B214" s="36"/>
      <c r="C214" s="36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6"/>
      <c r="B215" s="36"/>
      <c r="C215" s="36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6"/>
      <c r="B216" s="36"/>
      <c r="C216" s="36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6"/>
      <c r="B217" s="36"/>
      <c r="C217" s="36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6"/>
      <c r="B218" s="36"/>
      <c r="C218" s="36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6"/>
      <c r="B219" s="36"/>
      <c r="C219" s="36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6"/>
      <c r="B220" s="36"/>
      <c r="C220" s="36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6"/>
      <c r="B221" s="36"/>
      <c r="C221" s="36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6"/>
      <c r="B222" s="36"/>
      <c r="C222" s="36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6"/>
      <c r="B223" s="36"/>
      <c r="C223" s="36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6"/>
      <c r="B224" s="36"/>
      <c r="C224" s="36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6"/>
      <c r="B225" s="36"/>
      <c r="C225" s="36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6"/>
      <c r="B226" s="36"/>
      <c r="C226" s="36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6"/>
      <c r="B227" s="36"/>
      <c r="C227" s="36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6"/>
      <c r="B228" s="36"/>
      <c r="C228" s="36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6"/>
      <c r="B229" s="36"/>
      <c r="C229" s="36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6"/>
      <c r="B230" s="36"/>
      <c r="C230" s="36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6"/>
      <c r="B231" s="36"/>
      <c r="C231" s="36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6"/>
      <c r="B232" s="36"/>
      <c r="C232" s="36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6"/>
      <c r="B233" s="36"/>
      <c r="C233" s="36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6"/>
      <c r="B234" s="36"/>
      <c r="C234" s="36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6"/>
      <c r="B235" s="36"/>
      <c r="C235" s="36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6"/>
      <c r="B236" s="36"/>
      <c r="C236" s="36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6"/>
      <c r="B237" s="36"/>
      <c r="C237" s="36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6"/>
      <c r="B238" s="36"/>
      <c r="C238" s="36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6"/>
      <c r="B239" s="36"/>
      <c r="C239" s="36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6"/>
      <c r="B240" s="36"/>
      <c r="C240" s="36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6"/>
      <c r="B241" s="36"/>
      <c r="C241" s="36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6"/>
      <c r="B242" s="36"/>
      <c r="C242" s="36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6"/>
      <c r="B243" s="36"/>
      <c r="C243" s="36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6"/>
      <c r="B244" s="36"/>
      <c r="C244" s="36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6"/>
      <c r="B245" s="36"/>
      <c r="C245" s="36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6"/>
      <c r="B246" s="36"/>
      <c r="C246" s="36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6"/>
      <c r="B247" s="36"/>
      <c r="C247" s="36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6"/>
      <c r="B248" s="36"/>
      <c r="C248" s="36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6"/>
      <c r="B249" s="36"/>
      <c r="C249" s="36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6"/>
      <c r="B250" s="36"/>
      <c r="C250" s="36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6"/>
      <c r="B251" s="36"/>
      <c r="C251" s="36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6"/>
      <c r="B252" s="36"/>
      <c r="C252" s="36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6"/>
      <c r="B253" s="36"/>
      <c r="C253" s="36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6"/>
      <c r="B254" s="36"/>
      <c r="C254" s="36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6"/>
      <c r="B255" s="36"/>
      <c r="C255" s="36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6"/>
      <c r="B256" s="36"/>
      <c r="C256" s="36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6"/>
      <c r="B257" s="36"/>
      <c r="C257" s="36"/>
      <c r="D257" s="4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6"/>
      <c r="B258" s="36"/>
      <c r="C258" s="36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6"/>
      <c r="B259" s="36"/>
      <c r="C259" s="36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6"/>
      <c r="B260" s="36"/>
      <c r="C260" s="36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6"/>
      <c r="B261" s="36"/>
      <c r="C261" s="36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6"/>
      <c r="B262" s="36"/>
      <c r="C262" s="36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6"/>
      <c r="B263" s="36"/>
      <c r="C263" s="36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6"/>
      <c r="B264" s="36"/>
      <c r="C264" s="36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6"/>
      <c r="B265" s="36"/>
      <c r="C265" s="36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6"/>
      <c r="B266" s="36"/>
      <c r="C266" s="36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6"/>
      <c r="B267" s="36"/>
      <c r="C267" s="36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6"/>
      <c r="B268" s="36"/>
      <c r="C268" s="36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6"/>
      <c r="B269" s="36"/>
      <c r="C269" s="36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6"/>
      <c r="B270" s="36"/>
      <c r="C270" s="36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6"/>
      <c r="B271" s="36"/>
      <c r="C271" s="36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6"/>
      <c r="B272" s="36"/>
      <c r="C272" s="36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6"/>
      <c r="B273" s="36"/>
      <c r="C273" s="36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6"/>
      <c r="B274" s="36"/>
      <c r="C274" s="36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6"/>
      <c r="B275" s="36"/>
      <c r="C275" s="36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6"/>
      <c r="B276" s="36"/>
      <c r="C276" s="36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6"/>
      <c r="B277" s="36"/>
      <c r="C277" s="36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6"/>
      <c r="B278" s="36"/>
      <c r="C278" s="36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6"/>
      <c r="B279" s="36"/>
      <c r="C279" s="36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6"/>
      <c r="B280" s="36"/>
      <c r="C280" s="36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6"/>
      <c r="B281" s="36"/>
      <c r="C281" s="36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6"/>
      <c r="B282" s="36"/>
      <c r="C282" s="36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6"/>
      <c r="B283" s="36"/>
      <c r="C283" s="36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6"/>
      <c r="B284" s="36"/>
      <c r="C284" s="36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6"/>
      <c r="B285" s="36"/>
      <c r="C285" s="36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6"/>
      <c r="B286" s="36"/>
      <c r="C286" s="36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6"/>
      <c r="B287" s="36"/>
      <c r="C287" s="36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6"/>
      <c r="B288" s="36"/>
      <c r="C288" s="36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6"/>
      <c r="B289" s="36"/>
      <c r="C289" s="36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6"/>
      <c r="B290" s="36"/>
      <c r="C290" s="36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6"/>
      <c r="B291" s="36"/>
      <c r="C291" s="36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6"/>
      <c r="B292" s="36"/>
      <c r="C292" s="36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6"/>
      <c r="B293" s="36"/>
      <c r="C293" s="36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6"/>
      <c r="B294" s="36"/>
      <c r="C294" s="36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6"/>
      <c r="B295" s="36"/>
      <c r="C295" s="36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6"/>
      <c r="B296" s="36"/>
      <c r="C296" s="36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6"/>
      <c r="B297" s="36"/>
      <c r="C297" s="36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6"/>
      <c r="B298" s="36"/>
      <c r="C298" s="36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6"/>
      <c r="B299" s="36"/>
      <c r="C299" s="36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6"/>
      <c r="B300" s="36"/>
      <c r="C300" s="36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6"/>
      <c r="B301" s="36"/>
      <c r="C301" s="36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6"/>
      <c r="B302" s="36"/>
      <c r="C302" s="36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6"/>
      <c r="B303" s="36"/>
      <c r="C303" s="36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6"/>
      <c r="B304" s="36"/>
      <c r="C304" s="36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6"/>
      <c r="B305" s="36"/>
      <c r="C305" s="36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6"/>
      <c r="B306" s="36"/>
      <c r="C306" s="36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6"/>
      <c r="B307" s="36"/>
      <c r="C307" s="36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6"/>
      <c r="B308" s="36"/>
      <c r="C308" s="36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6"/>
      <c r="B309" s="36"/>
      <c r="C309" s="36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6"/>
      <c r="B310" s="36"/>
      <c r="C310" s="36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6"/>
      <c r="B311" s="36"/>
      <c r="C311" s="36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6"/>
      <c r="B312" s="36"/>
      <c r="C312" s="36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6"/>
      <c r="B313" s="36"/>
      <c r="C313" s="36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6"/>
      <c r="B314" s="36"/>
      <c r="C314" s="36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6"/>
      <c r="B315" s="36"/>
      <c r="C315" s="36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6"/>
      <c r="B316" s="36"/>
      <c r="C316" s="36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6"/>
      <c r="B317" s="36"/>
      <c r="C317" s="36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6"/>
      <c r="B318" s="36"/>
      <c r="C318" s="36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6"/>
      <c r="B319" s="36"/>
      <c r="C319" s="36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6"/>
      <c r="B320" s="36"/>
      <c r="C320" s="36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6"/>
      <c r="B321" s="36"/>
      <c r="C321" s="36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6"/>
      <c r="B322" s="36"/>
      <c r="C322" s="36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6"/>
      <c r="B323" s="36"/>
      <c r="C323" s="36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6"/>
      <c r="B324" s="36"/>
      <c r="C324" s="36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6"/>
      <c r="B325" s="36"/>
      <c r="C325" s="36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6"/>
      <c r="B326" s="36"/>
      <c r="C326" s="36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6"/>
      <c r="B327" s="36"/>
      <c r="C327" s="36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6"/>
      <c r="B328" s="36"/>
      <c r="C328" s="36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6"/>
      <c r="B329" s="36"/>
      <c r="C329" s="36"/>
      <c r="D329" s="4"/>
      <c r="E329" s="4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6"/>
      <c r="B330" s="36"/>
      <c r="C330" s="36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6"/>
      <c r="B331" s="36"/>
      <c r="C331" s="36"/>
      <c r="D331" s="4"/>
      <c r="E331" s="4"/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6"/>
      <c r="B332" s="36"/>
      <c r="C332" s="36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6"/>
      <c r="B333" s="36"/>
      <c r="C333" s="36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6"/>
      <c r="B334" s="36"/>
      <c r="C334" s="36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6"/>
      <c r="B335" s="36"/>
      <c r="C335" s="36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6"/>
      <c r="B336" s="36"/>
      <c r="C336" s="36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6"/>
      <c r="B337" s="36"/>
      <c r="C337" s="36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6"/>
      <c r="B338" s="36"/>
      <c r="C338" s="36"/>
      <c r="D338" s="4"/>
      <c r="E338" s="4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6"/>
      <c r="B339" s="36"/>
      <c r="C339" s="36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6"/>
      <c r="B340" s="36"/>
      <c r="C340" s="36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6"/>
      <c r="B341" s="36"/>
      <c r="C341" s="36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6"/>
      <c r="B342" s="36"/>
      <c r="C342" s="36"/>
      <c r="D342" s="4"/>
      <c r="E342" s="4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6"/>
      <c r="B343" s="36"/>
      <c r="C343" s="36"/>
      <c r="D343" s="4"/>
      <c r="E343" s="4"/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6"/>
      <c r="B344" s="36"/>
      <c r="C344" s="36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6"/>
      <c r="B345" s="36"/>
      <c r="C345" s="36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6"/>
      <c r="B346" s="36"/>
      <c r="C346" s="36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6"/>
      <c r="B347" s="36"/>
      <c r="C347" s="36"/>
      <c r="D347" s="4"/>
      <c r="E347" s="4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6"/>
      <c r="B348" s="36"/>
      <c r="C348" s="36"/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6"/>
      <c r="B349" s="36"/>
      <c r="C349" s="36"/>
      <c r="D349" s="4"/>
      <c r="E349" s="4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6"/>
      <c r="B350" s="36"/>
      <c r="C350" s="36"/>
      <c r="D350" s="4"/>
      <c r="E350" s="4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6"/>
      <c r="B351" s="36"/>
      <c r="C351" s="36"/>
      <c r="D351" s="4"/>
      <c r="E351" s="4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6"/>
      <c r="B352" s="36"/>
      <c r="C352" s="36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6"/>
      <c r="B353" s="36"/>
      <c r="C353" s="36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6"/>
      <c r="B354" s="36"/>
      <c r="C354" s="36"/>
      <c r="D354" s="4"/>
      <c r="E354" s="4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6"/>
      <c r="B355" s="36"/>
      <c r="C355" s="36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6"/>
      <c r="B356" s="36"/>
      <c r="C356" s="36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6"/>
      <c r="B357" s="36"/>
      <c r="C357" s="36"/>
      <c r="D357" s="4"/>
      <c r="E357" s="4"/>
      <c r="F357" s="4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6"/>
      <c r="B358" s="36"/>
      <c r="C358" s="36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6"/>
      <c r="B359" s="36"/>
      <c r="C359" s="36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6"/>
      <c r="B360" s="36"/>
      <c r="C360" s="36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6"/>
      <c r="B361" s="36"/>
      <c r="C361" s="36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6"/>
      <c r="B362" s="36"/>
      <c r="C362" s="36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6"/>
      <c r="B363" s="36"/>
      <c r="C363" s="36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6"/>
      <c r="B364" s="36"/>
      <c r="C364" s="36"/>
      <c r="D364" s="4"/>
      <c r="E364" s="4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6"/>
      <c r="B365" s="36"/>
      <c r="C365" s="36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6"/>
      <c r="B366" s="36"/>
      <c r="C366" s="36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6"/>
      <c r="B367" s="36"/>
      <c r="C367" s="36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6"/>
      <c r="B368" s="36"/>
      <c r="C368" s="36"/>
      <c r="D368" s="4"/>
      <c r="E368" s="4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6"/>
      <c r="B369" s="36"/>
      <c r="C369" s="36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6"/>
      <c r="B370" s="36"/>
      <c r="C370" s="36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6"/>
      <c r="B371" s="36"/>
      <c r="C371" s="36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6"/>
      <c r="B372" s="36"/>
      <c r="C372" s="36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6"/>
      <c r="B373" s="36"/>
      <c r="C373" s="36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6"/>
      <c r="B374" s="36"/>
      <c r="C374" s="36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6"/>
      <c r="B375" s="36"/>
      <c r="C375" s="36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6"/>
      <c r="B376" s="36"/>
      <c r="C376" s="36"/>
      <c r="D376" s="4"/>
      <c r="E376" s="4"/>
      <c r="F376" s="4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6"/>
      <c r="B377" s="36"/>
      <c r="C377" s="36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6"/>
      <c r="B378" s="36"/>
      <c r="C378" s="36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6"/>
      <c r="B379" s="36"/>
      <c r="C379" s="36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6"/>
      <c r="B380" s="36"/>
      <c r="C380" s="36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6"/>
      <c r="B381" s="36"/>
      <c r="C381" s="36"/>
      <c r="D381" s="4"/>
      <c r="E381" s="4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6"/>
      <c r="B382" s="36"/>
      <c r="C382" s="36"/>
      <c r="D382" s="4"/>
      <c r="E382" s="4"/>
      <c r="F382" s="4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6"/>
      <c r="B383" s="36"/>
      <c r="C383" s="36"/>
      <c r="D383" s="4"/>
      <c r="E383" s="4"/>
      <c r="F383" s="4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6"/>
      <c r="B384" s="36"/>
      <c r="C384" s="36"/>
      <c r="D384" s="4"/>
      <c r="E384" s="4"/>
      <c r="F384" s="4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6"/>
      <c r="B385" s="36"/>
      <c r="C385" s="36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6"/>
      <c r="B386" s="36"/>
      <c r="C386" s="36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6"/>
      <c r="B387" s="36"/>
      <c r="C387" s="36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6"/>
      <c r="B388" s="36"/>
      <c r="C388" s="36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6"/>
      <c r="B389" s="36"/>
      <c r="C389" s="36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6"/>
      <c r="B390" s="36"/>
      <c r="C390" s="36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6"/>
      <c r="B391" s="36"/>
      <c r="C391" s="36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6"/>
      <c r="B392" s="36"/>
      <c r="C392" s="36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6"/>
      <c r="B393" s="36"/>
      <c r="C393" s="36"/>
      <c r="D393" s="4"/>
      <c r="E393" s="4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6"/>
      <c r="B394" s="36"/>
      <c r="C394" s="36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6"/>
      <c r="B395" s="36"/>
      <c r="C395" s="36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6"/>
      <c r="B396" s="36"/>
      <c r="C396" s="36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6"/>
      <c r="B397" s="36"/>
      <c r="C397" s="36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6"/>
      <c r="B398" s="36"/>
      <c r="C398" s="36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6"/>
      <c r="B399" s="36"/>
      <c r="C399" s="36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6"/>
      <c r="B400" s="36"/>
      <c r="C400" s="36"/>
      <c r="D400" s="4"/>
      <c r="E400" s="4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6"/>
      <c r="B401" s="36"/>
      <c r="C401" s="36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6"/>
      <c r="B402" s="36"/>
      <c r="C402" s="36"/>
      <c r="D402" s="4"/>
      <c r="E402" s="4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6"/>
      <c r="B403" s="36"/>
      <c r="C403" s="36"/>
      <c r="D403" s="4"/>
      <c r="E403" s="4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6"/>
      <c r="B404" s="36"/>
      <c r="C404" s="36"/>
      <c r="D404" s="4"/>
      <c r="E404" s="4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6"/>
      <c r="B405" s="36"/>
      <c r="C405" s="36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6"/>
      <c r="B406" s="36"/>
      <c r="C406" s="36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6"/>
      <c r="B407" s="36"/>
      <c r="C407" s="36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6"/>
      <c r="B408" s="36"/>
      <c r="C408" s="36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6"/>
      <c r="B409" s="36"/>
      <c r="C409" s="36"/>
      <c r="D409" s="4"/>
      <c r="E409" s="4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6"/>
      <c r="B410" s="36"/>
      <c r="C410" s="36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6"/>
      <c r="B411" s="36"/>
      <c r="C411" s="36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6"/>
      <c r="B412" s="36"/>
      <c r="C412" s="36"/>
      <c r="D412" s="4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6"/>
      <c r="B413" s="36"/>
      <c r="C413" s="36"/>
      <c r="D413" s="4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6"/>
      <c r="B414" s="36"/>
      <c r="C414" s="36"/>
      <c r="D414" s="4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6"/>
      <c r="B415" s="36"/>
      <c r="C415" s="36"/>
      <c r="D415" s="4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6"/>
      <c r="B416" s="36"/>
      <c r="C416" s="36"/>
      <c r="D416" s="4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6"/>
      <c r="B417" s="36"/>
      <c r="C417" s="36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6"/>
      <c r="B418" s="36"/>
      <c r="C418" s="36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6"/>
      <c r="B419" s="36"/>
      <c r="C419" s="36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6"/>
      <c r="B420" s="36"/>
      <c r="C420" s="36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6"/>
      <c r="B421" s="36"/>
      <c r="C421" s="36"/>
      <c r="D421" s="4"/>
      <c r="E421" s="4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6"/>
      <c r="B422" s="36"/>
      <c r="C422" s="36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6"/>
      <c r="B423" s="36"/>
      <c r="C423" s="36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6"/>
      <c r="B424" s="36"/>
      <c r="C424" s="36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6"/>
      <c r="B425" s="36"/>
      <c r="C425" s="36"/>
      <c r="D425" s="4"/>
      <c r="E425" s="4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6"/>
      <c r="B426" s="36"/>
      <c r="C426" s="36"/>
      <c r="D426" s="4"/>
      <c r="E426" s="4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6"/>
      <c r="B427" s="36"/>
      <c r="C427" s="36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6"/>
      <c r="B428" s="36"/>
      <c r="C428" s="36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6"/>
      <c r="B429" s="36"/>
      <c r="C429" s="36"/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6"/>
      <c r="B430" s="36"/>
      <c r="C430" s="36"/>
      <c r="D430" s="4"/>
      <c r="E430" s="4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6"/>
      <c r="B431" s="36"/>
      <c r="C431" s="36"/>
      <c r="D431" s="4"/>
      <c r="E431" s="4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6"/>
      <c r="B432" s="36"/>
      <c r="C432" s="36"/>
      <c r="D432" s="4"/>
      <c r="E432" s="4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6"/>
      <c r="B433" s="36"/>
      <c r="C433" s="36"/>
      <c r="D433" s="4"/>
      <c r="E433" s="4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6"/>
      <c r="B434" s="36"/>
      <c r="C434" s="36"/>
      <c r="D434" s="4"/>
      <c r="E434" s="4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6"/>
      <c r="B435" s="36"/>
      <c r="C435" s="36"/>
      <c r="D435" s="4"/>
      <c r="E435" s="4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6"/>
      <c r="B436" s="36"/>
      <c r="C436" s="36"/>
      <c r="D436" s="4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6"/>
      <c r="B437" s="36"/>
      <c r="C437" s="36"/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6"/>
      <c r="B438" s="36"/>
      <c r="C438" s="36"/>
      <c r="D438" s="4"/>
      <c r="E438" s="4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6"/>
      <c r="B439" s="36"/>
      <c r="C439" s="36"/>
      <c r="D439" s="4"/>
      <c r="E439" s="4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6"/>
      <c r="B440" s="36"/>
      <c r="C440" s="36"/>
      <c r="D440" s="4"/>
      <c r="E440" s="4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6"/>
      <c r="B441" s="36"/>
      <c r="C441" s="36"/>
      <c r="D441" s="4"/>
      <c r="E441" s="4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6"/>
      <c r="B442" s="36"/>
      <c r="C442" s="36"/>
      <c r="D442" s="4"/>
      <c r="E442" s="4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6"/>
      <c r="B443" s="36"/>
      <c r="C443" s="36"/>
      <c r="D443" s="4"/>
      <c r="E443" s="4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6"/>
      <c r="B444" s="36"/>
      <c r="C444" s="36"/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6"/>
      <c r="B445" s="36"/>
      <c r="C445" s="36"/>
      <c r="D445" s="4"/>
      <c r="E445" s="4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6"/>
      <c r="B446" s="36"/>
      <c r="C446" s="36"/>
      <c r="D446" s="4"/>
      <c r="E446" s="4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6"/>
      <c r="B447" s="36"/>
      <c r="C447" s="36"/>
      <c r="D447" s="4"/>
      <c r="E447" s="4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6"/>
      <c r="B448" s="36"/>
      <c r="C448" s="36"/>
      <c r="D448" s="4"/>
      <c r="E448" s="4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6"/>
      <c r="B449" s="36"/>
      <c r="C449" s="36"/>
      <c r="D449" s="4"/>
      <c r="E449" s="4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6"/>
      <c r="B450" s="36"/>
      <c r="C450" s="36"/>
      <c r="D450" s="4"/>
      <c r="E450" s="4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6"/>
      <c r="B451" s="36"/>
      <c r="C451" s="36"/>
      <c r="D451" s="4"/>
      <c r="E451" s="4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6"/>
      <c r="B452" s="36"/>
      <c r="C452" s="36"/>
      <c r="D452" s="4"/>
      <c r="E452" s="4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6"/>
      <c r="B453" s="36"/>
      <c r="C453" s="36"/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6"/>
      <c r="B454" s="36"/>
      <c r="C454" s="36"/>
      <c r="D454" s="4"/>
      <c r="E454" s="4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6"/>
      <c r="B455" s="36"/>
      <c r="C455" s="36"/>
      <c r="D455" s="4"/>
      <c r="E455" s="4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6"/>
      <c r="B456" s="36"/>
      <c r="C456" s="36"/>
      <c r="D456" s="4"/>
      <c r="E456" s="4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6"/>
      <c r="B457" s="36"/>
      <c r="C457" s="36"/>
      <c r="D457" s="4"/>
      <c r="E457" s="4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6"/>
      <c r="B458" s="36"/>
      <c r="C458" s="36"/>
      <c r="D458" s="4"/>
      <c r="E458" s="4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6"/>
      <c r="B459" s="36"/>
      <c r="C459" s="36"/>
      <c r="D459" s="4"/>
      <c r="E459" s="4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6"/>
      <c r="B460" s="36"/>
      <c r="C460" s="36"/>
      <c r="D460" s="4"/>
      <c r="E460" s="4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6"/>
      <c r="B461" s="36"/>
      <c r="C461" s="36"/>
      <c r="D461" s="4"/>
      <c r="E461" s="4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6"/>
      <c r="B462" s="36"/>
      <c r="C462" s="36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6"/>
      <c r="B463" s="36"/>
      <c r="C463" s="36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6"/>
      <c r="B464" s="36"/>
      <c r="C464" s="36"/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6"/>
      <c r="B465" s="36"/>
      <c r="C465" s="36"/>
      <c r="D465" s="4"/>
      <c r="E465" s="4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6"/>
      <c r="B466" s="36"/>
      <c r="C466" s="36"/>
      <c r="D466" s="4"/>
      <c r="E466" s="4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6"/>
      <c r="B467" s="36"/>
      <c r="C467" s="36"/>
      <c r="D467" s="4"/>
      <c r="E467" s="4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6"/>
      <c r="B468" s="36"/>
      <c r="C468" s="36"/>
      <c r="D468" s="4"/>
      <c r="E468" s="4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6"/>
      <c r="B469" s="36"/>
      <c r="C469" s="36"/>
      <c r="D469" s="4"/>
      <c r="E469" s="4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6"/>
      <c r="B470" s="36"/>
      <c r="C470" s="36"/>
      <c r="D470" s="4"/>
      <c r="E470" s="4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6"/>
      <c r="B471" s="36"/>
      <c r="C471" s="36"/>
      <c r="D471" s="4"/>
      <c r="E471" s="4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6"/>
      <c r="B472" s="36"/>
      <c r="C472" s="36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6"/>
      <c r="B473" s="36"/>
      <c r="C473" s="36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6"/>
      <c r="B474" s="36"/>
      <c r="C474" s="36"/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6"/>
      <c r="B475" s="36"/>
      <c r="C475" s="36"/>
      <c r="D475" s="4"/>
      <c r="E475" s="4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6"/>
      <c r="B476" s="36"/>
      <c r="C476" s="36"/>
      <c r="D476" s="4"/>
      <c r="E476" s="4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6"/>
      <c r="B477" s="36"/>
      <c r="C477" s="36"/>
      <c r="D477" s="4"/>
      <c r="E477" s="4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6"/>
      <c r="B478" s="36"/>
      <c r="C478" s="36"/>
      <c r="D478" s="4"/>
      <c r="E478" s="4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6"/>
      <c r="B479" s="36"/>
      <c r="C479" s="36"/>
      <c r="D479" s="4"/>
      <c r="E479" s="4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6"/>
      <c r="B480" s="36"/>
      <c r="C480" s="36"/>
      <c r="D480" s="4"/>
      <c r="E480" s="4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6"/>
      <c r="B481" s="36"/>
      <c r="C481" s="36"/>
      <c r="D481" s="4"/>
      <c r="E481" s="4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6"/>
      <c r="B482" s="36"/>
      <c r="C482" s="36"/>
      <c r="D482" s="4"/>
      <c r="E482" s="4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6"/>
      <c r="B483" s="36"/>
      <c r="C483" s="36"/>
      <c r="D483" s="4"/>
      <c r="E483" s="4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6"/>
      <c r="B484" s="36"/>
      <c r="C484" s="36"/>
      <c r="D484" s="4"/>
      <c r="E484" s="4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6"/>
      <c r="B485" s="36"/>
      <c r="C485" s="36"/>
      <c r="D485" s="4"/>
      <c r="E485" s="4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6"/>
      <c r="B486" s="36"/>
      <c r="C486" s="36"/>
      <c r="D486" s="4"/>
      <c r="E486" s="4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6"/>
      <c r="B487" s="36"/>
      <c r="C487" s="36"/>
      <c r="D487" s="4"/>
      <c r="E487" s="4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6"/>
      <c r="B488" s="36"/>
      <c r="C488" s="36"/>
      <c r="D488" s="4"/>
      <c r="E488" s="4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6"/>
      <c r="B489" s="36"/>
      <c r="C489" s="36"/>
      <c r="D489" s="4"/>
      <c r="E489" s="4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6"/>
      <c r="B490" s="36"/>
      <c r="C490" s="36"/>
      <c r="D490" s="4"/>
      <c r="E490" s="4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6"/>
      <c r="B491" s="36"/>
      <c r="C491" s="36"/>
      <c r="D491" s="4"/>
      <c r="E491" s="4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6"/>
      <c r="B492" s="36"/>
      <c r="C492" s="36"/>
      <c r="D492" s="4"/>
      <c r="E492" s="4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6"/>
      <c r="B493" s="36"/>
      <c r="C493" s="36"/>
      <c r="D493" s="4"/>
      <c r="E493" s="4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6"/>
      <c r="B494" s="36"/>
      <c r="C494" s="36"/>
      <c r="D494" s="4"/>
      <c r="E494" s="4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6"/>
      <c r="B495" s="36"/>
      <c r="C495" s="36"/>
      <c r="D495" s="4"/>
      <c r="E495" s="4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6"/>
      <c r="B496" s="36"/>
      <c r="C496" s="36"/>
      <c r="D496" s="4"/>
      <c r="E496" s="4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6"/>
      <c r="B497" s="36"/>
      <c r="C497" s="36"/>
      <c r="D497" s="4"/>
      <c r="E497" s="4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6"/>
      <c r="B498" s="36"/>
      <c r="C498" s="36"/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6"/>
      <c r="B499" s="36"/>
      <c r="C499" s="36"/>
      <c r="D499" s="4"/>
      <c r="E499" s="4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6"/>
      <c r="B500" s="36"/>
      <c r="C500" s="36"/>
      <c r="D500" s="4"/>
      <c r="E500" s="4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6"/>
      <c r="B501" s="36"/>
      <c r="C501" s="36"/>
      <c r="D501" s="4"/>
      <c r="E501" s="4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6"/>
      <c r="B502" s="36"/>
      <c r="C502" s="36"/>
      <c r="D502" s="4"/>
      <c r="E502" s="4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6"/>
      <c r="B503" s="36"/>
      <c r="C503" s="36"/>
      <c r="D503" s="4"/>
      <c r="E503" s="4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6"/>
      <c r="B504" s="36"/>
      <c r="C504" s="36"/>
      <c r="D504" s="4"/>
      <c r="E504" s="4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6"/>
      <c r="B505" s="36"/>
      <c r="C505" s="36"/>
      <c r="D505" s="4"/>
      <c r="E505" s="4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6"/>
      <c r="B506" s="36"/>
      <c r="C506" s="36"/>
      <c r="D506" s="4"/>
      <c r="E506" s="4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6"/>
      <c r="B507" s="36"/>
      <c r="C507" s="36"/>
      <c r="D507" s="4"/>
      <c r="E507" s="4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6"/>
      <c r="B508" s="36"/>
      <c r="C508" s="36"/>
      <c r="D508" s="4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6"/>
      <c r="B509" s="36"/>
      <c r="C509" s="36"/>
      <c r="D509" s="4"/>
      <c r="E509" s="4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6"/>
      <c r="B510" s="36"/>
      <c r="C510" s="36"/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6"/>
      <c r="B511" s="36"/>
      <c r="C511" s="36"/>
      <c r="D511" s="4"/>
      <c r="E511" s="4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6"/>
      <c r="B512" s="36"/>
      <c r="C512" s="36"/>
      <c r="D512" s="4"/>
      <c r="E512" s="4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6"/>
      <c r="B513" s="36"/>
      <c r="C513" s="36"/>
      <c r="D513" s="4"/>
      <c r="E513" s="4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6"/>
      <c r="B514" s="36"/>
      <c r="C514" s="36"/>
      <c r="D514" s="4"/>
      <c r="E514" s="4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6"/>
      <c r="B515" s="36"/>
      <c r="C515" s="36"/>
      <c r="D515" s="4"/>
      <c r="E515" s="4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6"/>
      <c r="B516" s="36"/>
      <c r="C516" s="36"/>
      <c r="D516" s="4"/>
      <c r="E516" s="4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6"/>
      <c r="B517" s="36"/>
      <c r="C517" s="36"/>
      <c r="D517" s="4"/>
      <c r="E517" s="4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6"/>
      <c r="B518" s="36"/>
      <c r="C518" s="36"/>
      <c r="D518" s="4"/>
      <c r="E518" s="4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6"/>
      <c r="B519" s="36"/>
      <c r="C519" s="36"/>
      <c r="D519" s="4"/>
      <c r="E519" s="4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6"/>
      <c r="B520" s="36"/>
      <c r="C520" s="36"/>
      <c r="D520" s="4"/>
      <c r="E520" s="4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6"/>
      <c r="B521" s="36"/>
      <c r="C521" s="36"/>
      <c r="D521" s="4"/>
      <c r="E521" s="4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6"/>
      <c r="B522" s="36"/>
      <c r="C522" s="36"/>
      <c r="D522" s="4"/>
      <c r="E522" s="4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6"/>
      <c r="B523" s="36"/>
      <c r="C523" s="36"/>
      <c r="D523" s="4"/>
      <c r="E523" s="4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6"/>
      <c r="B524" s="36"/>
      <c r="C524" s="36"/>
      <c r="D524" s="4"/>
      <c r="E524" s="4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6"/>
      <c r="B525" s="36"/>
      <c r="C525" s="36"/>
      <c r="D525" s="4"/>
      <c r="E525" s="4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6"/>
      <c r="B526" s="36"/>
      <c r="C526" s="36"/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6"/>
      <c r="B527" s="36"/>
      <c r="C527" s="36"/>
      <c r="D527" s="4"/>
      <c r="E527" s="4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6"/>
      <c r="B528" s="36"/>
      <c r="C528" s="36"/>
      <c r="D528" s="4"/>
      <c r="E528" s="4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6"/>
      <c r="B529" s="36"/>
      <c r="C529" s="36"/>
      <c r="D529" s="4"/>
      <c r="E529" s="4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6"/>
      <c r="B530" s="36"/>
      <c r="C530" s="36"/>
      <c r="D530" s="4"/>
      <c r="E530" s="4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6"/>
      <c r="B531" s="36"/>
      <c r="C531" s="36"/>
      <c r="D531" s="4"/>
      <c r="E531" s="4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6"/>
      <c r="B532" s="36"/>
      <c r="C532" s="36"/>
      <c r="D532" s="4"/>
      <c r="E532" s="4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6"/>
      <c r="B533" s="36"/>
      <c r="C533" s="36"/>
      <c r="D533" s="4"/>
      <c r="E533" s="4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6"/>
      <c r="B534" s="36"/>
      <c r="C534" s="36"/>
      <c r="D534" s="4"/>
      <c r="E534" s="4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6"/>
      <c r="B535" s="36"/>
      <c r="C535" s="36"/>
      <c r="D535" s="4"/>
      <c r="E535" s="4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6"/>
      <c r="B536" s="36"/>
      <c r="C536" s="36"/>
      <c r="D536" s="4"/>
      <c r="E536" s="4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6"/>
      <c r="B537" s="36"/>
      <c r="C537" s="36"/>
      <c r="D537" s="4"/>
      <c r="E537" s="4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6"/>
      <c r="B538" s="36"/>
      <c r="C538" s="36"/>
      <c r="D538" s="4"/>
      <c r="E538" s="4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6"/>
      <c r="B539" s="36"/>
      <c r="C539" s="36"/>
      <c r="D539" s="4"/>
      <c r="E539" s="4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6"/>
      <c r="B540" s="36"/>
      <c r="C540" s="36"/>
      <c r="D540" s="4"/>
      <c r="E540" s="4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6"/>
      <c r="B541" s="36"/>
      <c r="C541" s="36"/>
      <c r="D541" s="4"/>
      <c r="E541" s="4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6"/>
      <c r="B542" s="36"/>
      <c r="C542" s="36"/>
      <c r="D542" s="4"/>
      <c r="E542" s="4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6"/>
      <c r="B543" s="36"/>
      <c r="C543" s="36"/>
      <c r="D543" s="4"/>
      <c r="E543" s="4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6"/>
      <c r="B544" s="36"/>
      <c r="C544" s="36"/>
      <c r="D544" s="4"/>
      <c r="E544" s="4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6"/>
      <c r="B545" s="36"/>
      <c r="C545" s="36"/>
      <c r="D545" s="4"/>
      <c r="E545" s="4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6"/>
      <c r="B546" s="36"/>
      <c r="C546" s="36"/>
      <c r="D546" s="4"/>
      <c r="E546" s="4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6"/>
      <c r="B547" s="36"/>
      <c r="C547" s="36"/>
      <c r="D547" s="4"/>
      <c r="E547" s="4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6"/>
      <c r="B548" s="36"/>
      <c r="C548" s="36"/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6"/>
      <c r="B549" s="36"/>
      <c r="C549" s="36"/>
      <c r="D549" s="4"/>
      <c r="E549" s="4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6"/>
      <c r="B550" s="36"/>
      <c r="C550" s="36"/>
      <c r="D550" s="4"/>
      <c r="E550" s="4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6"/>
      <c r="B551" s="36"/>
      <c r="C551" s="36"/>
      <c r="D551" s="4"/>
      <c r="E551" s="4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6"/>
      <c r="B552" s="36"/>
      <c r="C552" s="36"/>
      <c r="D552" s="4"/>
      <c r="E552" s="4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6"/>
      <c r="B553" s="36"/>
      <c r="C553" s="36"/>
      <c r="D553" s="4"/>
      <c r="E553" s="4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6"/>
      <c r="B554" s="36"/>
      <c r="C554" s="36"/>
      <c r="D554" s="4"/>
      <c r="E554" s="4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6"/>
      <c r="B555" s="36"/>
      <c r="C555" s="36"/>
      <c r="D555" s="4"/>
      <c r="E555" s="4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6"/>
      <c r="B556" s="36"/>
      <c r="C556" s="36"/>
      <c r="D556" s="4"/>
      <c r="E556" s="4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6"/>
      <c r="B557" s="36"/>
      <c r="C557" s="36"/>
      <c r="D557" s="4"/>
      <c r="E557" s="4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6"/>
      <c r="B558" s="36"/>
      <c r="C558" s="36"/>
      <c r="D558" s="4"/>
      <c r="E558" s="4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6"/>
      <c r="B559" s="36"/>
      <c r="C559" s="36"/>
      <c r="D559" s="4"/>
      <c r="E559" s="4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6"/>
      <c r="B560" s="36"/>
      <c r="C560" s="36"/>
      <c r="D560" s="4"/>
      <c r="E560" s="4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6"/>
      <c r="B561" s="36"/>
      <c r="C561" s="36"/>
      <c r="D561" s="4"/>
      <c r="E561" s="4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6"/>
      <c r="B562" s="36"/>
      <c r="C562" s="36"/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6"/>
      <c r="B563" s="36"/>
      <c r="C563" s="36"/>
      <c r="D563" s="4"/>
      <c r="E563" s="4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6"/>
      <c r="B564" s="36"/>
      <c r="C564" s="36"/>
      <c r="D564" s="4"/>
      <c r="E564" s="4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6"/>
      <c r="B565" s="36"/>
      <c r="C565" s="36"/>
      <c r="D565" s="4"/>
      <c r="E565" s="4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6"/>
      <c r="B566" s="36"/>
      <c r="C566" s="36"/>
      <c r="D566" s="4"/>
      <c r="E566" s="4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6"/>
      <c r="B567" s="36"/>
      <c r="C567" s="36"/>
      <c r="D567" s="4"/>
      <c r="E567" s="4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6"/>
      <c r="B568" s="36"/>
      <c r="C568" s="36"/>
      <c r="D568" s="4"/>
      <c r="E568" s="4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6"/>
      <c r="B569" s="36"/>
      <c r="C569" s="36"/>
      <c r="D569" s="4"/>
      <c r="E569" s="4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6"/>
      <c r="B570" s="36"/>
      <c r="C570" s="36"/>
      <c r="D570" s="4"/>
      <c r="E570" s="4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6"/>
      <c r="B571" s="36"/>
      <c r="C571" s="36"/>
      <c r="D571" s="4"/>
      <c r="E571" s="4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6"/>
      <c r="B572" s="36"/>
      <c r="C572" s="36"/>
      <c r="D572" s="4"/>
      <c r="E572" s="4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6"/>
      <c r="B573" s="36"/>
      <c r="C573" s="36"/>
      <c r="D573" s="4"/>
      <c r="E573" s="4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6"/>
      <c r="B574" s="36"/>
      <c r="C574" s="36"/>
      <c r="D574" s="4"/>
      <c r="E574" s="4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6"/>
      <c r="B575" s="36"/>
      <c r="C575" s="36"/>
      <c r="D575" s="4"/>
      <c r="E575" s="4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6"/>
      <c r="B576" s="36"/>
      <c r="C576" s="36"/>
      <c r="D576" s="4"/>
      <c r="E576" s="4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6"/>
      <c r="B577" s="36"/>
      <c r="C577" s="36"/>
      <c r="D577" s="4"/>
      <c r="E577" s="4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6"/>
      <c r="B578" s="36"/>
      <c r="C578" s="36"/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6"/>
      <c r="B579" s="36"/>
      <c r="C579" s="36"/>
      <c r="D579" s="4"/>
      <c r="E579" s="4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6"/>
      <c r="B580" s="36"/>
      <c r="C580" s="36"/>
      <c r="D580" s="4"/>
      <c r="E580" s="4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6"/>
      <c r="B581" s="36"/>
      <c r="C581" s="36"/>
      <c r="D581" s="4"/>
      <c r="E581" s="4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6"/>
      <c r="B582" s="36"/>
      <c r="C582" s="36"/>
      <c r="D582" s="4"/>
      <c r="E582" s="4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6"/>
      <c r="B583" s="36"/>
      <c r="C583" s="36"/>
      <c r="D583" s="4"/>
      <c r="E583" s="4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6"/>
      <c r="B584" s="36"/>
      <c r="C584" s="36"/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6"/>
      <c r="B585" s="36"/>
      <c r="C585" s="36"/>
      <c r="D585" s="4"/>
      <c r="E585" s="4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6"/>
      <c r="B586" s="36"/>
      <c r="C586" s="36"/>
      <c r="D586" s="4"/>
      <c r="E586" s="4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6"/>
      <c r="B587" s="36"/>
      <c r="C587" s="36"/>
      <c r="D587" s="4"/>
      <c r="E587" s="4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6"/>
      <c r="B588" s="36"/>
      <c r="C588" s="36"/>
      <c r="D588" s="4"/>
      <c r="E588" s="4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6"/>
      <c r="B589" s="36"/>
      <c r="C589" s="36"/>
      <c r="D589" s="4"/>
      <c r="E589" s="4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6"/>
      <c r="B590" s="36"/>
      <c r="C590" s="36"/>
      <c r="D590" s="4"/>
      <c r="E590" s="4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6"/>
      <c r="B591" s="36"/>
      <c r="C591" s="36"/>
      <c r="D591" s="4"/>
      <c r="E591" s="4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6"/>
      <c r="B592" s="36"/>
      <c r="C592" s="36"/>
      <c r="D592" s="4"/>
      <c r="E592" s="4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6"/>
      <c r="B593" s="36"/>
      <c r="C593" s="36"/>
      <c r="D593" s="4"/>
      <c r="E593" s="4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6"/>
      <c r="B594" s="36"/>
      <c r="C594" s="36"/>
      <c r="D594" s="4"/>
      <c r="E594" s="4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6"/>
      <c r="B595" s="36"/>
      <c r="C595" s="36"/>
      <c r="D595" s="4"/>
      <c r="E595" s="4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6"/>
      <c r="B596" s="36"/>
      <c r="C596" s="36"/>
      <c r="D596" s="4"/>
      <c r="E596" s="4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6"/>
      <c r="B597" s="36"/>
      <c r="C597" s="36"/>
      <c r="D597" s="4"/>
      <c r="E597" s="4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6"/>
      <c r="B598" s="36"/>
      <c r="C598" s="36"/>
      <c r="D598" s="4"/>
      <c r="E598" s="4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6"/>
      <c r="B599" s="36"/>
      <c r="C599" s="36"/>
      <c r="D599" s="4"/>
      <c r="E599" s="4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6"/>
      <c r="B600" s="36"/>
      <c r="C600" s="36"/>
      <c r="D600" s="4"/>
      <c r="E600" s="4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6"/>
      <c r="B601" s="36"/>
      <c r="C601" s="36"/>
      <c r="D601" s="4"/>
      <c r="E601" s="4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6"/>
      <c r="B602" s="36"/>
      <c r="C602" s="36"/>
      <c r="D602" s="4"/>
      <c r="E602" s="4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6"/>
      <c r="B603" s="36"/>
      <c r="C603" s="36"/>
      <c r="D603" s="4"/>
      <c r="E603" s="4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6"/>
      <c r="B604" s="36"/>
      <c r="C604" s="36"/>
      <c r="D604" s="4"/>
      <c r="E604" s="4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6"/>
      <c r="B605" s="36"/>
      <c r="C605" s="36"/>
      <c r="D605" s="4"/>
      <c r="E605" s="4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6"/>
      <c r="B606" s="36"/>
      <c r="C606" s="36"/>
      <c r="D606" s="4"/>
      <c r="E606" s="4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6"/>
      <c r="B607" s="36"/>
      <c r="C607" s="36"/>
      <c r="D607" s="4"/>
      <c r="E607" s="4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6"/>
      <c r="B608" s="36"/>
      <c r="C608" s="36"/>
      <c r="D608" s="4"/>
      <c r="E608" s="4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6"/>
      <c r="B609" s="36"/>
      <c r="C609" s="36"/>
      <c r="D609" s="4"/>
      <c r="E609" s="4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6"/>
      <c r="B610" s="36"/>
      <c r="C610" s="36"/>
      <c r="D610" s="4"/>
      <c r="E610" s="4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6"/>
      <c r="B611" s="36"/>
      <c r="C611" s="36"/>
      <c r="D611" s="4"/>
      <c r="E611" s="4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6"/>
      <c r="B612" s="36"/>
      <c r="C612" s="36"/>
      <c r="D612" s="4"/>
      <c r="E612" s="4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6"/>
      <c r="B613" s="36"/>
      <c r="C613" s="36"/>
      <c r="D613" s="4"/>
      <c r="E613" s="4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6"/>
      <c r="B614" s="36"/>
      <c r="C614" s="36"/>
      <c r="D614" s="4"/>
      <c r="E614" s="4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6"/>
      <c r="B615" s="36"/>
      <c r="C615" s="36"/>
      <c r="D615" s="4"/>
      <c r="E615" s="4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6"/>
      <c r="B616" s="36"/>
      <c r="C616" s="36"/>
      <c r="D616" s="4"/>
      <c r="E616" s="4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6"/>
      <c r="B617" s="36"/>
      <c r="C617" s="36"/>
      <c r="D617" s="4"/>
      <c r="E617" s="4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6"/>
      <c r="B618" s="36"/>
      <c r="C618" s="36"/>
      <c r="D618" s="4"/>
      <c r="E618" s="4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6"/>
      <c r="B619" s="36"/>
      <c r="C619" s="36"/>
      <c r="D619" s="4"/>
      <c r="E619" s="4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6"/>
      <c r="B620" s="36"/>
      <c r="C620" s="36"/>
      <c r="D620" s="4"/>
      <c r="E620" s="4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6"/>
      <c r="B621" s="36"/>
      <c r="C621" s="36"/>
      <c r="D621" s="4"/>
      <c r="E621" s="4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6"/>
      <c r="B622" s="36"/>
      <c r="C622" s="36"/>
      <c r="D622" s="4"/>
      <c r="E622" s="4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6"/>
      <c r="B623" s="36"/>
      <c r="C623" s="36"/>
      <c r="D623" s="4"/>
      <c r="E623" s="4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6"/>
      <c r="B624" s="36"/>
      <c r="C624" s="36"/>
      <c r="D624" s="4"/>
      <c r="E624" s="4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6"/>
      <c r="B625" s="36"/>
      <c r="C625" s="36"/>
      <c r="D625" s="4"/>
      <c r="E625" s="4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6"/>
      <c r="B626" s="36"/>
      <c r="C626" s="36"/>
      <c r="D626" s="4"/>
      <c r="E626" s="4"/>
      <c r="F626" s="4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6"/>
      <c r="B627" s="36"/>
      <c r="C627" s="36"/>
      <c r="D627" s="4"/>
      <c r="E627" s="4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6"/>
      <c r="B628" s="36"/>
      <c r="C628" s="36"/>
      <c r="D628" s="4"/>
      <c r="E628" s="4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6"/>
      <c r="B629" s="36"/>
      <c r="C629" s="36"/>
      <c r="D629" s="4"/>
      <c r="E629" s="4"/>
      <c r="F629" s="4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6"/>
      <c r="B630" s="36"/>
      <c r="C630" s="36"/>
      <c r="D630" s="4"/>
      <c r="E630" s="4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6"/>
      <c r="B631" s="36"/>
      <c r="C631" s="36"/>
      <c r="D631" s="4"/>
      <c r="E631" s="4"/>
      <c r="F631" s="4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6"/>
      <c r="B632" s="36"/>
      <c r="C632" s="36"/>
      <c r="D632" s="4"/>
      <c r="E632" s="4"/>
      <c r="F632" s="4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6"/>
      <c r="B633" s="36"/>
      <c r="C633" s="36"/>
      <c r="D633" s="4"/>
      <c r="E633" s="4"/>
      <c r="F633" s="4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6"/>
      <c r="B634" s="36"/>
      <c r="C634" s="36"/>
      <c r="D634" s="4"/>
      <c r="E634" s="4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6"/>
      <c r="B635" s="36"/>
      <c r="C635" s="36"/>
      <c r="D635" s="4"/>
      <c r="E635" s="4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6"/>
      <c r="B636" s="36"/>
      <c r="C636" s="36"/>
      <c r="D636" s="4"/>
      <c r="E636" s="4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6"/>
      <c r="B637" s="36"/>
      <c r="C637" s="36"/>
      <c r="D637" s="4"/>
      <c r="E637" s="4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6"/>
      <c r="B638" s="36"/>
      <c r="C638" s="36"/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6"/>
      <c r="B639" s="36"/>
      <c r="C639" s="36"/>
      <c r="D639" s="4"/>
      <c r="E639" s="4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6"/>
      <c r="B640" s="36"/>
      <c r="C640" s="36"/>
      <c r="D640" s="4"/>
      <c r="E640" s="4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6"/>
      <c r="B641" s="36"/>
      <c r="C641" s="36"/>
      <c r="D641" s="4"/>
      <c r="E641" s="4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6"/>
      <c r="B642" s="36"/>
      <c r="C642" s="36"/>
      <c r="D642" s="4"/>
      <c r="E642" s="4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6"/>
      <c r="B643" s="36"/>
      <c r="C643" s="36"/>
      <c r="D643" s="4"/>
      <c r="E643" s="4"/>
      <c r="F643" s="4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6"/>
      <c r="B644" s="36"/>
      <c r="C644" s="36"/>
      <c r="D644" s="4"/>
      <c r="E644" s="4"/>
      <c r="F644" s="4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6"/>
      <c r="B645" s="36"/>
      <c r="C645" s="36"/>
      <c r="D645" s="4"/>
      <c r="E645" s="4"/>
      <c r="F645" s="4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6"/>
      <c r="B646" s="36"/>
      <c r="C646" s="36"/>
      <c r="D646" s="4"/>
      <c r="E646" s="4"/>
      <c r="F646" s="4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6"/>
      <c r="B647" s="36"/>
      <c r="C647" s="36"/>
      <c r="D647" s="4"/>
      <c r="E647" s="4"/>
      <c r="F647" s="4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6"/>
      <c r="B648" s="36"/>
      <c r="C648" s="36"/>
      <c r="D648" s="4"/>
      <c r="E648" s="4"/>
      <c r="F648" s="4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6"/>
      <c r="B649" s="36"/>
      <c r="C649" s="36"/>
      <c r="D649" s="4"/>
      <c r="E649" s="4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6"/>
      <c r="B650" s="36"/>
      <c r="C650" s="36"/>
      <c r="D650" s="4"/>
      <c r="E650" s="4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6"/>
      <c r="B651" s="36"/>
      <c r="C651" s="36"/>
      <c r="D651" s="4"/>
      <c r="E651" s="4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6"/>
      <c r="B652" s="36"/>
      <c r="C652" s="36"/>
      <c r="D652" s="4"/>
      <c r="E652" s="4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6"/>
      <c r="B653" s="36"/>
      <c r="C653" s="36"/>
      <c r="D653" s="4"/>
      <c r="E653" s="4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6"/>
      <c r="B654" s="36"/>
      <c r="C654" s="36"/>
      <c r="D654" s="4"/>
      <c r="E654" s="4"/>
      <c r="F654" s="4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6"/>
      <c r="B655" s="36"/>
      <c r="C655" s="36"/>
      <c r="D655" s="4"/>
      <c r="E655" s="4"/>
      <c r="F655" s="4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6"/>
      <c r="B656" s="36"/>
      <c r="C656" s="36"/>
      <c r="D656" s="4"/>
      <c r="E656" s="4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6"/>
      <c r="B657" s="36"/>
      <c r="C657" s="36"/>
      <c r="D657" s="4"/>
      <c r="E657" s="4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6"/>
      <c r="B658" s="36"/>
      <c r="C658" s="36"/>
      <c r="D658" s="4"/>
      <c r="E658" s="4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6"/>
      <c r="B659" s="36"/>
      <c r="C659" s="36"/>
      <c r="D659" s="4"/>
      <c r="E659" s="4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6"/>
      <c r="B660" s="36"/>
      <c r="C660" s="36"/>
      <c r="D660" s="4"/>
      <c r="E660" s="4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6"/>
      <c r="B661" s="36"/>
      <c r="C661" s="36"/>
      <c r="D661" s="4"/>
      <c r="E661" s="4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6"/>
      <c r="B662" s="36"/>
      <c r="C662" s="36"/>
      <c r="D662" s="4"/>
      <c r="E662" s="4"/>
      <c r="F662" s="4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6"/>
      <c r="B663" s="36"/>
      <c r="C663" s="36"/>
      <c r="D663" s="4"/>
      <c r="E663" s="4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6"/>
      <c r="B664" s="36"/>
      <c r="C664" s="36"/>
      <c r="D664" s="4"/>
      <c r="E664" s="4"/>
      <c r="F664" s="4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6"/>
      <c r="B665" s="36"/>
      <c r="C665" s="36"/>
      <c r="D665" s="4"/>
      <c r="E665" s="4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6"/>
      <c r="B666" s="36"/>
      <c r="C666" s="36"/>
      <c r="D666" s="4"/>
      <c r="E666" s="4"/>
      <c r="F666" s="4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6"/>
      <c r="B667" s="36"/>
      <c r="C667" s="36"/>
      <c r="D667" s="4"/>
      <c r="E667" s="4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6"/>
      <c r="B668" s="36"/>
      <c r="C668" s="36"/>
      <c r="D668" s="4"/>
      <c r="E668" s="4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6"/>
      <c r="B669" s="36"/>
      <c r="C669" s="36"/>
      <c r="D669" s="4"/>
      <c r="E669" s="4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6"/>
      <c r="B670" s="36"/>
      <c r="C670" s="36"/>
      <c r="D670" s="4"/>
      <c r="E670" s="4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6"/>
      <c r="B671" s="36"/>
      <c r="C671" s="36"/>
      <c r="D671" s="4"/>
      <c r="E671" s="4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6"/>
      <c r="B672" s="36"/>
      <c r="C672" s="36"/>
      <c r="D672" s="4"/>
      <c r="E672" s="4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6"/>
      <c r="B673" s="36"/>
      <c r="C673" s="36"/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6"/>
      <c r="B674" s="36"/>
      <c r="C674" s="36"/>
      <c r="D674" s="4"/>
      <c r="E674" s="4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6"/>
      <c r="B675" s="36"/>
      <c r="C675" s="36"/>
      <c r="D675" s="4"/>
      <c r="E675" s="4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6"/>
      <c r="B676" s="36"/>
      <c r="C676" s="36"/>
      <c r="D676" s="4"/>
      <c r="E676" s="4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6"/>
      <c r="B677" s="36"/>
      <c r="C677" s="36"/>
      <c r="D677" s="4"/>
      <c r="E677" s="4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6"/>
      <c r="B678" s="36"/>
      <c r="C678" s="36"/>
      <c r="D678" s="4"/>
      <c r="E678" s="4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6"/>
      <c r="B679" s="36"/>
      <c r="C679" s="36"/>
      <c r="D679" s="4"/>
      <c r="E679" s="4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6"/>
      <c r="B680" s="36"/>
      <c r="C680" s="36"/>
      <c r="D680" s="4"/>
      <c r="E680" s="4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6"/>
      <c r="B681" s="36"/>
      <c r="C681" s="36"/>
      <c r="D681" s="4"/>
      <c r="E681" s="4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6"/>
      <c r="B682" s="36"/>
      <c r="C682" s="36"/>
      <c r="D682" s="4"/>
      <c r="E682" s="4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6"/>
      <c r="B683" s="36"/>
      <c r="C683" s="36"/>
      <c r="D683" s="4"/>
      <c r="E683" s="4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6"/>
      <c r="B684" s="36"/>
      <c r="C684" s="36"/>
      <c r="D684" s="4"/>
      <c r="E684" s="4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6"/>
      <c r="B685" s="36"/>
      <c r="C685" s="36"/>
      <c r="D685" s="4"/>
      <c r="E685" s="4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6"/>
      <c r="B686" s="36"/>
      <c r="C686" s="36"/>
      <c r="D686" s="4"/>
      <c r="E686" s="4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6"/>
      <c r="B687" s="36"/>
      <c r="C687" s="36"/>
      <c r="D687" s="4"/>
      <c r="E687" s="4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6"/>
      <c r="B688" s="36"/>
      <c r="C688" s="36"/>
      <c r="D688" s="4"/>
      <c r="E688" s="4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6"/>
      <c r="B689" s="36"/>
      <c r="C689" s="36"/>
      <c r="D689" s="4"/>
      <c r="E689" s="4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6"/>
      <c r="B690" s="36"/>
      <c r="C690" s="36"/>
      <c r="D690" s="4"/>
      <c r="E690" s="4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6"/>
      <c r="B691" s="36"/>
      <c r="C691" s="36"/>
      <c r="D691" s="4"/>
      <c r="E691" s="4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6"/>
      <c r="B692" s="36"/>
      <c r="C692" s="36"/>
      <c r="D692" s="4"/>
      <c r="E692" s="4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6"/>
      <c r="B693" s="36"/>
      <c r="C693" s="36"/>
      <c r="D693" s="4"/>
      <c r="E693" s="4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6"/>
      <c r="B694" s="36"/>
      <c r="C694" s="36"/>
      <c r="D694" s="4"/>
      <c r="E694" s="4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6"/>
      <c r="B695" s="36"/>
      <c r="C695" s="36"/>
      <c r="D695" s="4"/>
      <c r="E695" s="4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6"/>
      <c r="B696" s="36"/>
      <c r="C696" s="36"/>
      <c r="D696" s="4"/>
      <c r="E696" s="4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6"/>
      <c r="B697" s="36"/>
      <c r="C697" s="36"/>
      <c r="D697" s="4"/>
      <c r="E697" s="4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6"/>
      <c r="B698" s="36"/>
      <c r="C698" s="36"/>
      <c r="D698" s="4"/>
      <c r="E698" s="4"/>
      <c r="F698" s="4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6"/>
      <c r="B699" s="36"/>
      <c r="C699" s="36"/>
      <c r="D699" s="4"/>
      <c r="E699" s="4"/>
      <c r="F699" s="4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6"/>
      <c r="B700" s="36"/>
      <c r="C700" s="36"/>
      <c r="D700" s="4"/>
      <c r="E700" s="4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6"/>
      <c r="B701" s="36"/>
      <c r="C701" s="36"/>
      <c r="D701" s="4"/>
      <c r="E701" s="4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6"/>
      <c r="B702" s="36"/>
      <c r="C702" s="36"/>
      <c r="D702" s="4"/>
      <c r="E702" s="4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6"/>
      <c r="B703" s="36"/>
      <c r="C703" s="36"/>
      <c r="D703" s="4"/>
      <c r="E703" s="4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6"/>
      <c r="B704" s="36"/>
      <c r="C704" s="36"/>
      <c r="D704" s="4"/>
      <c r="E704" s="4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6"/>
      <c r="B705" s="36"/>
      <c r="C705" s="36"/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6"/>
      <c r="B706" s="36"/>
      <c r="C706" s="36"/>
      <c r="D706" s="4"/>
      <c r="E706" s="4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6"/>
      <c r="B707" s="36"/>
      <c r="C707" s="36"/>
      <c r="D707" s="4"/>
      <c r="E707" s="4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6"/>
      <c r="B708" s="36"/>
      <c r="C708" s="36"/>
      <c r="D708" s="4"/>
      <c r="E708" s="4"/>
      <c r="F708" s="4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6"/>
      <c r="B709" s="36"/>
      <c r="C709" s="36"/>
      <c r="D709" s="4"/>
      <c r="E709" s="4"/>
      <c r="F709" s="4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6"/>
      <c r="B710" s="36"/>
      <c r="C710" s="36"/>
      <c r="D710" s="4"/>
      <c r="E710" s="4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6"/>
      <c r="B711" s="36"/>
      <c r="C711" s="36"/>
      <c r="D711" s="4"/>
      <c r="E711" s="4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6"/>
      <c r="B712" s="36"/>
      <c r="C712" s="36"/>
      <c r="D712" s="4"/>
      <c r="E712" s="4"/>
      <c r="F712" s="4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6"/>
      <c r="B713" s="36"/>
      <c r="C713" s="36"/>
      <c r="D713" s="4"/>
      <c r="E713" s="4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6"/>
      <c r="B714" s="36"/>
      <c r="C714" s="36"/>
      <c r="D714" s="4"/>
      <c r="E714" s="4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6"/>
      <c r="B715" s="36"/>
      <c r="C715" s="36"/>
      <c r="D715" s="4"/>
      <c r="E715" s="4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6"/>
      <c r="B716" s="36"/>
      <c r="C716" s="36"/>
      <c r="D716" s="4"/>
      <c r="E716" s="4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6"/>
      <c r="B717" s="36"/>
      <c r="C717" s="36"/>
      <c r="D717" s="4"/>
      <c r="E717" s="4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6"/>
      <c r="B718" s="36"/>
      <c r="C718" s="36"/>
      <c r="D718" s="4"/>
      <c r="E718" s="4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6"/>
      <c r="B719" s="36"/>
      <c r="C719" s="36"/>
      <c r="D719" s="4"/>
      <c r="E719" s="4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6"/>
      <c r="B720" s="36"/>
      <c r="C720" s="36"/>
      <c r="D720" s="4"/>
      <c r="E720" s="4"/>
      <c r="F720" s="4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6"/>
      <c r="B721" s="36"/>
      <c r="C721" s="36"/>
      <c r="D721" s="4"/>
      <c r="E721" s="4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6"/>
      <c r="B722" s="36"/>
      <c r="C722" s="36"/>
      <c r="D722" s="4"/>
      <c r="E722" s="4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6"/>
      <c r="B723" s="36"/>
      <c r="C723" s="36"/>
      <c r="D723" s="4"/>
      <c r="E723" s="4"/>
      <c r="F723" s="4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6"/>
      <c r="B724" s="36"/>
      <c r="C724" s="36"/>
      <c r="D724" s="4"/>
      <c r="E724" s="4"/>
      <c r="F724" s="4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6"/>
      <c r="B725" s="36"/>
      <c r="C725" s="36"/>
      <c r="D725" s="4"/>
      <c r="E725" s="4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6"/>
      <c r="B726" s="36"/>
      <c r="C726" s="36"/>
      <c r="D726" s="4"/>
      <c r="E726" s="4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6"/>
      <c r="B727" s="36"/>
      <c r="C727" s="36"/>
      <c r="D727" s="4"/>
      <c r="E727" s="4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6"/>
      <c r="B728" s="36"/>
      <c r="C728" s="36"/>
      <c r="D728" s="4"/>
      <c r="E728" s="4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6"/>
      <c r="B729" s="36"/>
      <c r="C729" s="36"/>
      <c r="D729" s="4"/>
      <c r="E729" s="4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6"/>
      <c r="B730" s="36"/>
      <c r="C730" s="36"/>
      <c r="D730" s="4"/>
      <c r="E730" s="4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6"/>
      <c r="B731" s="36"/>
      <c r="C731" s="36"/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6"/>
      <c r="B732" s="36"/>
      <c r="C732" s="36"/>
      <c r="D732" s="4"/>
      <c r="E732" s="4"/>
      <c r="F732" s="4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6"/>
      <c r="B733" s="36"/>
      <c r="C733" s="36"/>
      <c r="D733" s="4"/>
      <c r="E733" s="4"/>
      <c r="F733" s="4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6"/>
      <c r="B734" s="36"/>
      <c r="C734" s="36"/>
      <c r="D734" s="4"/>
      <c r="E734" s="4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6"/>
      <c r="B735" s="36"/>
      <c r="C735" s="36"/>
      <c r="D735" s="4"/>
      <c r="E735" s="4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6"/>
      <c r="B736" s="36"/>
      <c r="C736" s="36"/>
      <c r="D736" s="4"/>
      <c r="E736" s="4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6"/>
      <c r="B737" s="36"/>
      <c r="C737" s="36"/>
      <c r="D737" s="4"/>
      <c r="E737" s="4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6"/>
      <c r="B738" s="36"/>
      <c r="C738" s="36"/>
      <c r="D738" s="4"/>
      <c r="E738" s="4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6"/>
      <c r="B739" s="36"/>
      <c r="C739" s="36"/>
      <c r="D739" s="4"/>
      <c r="E739" s="4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6"/>
      <c r="B740" s="36"/>
      <c r="C740" s="36"/>
      <c r="D740" s="4"/>
      <c r="E740" s="4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6"/>
      <c r="B741" s="36"/>
      <c r="C741" s="36"/>
      <c r="D741" s="4"/>
      <c r="E741" s="4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6"/>
      <c r="B742" s="36"/>
      <c r="C742" s="36"/>
      <c r="D742" s="4"/>
      <c r="E742" s="4"/>
      <c r="F742" s="4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6"/>
      <c r="B743" s="36"/>
      <c r="C743" s="36"/>
      <c r="D743" s="4"/>
      <c r="E743" s="4"/>
      <c r="F743" s="4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6"/>
      <c r="B744" s="36"/>
      <c r="C744" s="36"/>
      <c r="D744" s="4"/>
      <c r="E744" s="4"/>
      <c r="F744" s="4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6"/>
      <c r="B745" s="36"/>
      <c r="C745" s="36"/>
      <c r="D745" s="4"/>
      <c r="E745" s="4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6"/>
      <c r="B746" s="36"/>
      <c r="C746" s="36"/>
      <c r="D746" s="4"/>
      <c r="E746" s="4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6"/>
      <c r="B747" s="36"/>
      <c r="C747" s="36"/>
      <c r="D747" s="4"/>
      <c r="E747" s="4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6"/>
      <c r="B748" s="36"/>
      <c r="C748" s="36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6"/>
      <c r="B749" s="36"/>
      <c r="C749" s="36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6"/>
      <c r="B750" s="36"/>
      <c r="C750" s="36"/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6"/>
      <c r="B751" s="36"/>
      <c r="C751" s="36"/>
      <c r="D751" s="4"/>
      <c r="E751" s="4"/>
      <c r="F751" s="4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6"/>
      <c r="B752" s="36"/>
      <c r="C752" s="36"/>
      <c r="D752" s="4"/>
      <c r="E752" s="4"/>
      <c r="F752" s="4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6"/>
      <c r="B753" s="36"/>
      <c r="C753" s="36"/>
      <c r="D753" s="4"/>
      <c r="E753" s="4"/>
      <c r="F753" s="4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6"/>
      <c r="B754" s="36"/>
      <c r="C754" s="36"/>
      <c r="D754" s="4"/>
      <c r="E754" s="4"/>
      <c r="F754" s="4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6"/>
      <c r="B755" s="36"/>
      <c r="C755" s="36"/>
      <c r="D755" s="4"/>
      <c r="E755" s="4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6"/>
      <c r="B756" s="36"/>
      <c r="C756" s="36"/>
      <c r="D756" s="4"/>
      <c r="E756" s="4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6"/>
      <c r="B757" s="36"/>
      <c r="C757" s="36"/>
      <c r="D757" s="4"/>
      <c r="E757" s="4"/>
      <c r="F757" s="4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6"/>
      <c r="B758" s="36"/>
      <c r="C758" s="36"/>
      <c r="D758" s="4"/>
      <c r="E758" s="4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6"/>
      <c r="B759" s="36"/>
      <c r="C759" s="36"/>
      <c r="D759" s="4"/>
      <c r="E759" s="4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6"/>
      <c r="B760" s="36"/>
      <c r="C760" s="36"/>
      <c r="D760" s="4"/>
      <c r="E760" s="4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6"/>
      <c r="B761" s="36"/>
      <c r="C761" s="36"/>
      <c r="D761" s="4"/>
      <c r="E761" s="4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6"/>
      <c r="B762" s="36"/>
      <c r="C762" s="36"/>
      <c r="D762" s="4"/>
      <c r="E762" s="4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6"/>
      <c r="B763" s="36"/>
      <c r="C763" s="36"/>
      <c r="D763" s="4"/>
      <c r="E763" s="4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6"/>
      <c r="B764" s="36"/>
      <c r="C764" s="36"/>
      <c r="D764" s="4"/>
      <c r="E764" s="4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6"/>
      <c r="B765" s="36"/>
      <c r="C765" s="36"/>
      <c r="D765" s="4"/>
      <c r="E765" s="4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6"/>
      <c r="B766" s="36"/>
      <c r="C766" s="36"/>
      <c r="D766" s="4"/>
      <c r="E766" s="4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6"/>
      <c r="B767" s="36"/>
      <c r="C767" s="36"/>
      <c r="D767" s="4"/>
      <c r="E767" s="4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6"/>
      <c r="B768" s="36"/>
      <c r="C768" s="36"/>
      <c r="D768" s="4"/>
      <c r="E768" s="4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6"/>
      <c r="B769" s="36"/>
      <c r="C769" s="36"/>
      <c r="D769" s="4"/>
      <c r="E769" s="4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6"/>
      <c r="B770" s="36"/>
      <c r="C770" s="36"/>
      <c r="D770" s="4"/>
      <c r="E770" s="4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6"/>
      <c r="B771" s="36"/>
      <c r="C771" s="36"/>
      <c r="D771" s="4"/>
      <c r="E771" s="4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6"/>
      <c r="B772" s="36"/>
      <c r="C772" s="36"/>
      <c r="D772" s="4"/>
      <c r="E772" s="4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6"/>
      <c r="B773" s="36"/>
      <c r="C773" s="36"/>
      <c r="D773" s="4"/>
      <c r="E773" s="4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6"/>
      <c r="B774" s="36"/>
      <c r="C774" s="36"/>
      <c r="D774" s="4"/>
      <c r="E774" s="4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6"/>
      <c r="B775" s="36"/>
      <c r="C775" s="36"/>
      <c r="D775" s="4"/>
      <c r="E775" s="4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6"/>
      <c r="B776" s="36"/>
      <c r="C776" s="36"/>
      <c r="D776" s="4"/>
      <c r="E776" s="4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6"/>
      <c r="B777" s="36"/>
      <c r="C777" s="36"/>
      <c r="D777" s="4"/>
      <c r="E777" s="4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6"/>
      <c r="B778" s="36"/>
      <c r="C778" s="36"/>
      <c r="D778" s="4"/>
      <c r="E778" s="4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6"/>
      <c r="B779" s="36"/>
      <c r="C779" s="36"/>
      <c r="D779" s="4"/>
      <c r="E779" s="4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6"/>
      <c r="B780" s="36"/>
      <c r="C780" s="36"/>
      <c r="D780" s="4"/>
      <c r="E780" s="4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6"/>
      <c r="B781" s="36"/>
      <c r="C781" s="36"/>
      <c r="D781" s="4"/>
      <c r="E781" s="4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6"/>
      <c r="B782" s="36"/>
      <c r="C782" s="36"/>
      <c r="D782" s="4"/>
      <c r="E782" s="4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6"/>
      <c r="B783" s="36"/>
      <c r="C783" s="36"/>
      <c r="D783" s="4"/>
      <c r="E783" s="4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6"/>
      <c r="B784" s="36"/>
      <c r="C784" s="36"/>
      <c r="D784" s="4"/>
      <c r="E784" s="4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6"/>
      <c r="B785" s="36"/>
      <c r="C785" s="36"/>
      <c r="D785" s="4"/>
      <c r="E785" s="4"/>
      <c r="F785" s="4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6"/>
      <c r="B786" s="36"/>
      <c r="C786" s="36"/>
      <c r="D786" s="4"/>
      <c r="E786" s="4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6"/>
      <c r="B787" s="36"/>
      <c r="C787" s="36"/>
      <c r="D787" s="4"/>
      <c r="E787" s="4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6"/>
      <c r="B788" s="36"/>
      <c r="C788" s="36"/>
      <c r="D788" s="4"/>
      <c r="E788" s="4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6"/>
      <c r="B789" s="36"/>
      <c r="C789" s="36"/>
      <c r="D789" s="4"/>
      <c r="E789" s="4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6"/>
      <c r="B790" s="36"/>
      <c r="C790" s="36"/>
      <c r="D790" s="4"/>
      <c r="E790" s="4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6"/>
      <c r="B791" s="36"/>
      <c r="C791" s="36"/>
      <c r="D791" s="4"/>
      <c r="E791" s="4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6"/>
      <c r="B792" s="36"/>
      <c r="C792" s="36"/>
      <c r="D792" s="4"/>
      <c r="E792" s="4"/>
      <c r="F792" s="4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6"/>
      <c r="B793" s="36"/>
      <c r="C793" s="36"/>
      <c r="D793" s="4"/>
      <c r="E793" s="4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6"/>
      <c r="B794" s="36"/>
      <c r="C794" s="36"/>
      <c r="D794" s="4"/>
      <c r="E794" s="4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6"/>
      <c r="B795" s="36"/>
      <c r="C795" s="36"/>
      <c r="D795" s="4"/>
      <c r="E795" s="4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6"/>
      <c r="B796" s="36"/>
      <c r="C796" s="36"/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6"/>
      <c r="B797" s="36"/>
      <c r="C797" s="36"/>
      <c r="D797" s="4"/>
      <c r="E797" s="4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6"/>
      <c r="B798" s="36"/>
      <c r="C798" s="36"/>
      <c r="D798" s="4"/>
      <c r="E798" s="4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6"/>
      <c r="B799" s="36"/>
      <c r="C799" s="36"/>
      <c r="D799" s="4"/>
      <c r="E799" s="4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6"/>
      <c r="B800" s="36"/>
      <c r="C800" s="36"/>
      <c r="D800" s="4"/>
      <c r="E800" s="4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6"/>
      <c r="B801" s="36"/>
      <c r="C801" s="36"/>
      <c r="D801" s="4"/>
      <c r="E801" s="4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6"/>
      <c r="B802" s="36"/>
      <c r="C802" s="36"/>
      <c r="D802" s="4"/>
      <c r="E802" s="4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6"/>
      <c r="B803" s="36"/>
      <c r="C803" s="36"/>
      <c r="D803" s="4"/>
      <c r="E803" s="4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6"/>
      <c r="B804" s="36"/>
      <c r="C804" s="36"/>
      <c r="D804" s="4"/>
      <c r="E804" s="4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6"/>
      <c r="B805" s="36"/>
      <c r="C805" s="36"/>
      <c r="D805" s="4"/>
      <c r="E805" s="4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6"/>
      <c r="B806" s="36"/>
      <c r="C806" s="36"/>
      <c r="D806" s="4"/>
      <c r="E806" s="4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6"/>
      <c r="B807" s="36"/>
      <c r="C807" s="36"/>
      <c r="D807" s="4"/>
      <c r="E807" s="4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6"/>
      <c r="B808" s="36"/>
      <c r="C808" s="36"/>
      <c r="D808" s="4"/>
      <c r="E808" s="4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6"/>
      <c r="B809" s="36"/>
      <c r="C809" s="36"/>
      <c r="D809" s="4"/>
      <c r="E809" s="4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6"/>
      <c r="B810" s="36"/>
      <c r="C810" s="36"/>
      <c r="D810" s="4"/>
      <c r="E810" s="4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6"/>
      <c r="B811" s="36"/>
      <c r="C811" s="36"/>
      <c r="D811" s="4"/>
      <c r="E811" s="4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6"/>
      <c r="B812" s="36"/>
      <c r="C812" s="36"/>
      <c r="D812" s="4"/>
      <c r="E812" s="4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6"/>
      <c r="B813" s="36"/>
      <c r="C813" s="36"/>
      <c r="D813" s="4"/>
      <c r="E813" s="4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6"/>
      <c r="B814" s="36"/>
      <c r="C814" s="36"/>
      <c r="D814" s="4"/>
      <c r="E814" s="4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6"/>
      <c r="B815" s="36"/>
      <c r="C815" s="36"/>
      <c r="D815" s="4"/>
      <c r="E815" s="4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6"/>
      <c r="B816" s="36"/>
      <c r="C816" s="36"/>
      <c r="D816" s="4"/>
      <c r="E816" s="4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6"/>
      <c r="B817" s="36"/>
      <c r="C817" s="36"/>
      <c r="D817" s="4"/>
      <c r="E817" s="4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6"/>
      <c r="B818" s="36"/>
      <c r="C818" s="36"/>
      <c r="D818" s="4"/>
      <c r="E818" s="4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6"/>
      <c r="B819" s="36"/>
      <c r="C819" s="36"/>
      <c r="D819" s="4"/>
      <c r="E819" s="4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6"/>
      <c r="B820" s="36"/>
      <c r="C820" s="36"/>
      <c r="D820" s="4"/>
      <c r="E820" s="4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6"/>
      <c r="B821" s="36"/>
      <c r="C821" s="36"/>
      <c r="D821" s="4"/>
      <c r="E821" s="4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6"/>
      <c r="B822" s="36"/>
      <c r="C822" s="36"/>
      <c r="D822" s="4"/>
      <c r="E822" s="4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6"/>
      <c r="B823" s="36"/>
      <c r="C823" s="36"/>
      <c r="D823" s="4"/>
      <c r="E823" s="4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36"/>
      <c r="B824" s="36"/>
      <c r="C824" s="36"/>
      <c r="D824" s="4"/>
      <c r="E824" s="4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36"/>
      <c r="B825" s="36"/>
      <c r="C825" s="36"/>
      <c r="D825" s="4"/>
      <c r="E825" s="4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36"/>
      <c r="B826" s="36"/>
      <c r="C826" s="36"/>
      <c r="D826" s="4"/>
      <c r="E826" s="4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36"/>
      <c r="B827" s="36"/>
      <c r="C827" s="36"/>
      <c r="D827" s="4"/>
      <c r="E827" s="4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36"/>
      <c r="B828" s="36"/>
      <c r="C828" s="36"/>
      <c r="D828" s="4"/>
      <c r="E828" s="4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36"/>
      <c r="B829" s="36"/>
      <c r="C829" s="36"/>
      <c r="D829" s="4"/>
      <c r="E829" s="4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36"/>
      <c r="B830" s="36"/>
      <c r="C830" s="36"/>
      <c r="D830" s="4"/>
      <c r="E830" s="4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36"/>
      <c r="B831" s="36"/>
      <c r="C831" s="36"/>
      <c r="D831" s="4"/>
      <c r="E831" s="4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36"/>
      <c r="B832" s="36"/>
      <c r="C832" s="36"/>
      <c r="D832" s="4"/>
      <c r="E832" s="4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36"/>
      <c r="B833" s="36"/>
      <c r="C833" s="36"/>
      <c r="D833" s="4"/>
      <c r="E833" s="4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36"/>
      <c r="B834" s="36"/>
      <c r="C834" s="36"/>
      <c r="D834" s="4"/>
      <c r="E834" s="4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36"/>
      <c r="B835" s="36"/>
      <c r="C835" s="36"/>
      <c r="D835" s="4"/>
      <c r="E835" s="4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36"/>
      <c r="B836" s="36"/>
      <c r="C836" s="36"/>
      <c r="D836" s="4"/>
      <c r="E836" s="4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36"/>
      <c r="B837" s="36"/>
      <c r="C837" s="36"/>
      <c r="D837" s="4"/>
      <c r="E837" s="4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36"/>
      <c r="B838" s="36"/>
      <c r="C838" s="36"/>
      <c r="D838" s="4"/>
      <c r="E838" s="4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36"/>
      <c r="B839" s="36"/>
      <c r="C839" s="36"/>
      <c r="D839" s="4"/>
      <c r="E839" s="4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36"/>
      <c r="B840" s="36"/>
      <c r="C840" s="36"/>
      <c r="D840" s="4"/>
      <c r="E840" s="4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36"/>
      <c r="B841" s="36"/>
      <c r="C841" s="36"/>
      <c r="D841" s="4"/>
      <c r="E841" s="4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36"/>
      <c r="B842" s="36"/>
      <c r="C842" s="36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36"/>
      <c r="B843" s="36"/>
      <c r="C843" s="36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36"/>
      <c r="B844" s="36"/>
      <c r="C844" s="36"/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36"/>
      <c r="B845" s="36"/>
      <c r="C845" s="36"/>
      <c r="D845" s="4"/>
      <c r="E845" s="4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36"/>
      <c r="B846" s="36"/>
      <c r="C846" s="36"/>
      <c r="D846" s="4"/>
      <c r="E846" s="4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36"/>
      <c r="B847" s="36"/>
      <c r="C847" s="36"/>
      <c r="D847" s="4"/>
      <c r="E847" s="4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36"/>
      <c r="B848" s="36"/>
      <c r="C848" s="36"/>
      <c r="D848" s="4"/>
      <c r="E848" s="4"/>
      <c r="F848" s="4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36"/>
      <c r="B849" s="36"/>
      <c r="C849" s="36"/>
      <c r="D849" s="4"/>
      <c r="E849" s="4"/>
      <c r="F849" s="4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36"/>
      <c r="B850" s="36"/>
      <c r="C850" s="36"/>
      <c r="D850" s="4"/>
      <c r="E850" s="4"/>
      <c r="F850" s="4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36"/>
      <c r="B851" s="36"/>
      <c r="C851" s="36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36"/>
      <c r="B852" s="36"/>
      <c r="C852" s="36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36"/>
      <c r="B853" s="36"/>
      <c r="C853" s="36"/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36"/>
      <c r="B854" s="36"/>
      <c r="C854" s="36"/>
      <c r="D854" s="4"/>
      <c r="E854" s="4"/>
      <c r="F854" s="4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36"/>
      <c r="B855" s="36"/>
      <c r="C855" s="36"/>
      <c r="D855" s="4"/>
      <c r="E855" s="4"/>
      <c r="F855" s="4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36"/>
      <c r="B856" s="36"/>
      <c r="C856" s="36"/>
      <c r="D856" s="4"/>
      <c r="E856" s="4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36"/>
      <c r="B857" s="36"/>
      <c r="C857" s="36"/>
      <c r="D857" s="4"/>
      <c r="E857" s="4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36"/>
      <c r="B858" s="36"/>
      <c r="C858" s="36"/>
      <c r="D858" s="4"/>
      <c r="E858" s="4"/>
      <c r="F858" s="4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36"/>
      <c r="B859" s="36"/>
      <c r="C859" s="36"/>
      <c r="D859" s="4"/>
      <c r="E859" s="4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36"/>
      <c r="B860" s="36"/>
      <c r="C860" s="36"/>
      <c r="D860" s="4"/>
      <c r="E860" s="4"/>
      <c r="F860" s="4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36"/>
      <c r="B861" s="36"/>
      <c r="C861" s="36"/>
      <c r="D861" s="4"/>
      <c r="E861" s="4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36"/>
      <c r="B862" s="36"/>
      <c r="C862" s="36"/>
      <c r="D862" s="4"/>
      <c r="E862" s="4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36"/>
      <c r="B863" s="36"/>
      <c r="C863" s="36"/>
      <c r="D863" s="4"/>
      <c r="E863" s="4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36"/>
      <c r="B864" s="36"/>
      <c r="C864" s="36"/>
      <c r="D864" s="4"/>
      <c r="E864" s="4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36"/>
      <c r="B865" s="36"/>
      <c r="C865" s="36"/>
      <c r="D865" s="4"/>
      <c r="E865" s="4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36"/>
      <c r="B866" s="36"/>
      <c r="C866" s="36"/>
      <c r="D866" s="4"/>
      <c r="E866" s="4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36"/>
      <c r="B867" s="36"/>
      <c r="C867" s="36"/>
      <c r="D867" s="4"/>
      <c r="E867" s="4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36"/>
      <c r="B868" s="36"/>
      <c r="C868" s="36"/>
      <c r="D868" s="4"/>
      <c r="E868" s="4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36"/>
      <c r="B869" s="36"/>
      <c r="C869" s="36"/>
      <c r="D869" s="4"/>
      <c r="E869" s="4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36"/>
      <c r="B870" s="36"/>
      <c r="C870" s="36"/>
      <c r="D870" s="4"/>
      <c r="E870" s="4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36"/>
      <c r="B871" s="36"/>
      <c r="C871" s="36"/>
      <c r="D871" s="4"/>
      <c r="E871" s="4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36"/>
      <c r="B872" s="36"/>
      <c r="C872" s="36"/>
      <c r="D872" s="4"/>
      <c r="E872" s="4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36"/>
      <c r="B873" s="36"/>
      <c r="C873" s="36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36"/>
      <c r="B874" s="36"/>
      <c r="C874" s="36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36"/>
      <c r="B875" s="36"/>
      <c r="C875" s="36"/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36"/>
      <c r="B876" s="36"/>
      <c r="C876" s="36"/>
      <c r="D876" s="4"/>
      <c r="E876" s="4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36"/>
      <c r="B877" s="36"/>
      <c r="C877" s="36"/>
      <c r="D877" s="4"/>
      <c r="E877" s="4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36"/>
      <c r="B878" s="36"/>
      <c r="C878" s="36"/>
      <c r="D878" s="4"/>
      <c r="E878" s="4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36"/>
      <c r="B879" s="36"/>
      <c r="C879" s="36"/>
      <c r="D879" s="4"/>
      <c r="E879" s="4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36"/>
      <c r="B880" s="36"/>
      <c r="C880" s="36"/>
      <c r="D880" s="4"/>
      <c r="E880" s="4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36"/>
      <c r="B881" s="36"/>
      <c r="C881" s="36"/>
      <c r="D881" s="4"/>
      <c r="E881" s="4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36"/>
      <c r="B882" s="36"/>
      <c r="C882" s="36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36"/>
      <c r="B883" s="36"/>
      <c r="C883" s="36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36"/>
      <c r="B884" s="36"/>
      <c r="C884" s="36"/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36"/>
      <c r="B885" s="36"/>
      <c r="C885" s="36"/>
      <c r="D885" s="4"/>
      <c r="E885" s="4"/>
      <c r="F885" s="4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36"/>
      <c r="B886" s="36"/>
      <c r="C886" s="36"/>
      <c r="D886" s="4"/>
      <c r="E886" s="4"/>
      <c r="F886" s="4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36"/>
      <c r="B887" s="36"/>
      <c r="C887" s="36"/>
      <c r="D887" s="4"/>
      <c r="E887" s="4"/>
      <c r="F887" s="4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36"/>
      <c r="B888" s="36"/>
      <c r="C888" s="36"/>
      <c r="D888" s="4"/>
      <c r="E888" s="4"/>
      <c r="F888" s="4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36"/>
      <c r="B889" s="36"/>
      <c r="C889" s="36"/>
      <c r="D889" s="4"/>
      <c r="E889" s="4"/>
      <c r="F889" s="4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36"/>
      <c r="B890" s="36"/>
      <c r="C890" s="36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36"/>
      <c r="B891" s="36"/>
      <c r="C891" s="36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36"/>
      <c r="B892" s="36"/>
      <c r="C892" s="36"/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36"/>
      <c r="B893" s="36"/>
      <c r="C893" s="36"/>
      <c r="D893" s="4"/>
      <c r="E893" s="4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36"/>
      <c r="B894" s="36"/>
      <c r="C894" s="36"/>
      <c r="D894" s="4"/>
      <c r="E894" s="4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36"/>
      <c r="B895" s="36"/>
      <c r="C895" s="36"/>
      <c r="D895" s="4"/>
      <c r="E895" s="4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36"/>
      <c r="B896" s="36"/>
      <c r="C896" s="36"/>
      <c r="D896" s="4"/>
      <c r="E896" s="4"/>
      <c r="F896" s="4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36"/>
      <c r="B897" s="36"/>
      <c r="C897" s="36"/>
      <c r="D897" s="4"/>
      <c r="E897" s="4"/>
      <c r="F897" s="4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36"/>
      <c r="B898" s="36"/>
      <c r="C898" s="36"/>
      <c r="D898" s="4"/>
      <c r="E898" s="4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36"/>
      <c r="B899" s="36"/>
      <c r="C899" s="36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36"/>
      <c r="B900" s="36"/>
      <c r="C900" s="36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36"/>
      <c r="B901" s="36"/>
      <c r="C901" s="36"/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36"/>
      <c r="B902" s="36"/>
      <c r="C902" s="36"/>
      <c r="D902" s="4"/>
      <c r="E902" s="4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36"/>
      <c r="B903" s="36"/>
      <c r="C903" s="36"/>
      <c r="D903" s="4"/>
      <c r="E903" s="4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36"/>
      <c r="B904" s="36"/>
      <c r="C904" s="36"/>
      <c r="D904" s="4"/>
      <c r="E904" s="4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36"/>
      <c r="B905" s="36"/>
      <c r="C905" s="36"/>
      <c r="D905" s="4"/>
      <c r="E905" s="4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36"/>
      <c r="B906" s="36"/>
      <c r="C906" s="36"/>
      <c r="D906" s="4"/>
      <c r="E906" s="4"/>
      <c r="F906" s="4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36"/>
      <c r="B907" s="36"/>
      <c r="C907" s="36"/>
      <c r="D907" s="4"/>
      <c r="E907" s="4"/>
      <c r="F907" s="4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36"/>
      <c r="B908" s="36"/>
      <c r="C908" s="36"/>
      <c r="D908" s="4"/>
      <c r="E908" s="4"/>
      <c r="F908" s="4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36"/>
      <c r="B909" s="36"/>
      <c r="C909" s="36"/>
      <c r="D909" s="4"/>
      <c r="E909" s="4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36"/>
      <c r="B910" s="36"/>
      <c r="C910" s="36"/>
      <c r="D910" s="4"/>
      <c r="E910" s="4"/>
      <c r="F910" s="4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36"/>
      <c r="B911" s="36"/>
      <c r="C911" s="36"/>
      <c r="D911" s="4"/>
      <c r="E911" s="4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36"/>
      <c r="B912" s="36"/>
      <c r="C912" s="36"/>
      <c r="D912" s="4"/>
      <c r="E912" s="4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36"/>
      <c r="B913" s="36"/>
      <c r="C913" s="36"/>
      <c r="D913" s="4"/>
      <c r="E913" s="4"/>
      <c r="F913" s="4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36"/>
      <c r="B914" s="36"/>
      <c r="C914" s="36"/>
      <c r="D914" s="4"/>
      <c r="E914" s="4"/>
      <c r="F914" s="4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36"/>
      <c r="B915" s="36"/>
      <c r="C915" s="36"/>
      <c r="D915" s="4"/>
      <c r="E915" s="4"/>
      <c r="F915" s="4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36"/>
      <c r="B916" s="36"/>
      <c r="C916" s="36"/>
      <c r="D916" s="4"/>
      <c r="E916" s="4"/>
      <c r="F916" s="4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36"/>
      <c r="B917" s="36"/>
      <c r="C917" s="36"/>
      <c r="D917" s="4"/>
      <c r="E917" s="4"/>
      <c r="F917" s="4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36"/>
      <c r="B918" s="36"/>
      <c r="C918" s="36"/>
      <c r="D918" s="4"/>
      <c r="E918" s="4"/>
      <c r="F918" s="4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36"/>
      <c r="B919" s="36"/>
      <c r="C919" s="36"/>
      <c r="D919" s="4"/>
      <c r="E919" s="4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36"/>
      <c r="B920" s="36"/>
      <c r="C920" s="36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36"/>
      <c r="B921" s="36"/>
      <c r="C921" s="36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36"/>
      <c r="B922" s="36"/>
      <c r="C922" s="36"/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36"/>
      <c r="B923" s="36"/>
      <c r="C923" s="36"/>
      <c r="D923" s="4"/>
      <c r="E923" s="4"/>
      <c r="F923" s="4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36"/>
      <c r="B924" s="36"/>
      <c r="C924" s="36"/>
      <c r="D924" s="4"/>
      <c r="E924" s="4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36"/>
      <c r="B925" s="36"/>
      <c r="C925" s="36"/>
      <c r="D925" s="4"/>
      <c r="E925" s="4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36"/>
      <c r="B926" s="36"/>
      <c r="C926" s="36"/>
      <c r="D926" s="4"/>
      <c r="E926" s="4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36"/>
      <c r="B927" s="36"/>
      <c r="C927" s="36"/>
      <c r="D927" s="4"/>
      <c r="E927" s="4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36"/>
      <c r="B928" s="36"/>
      <c r="C928" s="36"/>
      <c r="D928" s="4"/>
      <c r="E928" s="4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36"/>
      <c r="B929" s="36"/>
      <c r="C929" s="36"/>
      <c r="D929" s="4"/>
      <c r="E929" s="4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36"/>
      <c r="B930" s="36"/>
      <c r="C930" s="36"/>
      <c r="D930" s="4"/>
      <c r="E930" s="4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36"/>
      <c r="B931" s="36"/>
      <c r="C931" s="36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36"/>
      <c r="B932" s="36"/>
      <c r="C932" s="36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36"/>
      <c r="B933" s="36"/>
      <c r="C933" s="36"/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36"/>
      <c r="B934" s="36"/>
      <c r="C934" s="36"/>
      <c r="D934" s="4"/>
      <c r="E934" s="4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36"/>
      <c r="B935" s="36"/>
      <c r="C935" s="36"/>
      <c r="D935" s="4"/>
      <c r="E935" s="4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36"/>
      <c r="B936" s="36"/>
      <c r="C936" s="36"/>
      <c r="D936" s="4"/>
      <c r="E936" s="4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36"/>
      <c r="B937" s="36"/>
      <c r="C937" s="36"/>
      <c r="D937" s="4"/>
      <c r="E937" s="4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36"/>
      <c r="B938" s="36"/>
      <c r="C938" s="36"/>
      <c r="D938" s="4"/>
      <c r="E938" s="4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36"/>
      <c r="B939" s="36"/>
      <c r="C939" s="36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36"/>
      <c r="B940" s="36"/>
      <c r="C940" s="36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36"/>
      <c r="B941" s="36"/>
      <c r="C941" s="36"/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36"/>
      <c r="B942" s="36"/>
      <c r="C942" s="36"/>
      <c r="D942" s="4"/>
      <c r="E942" s="4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36"/>
      <c r="B943" s="36"/>
      <c r="C943" s="36"/>
      <c r="D943" s="4"/>
      <c r="E943" s="4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36"/>
      <c r="B944" s="36"/>
      <c r="C944" s="36"/>
      <c r="D944" s="4"/>
      <c r="E944" s="4"/>
      <c r="F944" s="4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36"/>
      <c r="B945" s="36"/>
      <c r="C945" s="36"/>
      <c r="D945" s="4"/>
      <c r="E945" s="4"/>
      <c r="F945" s="4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36"/>
      <c r="B946" s="36"/>
      <c r="C946" s="36"/>
      <c r="D946" s="4"/>
      <c r="E946" s="4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36"/>
      <c r="B947" s="36"/>
      <c r="C947" s="36"/>
      <c r="D947" s="4"/>
      <c r="E947" s="4"/>
      <c r="F947" s="4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36"/>
      <c r="B948" s="36"/>
      <c r="C948" s="36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36"/>
      <c r="B949" s="36"/>
      <c r="C949" s="36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36"/>
      <c r="B950" s="36"/>
      <c r="C950" s="36"/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36"/>
      <c r="B951" s="36"/>
      <c r="C951" s="36"/>
      <c r="D951" s="4"/>
      <c r="E951" s="4"/>
      <c r="F951" s="4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36"/>
      <c r="B952" s="36"/>
      <c r="C952" s="36"/>
      <c r="D952" s="4"/>
      <c r="E952" s="4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36"/>
      <c r="B953" s="36"/>
      <c r="C953" s="36"/>
      <c r="D953" s="4"/>
      <c r="E953" s="4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36"/>
      <c r="B954" s="36"/>
      <c r="C954" s="36"/>
      <c r="D954" s="4"/>
      <c r="E954" s="4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36"/>
      <c r="B955" s="36"/>
      <c r="C955" s="36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36"/>
      <c r="B956" s="36"/>
      <c r="C956" s="36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36"/>
      <c r="B957" s="36"/>
      <c r="C957" s="36"/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36"/>
      <c r="B958" s="36"/>
      <c r="C958" s="36"/>
      <c r="D958" s="4"/>
      <c r="E958" s="4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36"/>
      <c r="B959" s="36"/>
      <c r="C959" s="36"/>
      <c r="D959" s="4"/>
      <c r="E959" s="4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36"/>
      <c r="B960" s="36"/>
      <c r="C960" s="36"/>
      <c r="D960" s="4"/>
      <c r="E960" s="4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36"/>
      <c r="B961" s="36"/>
      <c r="C961" s="36"/>
      <c r="D961" s="4"/>
      <c r="E961" s="4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36"/>
      <c r="B962" s="36"/>
      <c r="C962" s="36"/>
      <c r="D962" s="4"/>
      <c r="E962" s="4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36"/>
      <c r="B963" s="36"/>
      <c r="C963" s="36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36"/>
      <c r="B964" s="36"/>
      <c r="C964" s="36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36"/>
      <c r="B965" s="36"/>
      <c r="C965" s="36"/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36"/>
      <c r="B966" s="36"/>
      <c r="C966" s="36"/>
      <c r="D966" s="4"/>
      <c r="E966" s="4"/>
      <c r="F966" s="4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36"/>
      <c r="B967" s="36"/>
      <c r="C967" s="36"/>
      <c r="D967" s="4"/>
      <c r="E967" s="4"/>
      <c r="F967" s="4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36"/>
      <c r="B968" s="36"/>
      <c r="C968" s="36"/>
      <c r="D968" s="4"/>
      <c r="E968" s="4"/>
      <c r="F968" s="4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36"/>
      <c r="B969" s="36"/>
      <c r="C969" s="36"/>
      <c r="D969" s="4"/>
      <c r="E969" s="4"/>
      <c r="F969" s="4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36"/>
      <c r="B970" s="36"/>
      <c r="C970" s="36"/>
      <c r="D970" s="4"/>
      <c r="E970" s="4"/>
      <c r="F970" s="4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36"/>
      <c r="B971" s="36"/>
      <c r="C971" s="36"/>
      <c r="D971" s="4"/>
      <c r="E971" s="4"/>
      <c r="F971" s="4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36"/>
      <c r="B972" s="36"/>
      <c r="C972" s="36"/>
      <c r="D972" s="4"/>
      <c r="E972" s="4"/>
      <c r="F972" s="4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36"/>
      <c r="B973" s="36"/>
      <c r="C973" s="36"/>
      <c r="D973" s="4"/>
      <c r="E973" s="4"/>
      <c r="F973" s="4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36"/>
      <c r="B974" s="36"/>
      <c r="C974" s="36"/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36"/>
      <c r="B975" s="36"/>
      <c r="C975" s="36"/>
      <c r="D975" s="4"/>
      <c r="E975" s="4"/>
      <c r="F975" s="4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36"/>
      <c r="B976" s="36"/>
      <c r="C976" s="36"/>
      <c r="D976" s="4"/>
      <c r="E976" s="4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36"/>
      <c r="B977" s="36"/>
      <c r="C977" s="36"/>
      <c r="D977" s="4"/>
      <c r="E977" s="4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36"/>
      <c r="B978" s="36"/>
      <c r="C978" s="36"/>
      <c r="D978" s="4"/>
      <c r="E978" s="4"/>
      <c r="F978" s="4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36"/>
      <c r="B979" s="36"/>
      <c r="C979" s="36"/>
      <c r="D979" s="4"/>
      <c r="E979" s="4"/>
      <c r="F979" s="4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36"/>
      <c r="B980" s="36"/>
      <c r="C980" s="36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36"/>
      <c r="B981" s="36"/>
      <c r="C981" s="36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36"/>
      <c r="B982" s="36"/>
      <c r="C982" s="36"/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36"/>
      <c r="B983" s="36"/>
      <c r="C983" s="36"/>
      <c r="D983" s="4"/>
      <c r="E983" s="4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36"/>
      <c r="B984" s="36"/>
      <c r="C984" s="36"/>
      <c r="D984" s="4"/>
      <c r="E984" s="4"/>
      <c r="F984" s="4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36"/>
      <c r="B985" s="36"/>
      <c r="C985" s="36"/>
      <c r="D985" s="4"/>
      <c r="E985" s="4"/>
      <c r="F985" s="4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36"/>
      <c r="B986" s="36"/>
      <c r="C986" s="36"/>
      <c r="D986" s="4"/>
      <c r="E986" s="4"/>
      <c r="F986" s="4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36"/>
      <c r="B987" s="36"/>
      <c r="C987" s="36"/>
      <c r="D987" s="4"/>
      <c r="E987" s="4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36"/>
      <c r="B988" s="36"/>
      <c r="C988" s="36"/>
      <c r="D988" s="4"/>
      <c r="E988" s="4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36"/>
      <c r="B989" s="36"/>
      <c r="C989" s="36"/>
      <c r="D989" s="4"/>
      <c r="E989" s="4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36"/>
      <c r="B990" s="36"/>
      <c r="C990" s="36"/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36"/>
      <c r="B991" s="36"/>
      <c r="C991" s="36"/>
      <c r="D991" s="4"/>
      <c r="E991" s="4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36"/>
      <c r="B992" s="36"/>
      <c r="C992" s="36"/>
      <c r="D992" s="4"/>
      <c r="E992" s="4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36"/>
      <c r="B993" s="36"/>
      <c r="C993" s="36"/>
      <c r="D993" s="4"/>
      <c r="E993" s="4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36"/>
      <c r="B994" s="36"/>
      <c r="C994" s="36"/>
      <c r="D994" s="4"/>
      <c r="E994" s="4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36"/>
      <c r="B995" s="36"/>
      <c r="C995" s="36"/>
      <c r="D995" s="4"/>
      <c r="E995" s="4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36"/>
      <c r="B996" s="36"/>
      <c r="C996" s="36"/>
      <c r="D996" s="4"/>
      <c r="E996" s="4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36"/>
      <c r="B997" s="36"/>
      <c r="C997" s="36"/>
      <c r="D997" s="4"/>
      <c r="E997" s="4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36"/>
      <c r="B998" s="36"/>
      <c r="C998" s="36"/>
      <c r="D998" s="4"/>
      <c r="E998" s="4"/>
      <c r="F998" s="4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36"/>
      <c r="B999" s="36"/>
      <c r="C999" s="36"/>
      <c r="D999" s="4"/>
      <c r="E999" s="4"/>
      <c r="F999" s="4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E5:G5"/>
  </mergeCells>
  <printOptions/>
  <pageMargins bottom="0.5" footer="0.0" header="0.0" left="0.0" right="0.0" top="0.5"/>
  <pageSetup paperSize="5" scale="7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0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229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4.50936998031E9</v>
      </c>
      <c r="E9" s="6">
        <v>2.055071931E7</v>
      </c>
      <c r="F9" s="6">
        <f t="shared" ref="F9:F27" si="1">D9-E9</f>
        <v>4488819261</v>
      </c>
      <c r="G9" s="6">
        <v>3.93695161E9</v>
      </c>
      <c r="H9" s="5">
        <v>7391.0</v>
      </c>
      <c r="I9" s="6">
        <v>1.499738469E7</v>
      </c>
      <c r="J9" s="4">
        <v>2.309545766E7</v>
      </c>
      <c r="K9" s="4">
        <f t="shared" ref="K9:K27" si="2">I9-J9</f>
        <v>-8098072.97</v>
      </c>
      <c r="L9" s="4">
        <f>I9+Sep!L9</f>
        <v>155610389.8</v>
      </c>
      <c r="M9" s="4">
        <f>J9+Sep!M9</f>
        <v>369300903.5</v>
      </c>
      <c r="N9" s="4">
        <f t="shared" ref="N9:N27" si="3">L9-M9</f>
        <v>-213690513.7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230</v>
      </c>
      <c r="D10" s="6">
        <v>7.3444663703E8</v>
      </c>
      <c r="E10" s="6">
        <v>4.818048317E7</v>
      </c>
      <c r="F10" s="6">
        <f t="shared" si="1"/>
        <v>686266153.9</v>
      </c>
      <c r="G10" s="6">
        <v>6.1574438811E8</v>
      </c>
      <c r="H10" s="5">
        <v>4246.0</v>
      </c>
      <c r="I10" s="6">
        <v>5399666.4</v>
      </c>
      <c r="J10" s="4">
        <v>3162346.62</v>
      </c>
      <c r="K10" s="4">
        <f t="shared" si="2"/>
        <v>2237319.78</v>
      </c>
      <c r="L10" s="4">
        <f>I10+Sep!L10</f>
        <v>211933139.7</v>
      </c>
      <c r="M10" s="4">
        <f>J10+Sep!M10</f>
        <v>143839319.7</v>
      </c>
      <c r="N10" s="4">
        <f t="shared" si="3"/>
        <v>68093820.02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231</v>
      </c>
      <c r="D11" s="6">
        <v>1.12415226324E9</v>
      </c>
      <c r="E11" s="6">
        <v>1.395560466E7</v>
      </c>
      <c r="F11" s="6">
        <f t="shared" si="1"/>
        <v>1110196659</v>
      </c>
      <c r="G11" s="6">
        <v>1.05362416695E9</v>
      </c>
      <c r="H11" s="5">
        <v>2897.0</v>
      </c>
      <c r="I11" s="6">
        <v>1.5416276330999985E8</v>
      </c>
      <c r="J11" s="4">
        <v>1.3071760710000003E7</v>
      </c>
      <c r="K11" s="4">
        <f t="shared" si="2"/>
        <v>141091002.6</v>
      </c>
      <c r="L11" s="4">
        <f>I11+Sep!L11</f>
        <v>256590298.1</v>
      </c>
      <c r="M11" s="4">
        <f>J11+Sep!M11</f>
        <v>143169018.8</v>
      </c>
      <c r="N11" s="4">
        <f t="shared" si="3"/>
        <v>113421279.3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6">
        <v>3.3307214694E8</v>
      </c>
      <c r="E12" s="6">
        <v>6443029.57</v>
      </c>
      <c r="F12" s="6">
        <f t="shared" si="1"/>
        <v>326629117.4</v>
      </c>
      <c r="G12" s="6">
        <v>2.1093602874E8</v>
      </c>
      <c r="H12" s="5">
        <v>1714.0</v>
      </c>
      <c r="I12" s="6">
        <v>665850.35</v>
      </c>
      <c r="J12" s="4">
        <v>121153.33</v>
      </c>
      <c r="K12" s="4">
        <f t="shared" si="2"/>
        <v>544697.02</v>
      </c>
      <c r="L12" s="4">
        <f>I12+Sep!L12</f>
        <v>25817197.55</v>
      </c>
      <c r="M12" s="4">
        <f>J12+Sep!M12</f>
        <v>11083617.65</v>
      </c>
      <c r="N12" s="4">
        <f t="shared" si="3"/>
        <v>14733579.9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232</v>
      </c>
      <c r="D13" s="6">
        <v>5.2167717189E8</v>
      </c>
      <c r="E13" s="6">
        <v>3.207798996E7</v>
      </c>
      <c r="F13" s="6">
        <f t="shared" si="1"/>
        <v>489599181.9</v>
      </c>
      <c r="G13" s="6">
        <v>4.2077408816E8</v>
      </c>
      <c r="H13" s="5">
        <v>1459.0</v>
      </c>
      <c r="I13" s="6">
        <v>588093.47</v>
      </c>
      <c r="J13" s="4">
        <v>227059.07</v>
      </c>
      <c r="K13" s="4">
        <f t="shared" si="2"/>
        <v>361034.4</v>
      </c>
      <c r="L13" s="4">
        <f>I13+Sep!L13</f>
        <v>29493854.44</v>
      </c>
      <c r="M13" s="4">
        <f>J13+Sep!M13</f>
        <v>15948481.99</v>
      </c>
      <c r="N13" s="4">
        <f t="shared" si="3"/>
        <v>13545372.45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6">
        <v>4.14284147023E9</v>
      </c>
      <c r="E14" s="6">
        <v>1.3363048229E8</v>
      </c>
      <c r="F14" s="6">
        <f t="shared" si="1"/>
        <v>4009210988</v>
      </c>
      <c r="G14" s="6">
        <v>3.57941693686E9</v>
      </c>
      <c r="H14" s="5">
        <v>16385.0</v>
      </c>
      <c r="I14" s="6">
        <v>2.311149375E7</v>
      </c>
      <c r="J14" s="4">
        <v>1.770994381E7</v>
      </c>
      <c r="K14" s="4">
        <f t="shared" si="2"/>
        <v>5401549.94</v>
      </c>
      <c r="L14" s="4">
        <f>I14+Sep!L14</f>
        <v>627086331.3</v>
      </c>
      <c r="M14" s="4">
        <f>J14+Sep!M14</f>
        <v>361277671.4</v>
      </c>
      <c r="N14" s="4">
        <f t="shared" si="3"/>
        <v>265808660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233</v>
      </c>
      <c r="D15" s="6">
        <v>9.251062041E7</v>
      </c>
      <c r="E15" s="6">
        <v>645304.01</v>
      </c>
      <c r="F15" s="6">
        <f t="shared" si="1"/>
        <v>91865316.4</v>
      </c>
      <c r="G15" s="6">
        <v>8.90443334E7</v>
      </c>
      <c r="H15" s="5">
        <v>561.0</v>
      </c>
      <c r="I15" s="6">
        <v>1540844.0</v>
      </c>
      <c r="J15" s="4">
        <v>224499.94</v>
      </c>
      <c r="K15" s="4">
        <f t="shared" si="2"/>
        <v>1316344.06</v>
      </c>
      <c r="L15" s="4">
        <f>I15+Sep!L15</f>
        <v>20899010.12</v>
      </c>
      <c r="M15" s="4">
        <f>J15+Sep!M15</f>
        <v>7486041.241</v>
      </c>
      <c r="N15" s="4">
        <f t="shared" si="3"/>
        <v>13412968.88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6">
        <v>1.1834283958E8</v>
      </c>
      <c r="E16" s="6">
        <v>1893391.18</v>
      </c>
      <c r="F16" s="6">
        <f t="shared" si="1"/>
        <v>116449448.4</v>
      </c>
      <c r="G16" s="6">
        <v>1.07680587E8</v>
      </c>
      <c r="H16" s="5">
        <v>51.0</v>
      </c>
      <c r="I16" s="50">
        <v>0.0</v>
      </c>
      <c r="J16" s="51">
        <v>0.0</v>
      </c>
      <c r="K16" s="4">
        <f t="shared" si="2"/>
        <v>0</v>
      </c>
      <c r="L16" s="4">
        <f>I16+Sep!L16</f>
        <v>1800100</v>
      </c>
      <c r="M16" s="4">
        <f>J16+Sep!M16</f>
        <v>9705511.39</v>
      </c>
      <c r="N16" s="4">
        <f t="shared" si="3"/>
        <v>-7905411.39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6">
        <v>1.32734223322E9</v>
      </c>
      <c r="E17" s="6">
        <v>7.506668414E7</v>
      </c>
      <c r="F17" s="6">
        <f t="shared" si="1"/>
        <v>1252275549</v>
      </c>
      <c r="G17" s="6">
        <v>1.27086810669E9</v>
      </c>
      <c r="H17" s="5">
        <v>12406.0</v>
      </c>
      <c r="I17" s="6">
        <v>0.0</v>
      </c>
      <c r="J17" s="4">
        <v>3513869.64</v>
      </c>
      <c r="K17" s="4">
        <f t="shared" si="2"/>
        <v>-3513869.64</v>
      </c>
      <c r="L17" s="4">
        <f>I17+Sep!L17</f>
        <v>1345993612</v>
      </c>
      <c r="M17" s="4">
        <f>J17+Sep!M17</f>
        <v>14715132808</v>
      </c>
      <c r="N17" s="4">
        <f t="shared" si="3"/>
        <v>-13369139197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6">
        <v>3.79761817437E9</v>
      </c>
      <c r="E18" s="6">
        <v>1.680090427E8</v>
      </c>
      <c r="F18" s="6">
        <f t="shared" si="1"/>
        <v>3629609132</v>
      </c>
      <c r="G18" s="6">
        <v>3.1718566288E9</v>
      </c>
      <c r="H18" s="5">
        <v>12364.0</v>
      </c>
      <c r="I18" s="6">
        <v>1841893.42</v>
      </c>
      <c r="J18" s="4">
        <v>4757369.33</v>
      </c>
      <c r="K18" s="4">
        <f t="shared" si="2"/>
        <v>-2915475.91</v>
      </c>
      <c r="L18" s="4">
        <f>I18+Sep!L18</f>
        <v>692331972.7</v>
      </c>
      <c r="M18" s="4">
        <f>J18+Sep!M18</f>
        <v>27831411413</v>
      </c>
      <c r="N18" s="4">
        <f t="shared" si="3"/>
        <v>-27139079441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6">
        <v>1.99575819356255E9</v>
      </c>
      <c r="E19" s="6">
        <v>1.00092231040001E7</v>
      </c>
      <c r="F19" s="6">
        <f t="shared" si="1"/>
        <v>1985748970</v>
      </c>
      <c r="G19" s="6">
        <v>1.67013082271196E9</v>
      </c>
      <c r="H19" s="5">
        <v>5705.0</v>
      </c>
      <c r="I19" s="6">
        <v>2294366.26</v>
      </c>
      <c r="J19" s="4">
        <v>8296208.26</v>
      </c>
      <c r="K19" s="4">
        <f t="shared" si="2"/>
        <v>-6001842</v>
      </c>
      <c r="L19" s="4">
        <f>I19+Sep!L19</f>
        <v>115356149.4</v>
      </c>
      <c r="M19" s="4">
        <f>J19+Sep!M19</f>
        <v>293288587.5</v>
      </c>
      <c r="N19" s="4">
        <f t="shared" si="3"/>
        <v>-177932438.1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6">
        <v>9.3120111851517E9</v>
      </c>
      <c r="E20" s="6">
        <v>2.01776407694999E7</v>
      </c>
      <c r="F20" s="6">
        <f t="shared" si="1"/>
        <v>9291833544</v>
      </c>
      <c r="G20" s="6">
        <v>8.06797732619E9</v>
      </c>
      <c r="H20" s="5">
        <v>36674.0</v>
      </c>
      <c r="I20" s="6">
        <v>2.315597785E7</v>
      </c>
      <c r="J20" s="4">
        <v>9288968.82</v>
      </c>
      <c r="K20" s="4">
        <f t="shared" si="2"/>
        <v>13867009.03</v>
      </c>
      <c r="L20" s="4">
        <f>I20+Sep!L20</f>
        <v>259095483</v>
      </c>
      <c r="M20" s="4">
        <f>J20+Sep!M20</f>
        <v>480199553.2</v>
      </c>
      <c r="N20" s="4">
        <f t="shared" si="3"/>
        <v>-221104070.3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6">
        <v>2.99067058927189E8</v>
      </c>
      <c r="E21" s="6">
        <v>1424832.7300001</v>
      </c>
      <c r="F21" s="6">
        <f t="shared" si="1"/>
        <v>297642226.2</v>
      </c>
      <c r="G21" s="6">
        <v>2.9531251072E8</v>
      </c>
      <c r="H21" s="5">
        <v>1036.0</v>
      </c>
      <c r="I21" s="6">
        <v>445435.56</v>
      </c>
      <c r="J21" s="4">
        <v>857907.2</v>
      </c>
      <c r="K21" s="4">
        <f t="shared" si="2"/>
        <v>-412471.64</v>
      </c>
      <c r="L21" s="4">
        <f>I21+Sep!L21</f>
        <v>6612296.72</v>
      </c>
      <c r="M21" s="4">
        <f>J21+Sep!M21</f>
        <v>5144802.56</v>
      </c>
      <c r="N21" s="4">
        <f t="shared" si="3"/>
        <v>1467494.16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6">
        <v>3.4718496198096E9</v>
      </c>
      <c r="E22" s="6">
        <v>5458873.91679989</v>
      </c>
      <c r="F22" s="6">
        <f t="shared" si="1"/>
        <v>3466390746</v>
      </c>
      <c r="G22" s="6">
        <v>3.45719782323869E9</v>
      </c>
      <c r="H22" s="5">
        <v>27664.0</v>
      </c>
      <c r="I22" s="6">
        <v>1.752101638E7</v>
      </c>
      <c r="J22" s="4">
        <v>4.812371818E7</v>
      </c>
      <c r="K22" s="4">
        <f t="shared" si="2"/>
        <v>-30602701.8</v>
      </c>
      <c r="L22" s="4">
        <f>I22+Sep!L22</f>
        <v>388373797.2</v>
      </c>
      <c r="M22" s="4">
        <f>J22+Sep!M22</f>
        <v>349233427.2</v>
      </c>
      <c r="N22" s="4">
        <f t="shared" si="3"/>
        <v>39140370.01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6">
        <v>8.63970789038E9</v>
      </c>
      <c r="E23" s="6">
        <v>2.158192804E7</v>
      </c>
      <c r="F23" s="6">
        <f t="shared" si="1"/>
        <v>8618125962</v>
      </c>
      <c r="G23" s="6">
        <v>8.57065346979E9</v>
      </c>
      <c r="H23" s="5">
        <v>14583.0</v>
      </c>
      <c r="I23" s="6">
        <v>3152351.02</v>
      </c>
      <c r="J23" s="4">
        <v>7.029645107E7</v>
      </c>
      <c r="K23" s="4">
        <f t="shared" si="2"/>
        <v>-67144100.05</v>
      </c>
      <c r="L23" s="4">
        <f>I23+Sep!L23</f>
        <v>46799935.05</v>
      </c>
      <c r="M23" s="4">
        <f>J23+Sep!M23</f>
        <v>1074664829</v>
      </c>
      <c r="N23" s="4">
        <f t="shared" si="3"/>
        <v>-1027864894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19" t="s">
        <v>36</v>
      </c>
      <c r="D24" s="6">
        <v>2.7739321635400004E9</v>
      </c>
      <c r="E24" s="6">
        <v>3.619310213E7</v>
      </c>
      <c r="F24" s="6">
        <f t="shared" si="1"/>
        <v>2737739061</v>
      </c>
      <c r="G24" s="6">
        <v>2.6068122815E9</v>
      </c>
      <c r="H24" s="5">
        <v>12466.0</v>
      </c>
      <c r="I24" s="6">
        <v>5.339862633999998E7</v>
      </c>
      <c r="J24" s="4">
        <v>1445571.0699999994</v>
      </c>
      <c r="K24" s="4">
        <f t="shared" si="2"/>
        <v>51953055.27</v>
      </c>
      <c r="L24" s="4">
        <f>I24+Sep!L24</f>
        <v>691487710.3</v>
      </c>
      <c r="M24" s="4">
        <f>J24+Sep!M24</f>
        <v>20743933.08</v>
      </c>
      <c r="N24" s="4">
        <f t="shared" si="3"/>
        <v>670743777.2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v>17.0</v>
      </c>
      <c r="C25" s="21" t="s">
        <v>37</v>
      </c>
      <c r="D25" s="6">
        <v>6.98710785523E9</v>
      </c>
      <c r="E25" s="6">
        <v>4.441320575E7</v>
      </c>
      <c r="F25" s="6">
        <f t="shared" si="1"/>
        <v>6942694649</v>
      </c>
      <c r="G25" s="6">
        <v>6.66368943865E9</v>
      </c>
      <c r="H25" s="5">
        <v>66298.0</v>
      </c>
      <c r="I25" s="6">
        <v>4.572808283E7</v>
      </c>
      <c r="J25" s="4">
        <v>4.518747091E7</v>
      </c>
      <c r="K25" s="4">
        <f t="shared" si="2"/>
        <v>540611.92</v>
      </c>
      <c r="L25" s="4">
        <f>I25+Sep!L25</f>
        <v>901128287.7</v>
      </c>
      <c r="M25" s="4">
        <f>J25+Sep!M25</f>
        <v>671487896</v>
      </c>
      <c r="N25" s="4">
        <f t="shared" si="3"/>
        <v>229640391.7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v>18.0</v>
      </c>
      <c r="C26" s="21" t="s">
        <v>38</v>
      </c>
      <c r="D26" s="6">
        <v>1.090355557955E10</v>
      </c>
      <c r="E26" s="6">
        <v>4.510187796E7</v>
      </c>
      <c r="F26" s="6">
        <f t="shared" si="1"/>
        <v>10858453702</v>
      </c>
      <c r="G26" s="6">
        <v>1.079614838781E10</v>
      </c>
      <c r="H26" s="5">
        <v>56810.0</v>
      </c>
      <c r="I26" s="6">
        <v>1.0077350018E8</v>
      </c>
      <c r="J26" s="4">
        <v>7.882129313E7</v>
      </c>
      <c r="K26" s="4">
        <f t="shared" si="2"/>
        <v>21952207.05</v>
      </c>
      <c r="L26" s="4">
        <f>I26+Sep!L26</f>
        <v>2338113757</v>
      </c>
      <c r="M26" s="4">
        <f>J26+Sep!M26</f>
        <v>1678077206</v>
      </c>
      <c r="N26" s="4">
        <f t="shared" si="3"/>
        <v>660036551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6">
        <v>5.662606579280003E8</v>
      </c>
      <c r="E27" s="6">
        <v>1533844.7699999965</v>
      </c>
      <c r="F27" s="6">
        <f t="shared" si="1"/>
        <v>564726813.2</v>
      </c>
      <c r="G27" s="6">
        <v>5.088500865E8</v>
      </c>
      <c r="H27" s="5">
        <v>1313.0</v>
      </c>
      <c r="I27" s="6">
        <v>1672856.57</v>
      </c>
      <c r="J27" s="4">
        <v>126090.03</v>
      </c>
      <c r="K27" s="4">
        <f t="shared" si="2"/>
        <v>1546766.54</v>
      </c>
      <c r="L27" s="4">
        <f>I27+Sep!L27</f>
        <v>17186741</v>
      </c>
      <c r="M27" s="4">
        <f>J27+Sep!M27</f>
        <v>8595591.45</v>
      </c>
      <c r="N27" s="4">
        <f t="shared" si="3"/>
        <v>8591149.55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5"/>
      <c r="I28" s="6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v>20.0</v>
      </c>
      <c r="C29" s="3" t="s">
        <v>234</v>
      </c>
      <c r="D29" s="6">
        <v>1.14153430750144E8</v>
      </c>
      <c r="E29" s="6">
        <v>4.21486034529147E7</v>
      </c>
      <c r="F29" s="6">
        <f t="shared" ref="F29:F31" si="5">D29-E29</f>
        <v>72004827.3</v>
      </c>
      <c r="G29" s="6">
        <v>7.0539853074685E7</v>
      </c>
      <c r="H29" s="5">
        <v>1.0</v>
      </c>
      <c r="I29" s="6">
        <v>7.231095282E7</v>
      </c>
      <c r="J29" s="4">
        <v>110266.93</v>
      </c>
      <c r="K29" s="4">
        <f t="shared" ref="K29:K31" si="6">I29-J29</f>
        <v>72200685.89</v>
      </c>
      <c r="L29" s="4">
        <f t="shared" ref="L29:M29" si="4">I29</f>
        <v>72310952.82</v>
      </c>
      <c r="M29" s="4">
        <f t="shared" si="4"/>
        <v>110266.93</v>
      </c>
      <c r="N29" s="4">
        <f t="shared" ref="N29:N31" si="7">L29-M29</f>
        <v>72200685.89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41</v>
      </c>
      <c r="D30" s="6">
        <v>3.29238299188001E8</v>
      </c>
      <c r="E30" s="6">
        <v>824963.119000001</v>
      </c>
      <c r="F30" s="6">
        <f t="shared" si="5"/>
        <v>328413336.1</v>
      </c>
      <c r="G30" s="6">
        <v>2.9000450095E8</v>
      </c>
      <c r="H30" s="5">
        <v>1442.0</v>
      </c>
      <c r="I30" s="6">
        <v>931535.7</v>
      </c>
      <c r="J30" s="4">
        <v>499250.66</v>
      </c>
      <c r="K30" s="4">
        <f t="shared" si="6"/>
        <v>432285.04</v>
      </c>
      <c r="L30" s="4">
        <f>I30+Sep!L29</f>
        <v>87168734.57</v>
      </c>
      <c r="M30" s="4">
        <f>J30+Sep!M29</f>
        <v>29300053.86</v>
      </c>
      <c r="N30" s="4">
        <f t="shared" si="7"/>
        <v>57868680.71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v>22.0</v>
      </c>
      <c r="C31" s="3" t="s">
        <v>35</v>
      </c>
      <c r="D31" s="6">
        <v>4.4009149466E8</v>
      </c>
      <c r="E31" s="6">
        <v>3672261.2</v>
      </c>
      <c r="F31" s="6">
        <f t="shared" si="5"/>
        <v>436419233.5</v>
      </c>
      <c r="G31" s="6">
        <v>4.342321635E8</v>
      </c>
      <c r="H31" s="5">
        <v>266722.0</v>
      </c>
      <c r="I31" s="6">
        <v>3.101211652E7</v>
      </c>
      <c r="J31" s="4">
        <v>1.044967624E7</v>
      </c>
      <c r="K31" s="4">
        <f t="shared" si="6"/>
        <v>20562440.28</v>
      </c>
      <c r="L31" s="4">
        <f>I31+Sep!L30</f>
        <v>627359512</v>
      </c>
      <c r="M31" s="4">
        <f>J31+Sep!M30</f>
        <v>138505703.5</v>
      </c>
      <c r="N31" s="4">
        <f t="shared" si="7"/>
        <v>488853808.5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18" t="s">
        <v>42</v>
      </c>
      <c r="B32" s="2"/>
      <c r="C32" s="3"/>
      <c r="D32" s="6"/>
      <c r="E32" s="6"/>
      <c r="F32" s="6"/>
      <c r="G32" s="6"/>
      <c r="H32" s="5"/>
      <c r="I32" s="6"/>
      <c r="J32" s="4"/>
      <c r="K32" s="4"/>
      <c r="L32" s="4"/>
      <c r="M32" s="4"/>
      <c r="N32" s="4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3"/>
      <c r="B33" s="2">
        <v>23.0</v>
      </c>
      <c r="C33" s="3" t="s">
        <v>43</v>
      </c>
      <c r="D33" s="6">
        <v>2.0685170552E9</v>
      </c>
      <c r="E33" s="6">
        <v>3739270.94</v>
      </c>
      <c r="F33" s="6">
        <f>D33-E33</f>
        <v>2064777784</v>
      </c>
      <c r="G33" s="6">
        <v>2.05984961268E9</v>
      </c>
      <c r="H33" s="5">
        <v>3312.0</v>
      </c>
      <c r="I33" s="6">
        <v>9144186.0</v>
      </c>
      <c r="J33" s="4">
        <v>4708464.0</v>
      </c>
      <c r="K33" s="4">
        <f>I33-J33</f>
        <v>4435722</v>
      </c>
      <c r="L33" s="4">
        <f>I33+Sep!L32</f>
        <v>356024876</v>
      </c>
      <c r="M33" s="4">
        <f>J33+Sep!M32</f>
        <v>207740414</v>
      </c>
      <c r="N33" s="4">
        <f>L33-M33</f>
        <v>148284462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22" t="s">
        <v>44</v>
      </c>
      <c r="B34" s="23"/>
      <c r="C34" s="1"/>
      <c r="D34" s="24">
        <f t="shared" ref="D34:N34" si="8">SUM(D9:D33)</f>
        <v>64602624021</v>
      </c>
      <c r="E34" s="24">
        <f t="shared" si="8"/>
        <v>736732358.9</v>
      </c>
      <c r="F34" s="24">
        <f t="shared" si="8"/>
        <v>63865891662</v>
      </c>
      <c r="G34" s="24">
        <f t="shared" si="8"/>
        <v>59948295152</v>
      </c>
      <c r="H34" s="24">
        <f t="shared" si="8"/>
        <v>553500</v>
      </c>
      <c r="I34" s="24">
        <f t="shared" si="8"/>
        <v>563848993.4</v>
      </c>
      <c r="J34" s="24">
        <f t="shared" si="8"/>
        <v>344094796.6</v>
      </c>
      <c r="K34" s="24">
        <f t="shared" si="8"/>
        <v>219754196.8</v>
      </c>
      <c r="L34" s="24">
        <f t="shared" si="8"/>
        <v>9274574138</v>
      </c>
      <c r="M34" s="24">
        <f t="shared" si="8"/>
        <v>48565447051</v>
      </c>
      <c r="N34" s="24">
        <f t="shared" si="8"/>
        <v>-39290872913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2.0" customHeight="1">
      <c r="A35" s="18" t="s">
        <v>45</v>
      </c>
      <c r="B35" s="2"/>
      <c r="C35" s="3"/>
      <c r="D35" s="6"/>
      <c r="E35" s="6"/>
      <c r="F35" s="6"/>
      <c r="G35" s="6"/>
      <c r="H35" s="5"/>
      <c r="I35" s="6"/>
      <c r="J35" s="4"/>
      <c r="K35" s="4"/>
      <c r="L35" s="4"/>
      <c r="M35" s="4"/>
      <c r="N35" s="4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235</v>
      </c>
      <c r="D36" s="6">
        <v>3.53346019235E7</v>
      </c>
      <c r="E36" s="6">
        <v>2986140.7851</v>
      </c>
      <c r="F36" s="6">
        <f t="shared" ref="F36:F37" si="9">D36-E36</f>
        <v>32348461.14</v>
      </c>
      <c r="G36" s="27">
        <v>0.0</v>
      </c>
      <c r="H36" s="5">
        <v>55.0</v>
      </c>
      <c r="I36" s="6">
        <v>176880.96</v>
      </c>
      <c r="J36" s="4">
        <v>2129614.91</v>
      </c>
      <c r="K36" s="4">
        <f t="shared" ref="K36:K37" si="10">I36-J36</f>
        <v>-1952733.95</v>
      </c>
      <c r="L36" s="4">
        <f>I36+Sep!L35</f>
        <v>1350499.4</v>
      </c>
      <c r="M36" s="4">
        <f>J36+Sep!M35</f>
        <v>7699965.99</v>
      </c>
      <c r="N36" s="4">
        <f t="shared" ref="N36:N37" si="11">L36-M36</f>
        <v>-6349466.59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v>25.0</v>
      </c>
      <c r="C37" s="3" t="s">
        <v>47</v>
      </c>
      <c r="D37" s="6">
        <f>57.97*31436993.26</f>
        <v>1822402499</v>
      </c>
      <c r="E37" s="6">
        <f>57.97*163386.5</f>
        <v>9471515.405</v>
      </c>
      <c r="F37" s="6">
        <f t="shared" si="9"/>
        <v>1812930984</v>
      </c>
      <c r="G37" s="6">
        <v>0.0</v>
      </c>
      <c r="H37" s="5">
        <v>2848.0</v>
      </c>
      <c r="I37" s="6">
        <f>57.97*64870.42</f>
        <v>3760538.247</v>
      </c>
      <c r="J37" s="6">
        <f>57.97*256349.68</f>
        <v>14860590.95</v>
      </c>
      <c r="K37" s="4">
        <f t="shared" si="10"/>
        <v>-11100052.7</v>
      </c>
      <c r="L37" s="4">
        <f>I37+Sep!L36</f>
        <v>282188865.2</v>
      </c>
      <c r="M37" s="4">
        <f>J37+Sep!M36</f>
        <v>333341855</v>
      </c>
      <c r="N37" s="4">
        <f t="shared" si="11"/>
        <v>-51152989.79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22" t="s">
        <v>48</v>
      </c>
      <c r="B38" s="23"/>
      <c r="C38" s="1"/>
      <c r="D38" s="24">
        <f t="shared" ref="D38:N38" si="12">SUM(D36:D37)</f>
        <v>1857737101</v>
      </c>
      <c r="E38" s="24">
        <f t="shared" si="12"/>
        <v>12457656.19</v>
      </c>
      <c r="F38" s="24">
        <f t="shared" si="12"/>
        <v>1845279445</v>
      </c>
      <c r="G38" s="24">
        <f t="shared" si="12"/>
        <v>0</v>
      </c>
      <c r="H38" s="24">
        <f t="shared" si="12"/>
        <v>2903</v>
      </c>
      <c r="I38" s="24">
        <f t="shared" si="12"/>
        <v>3937419.207</v>
      </c>
      <c r="J38" s="24">
        <f t="shared" si="12"/>
        <v>16990205.86</v>
      </c>
      <c r="K38" s="24">
        <f t="shared" si="12"/>
        <v>-13052786.65</v>
      </c>
      <c r="L38" s="24">
        <f t="shared" si="12"/>
        <v>283539364.6</v>
      </c>
      <c r="M38" s="24">
        <f t="shared" si="12"/>
        <v>341041821</v>
      </c>
      <c r="N38" s="24">
        <f t="shared" si="12"/>
        <v>-57502456.38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49</v>
      </c>
      <c r="B39" s="23"/>
      <c r="C39" s="1"/>
      <c r="D39" s="24">
        <f t="shared" ref="D39:N39" si="13">D34+D38</f>
        <v>66460361122</v>
      </c>
      <c r="E39" s="24">
        <f t="shared" si="13"/>
        <v>749190015.1</v>
      </c>
      <c r="F39" s="24">
        <f t="shared" si="13"/>
        <v>65711171107</v>
      </c>
      <c r="G39" s="24">
        <f t="shared" si="13"/>
        <v>59948295152</v>
      </c>
      <c r="H39" s="24">
        <f t="shared" si="13"/>
        <v>556403</v>
      </c>
      <c r="I39" s="24">
        <f t="shared" si="13"/>
        <v>567786412.6</v>
      </c>
      <c r="J39" s="24">
        <f t="shared" si="13"/>
        <v>361085002.5</v>
      </c>
      <c r="K39" s="24">
        <f t="shared" si="13"/>
        <v>206701410.2</v>
      </c>
      <c r="L39" s="24">
        <f t="shared" si="13"/>
        <v>9558113503</v>
      </c>
      <c r="M39" s="24">
        <f t="shared" si="13"/>
        <v>48906488872</v>
      </c>
      <c r="N39" s="24">
        <f t="shared" si="13"/>
        <v>-39348375369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50</v>
      </c>
      <c r="B40" s="2"/>
      <c r="C40" s="3"/>
      <c r="D40" s="6"/>
      <c r="E40" s="6"/>
      <c r="F40" s="6"/>
      <c r="G40" s="6"/>
      <c r="H40" s="5"/>
      <c r="I40" s="6"/>
      <c r="J40" s="4"/>
      <c r="K40" s="4"/>
      <c r="L40" s="4"/>
      <c r="M40" s="4"/>
      <c r="N40" s="4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 t="s">
        <v>20</v>
      </c>
      <c r="B41" s="2"/>
      <c r="C41" s="3"/>
      <c r="D41" s="6"/>
      <c r="E41" s="6"/>
      <c r="F41" s="6"/>
      <c r="G41" s="6"/>
      <c r="H41" s="5"/>
      <c r="I41" s="6"/>
      <c r="J41" s="4"/>
      <c r="K41" s="4"/>
      <c r="L41" s="4"/>
      <c r="M41" s="4"/>
      <c r="N41" s="4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/>
      <c r="B42" s="2">
        <v>26.0</v>
      </c>
      <c r="C42" s="3" t="s">
        <v>236</v>
      </c>
      <c r="D42" s="6">
        <v>1.1808708793E8</v>
      </c>
      <c r="E42" s="6">
        <v>1369375.31</v>
      </c>
      <c r="F42" s="6">
        <f t="shared" ref="F42:F51" si="14">D42-E42</f>
        <v>116717712.6</v>
      </c>
      <c r="G42" s="6">
        <v>3.64464291E7</v>
      </c>
      <c r="H42" s="5">
        <v>724.0</v>
      </c>
      <c r="I42" s="6">
        <v>357387.01999999996</v>
      </c>
      <c r="J42" s="4">
        <v>342530.32999999996</v>
      </c>
      <c r="K42" s="4">
        <f t="shared" ref="K42:K51" si="15">I42-J42</f>
        <v>14856.69</v>
      </c>
      <c r="L42" s="4">
        <f>I42+Sep!L41</f>
        <v>10938166.85</v>
      </c>
      <c r="M42" s="4">
        <f>J42+Sep!M41</f>
        <v>4551394.93</v>
      </c>
      <c r="N42" s="4">
        <f t="shared" ref="N42:N51" si="16">L42-M42</f>
        <v>6386771.92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237</v>
      </c>
      <c r="D43" s="6">
        <v>5.7782531982E8</v>
      </c>
      <c r="E43" s="6">
        <v>1.182521814E7</v>
      </c>
      <c r="F43" s="6">
        <f t="shared" si="14"/>
        <v>566000101.7</v>
      </c>
      <c r="G43" s="6">
        <v>2.5721433525E8</v>
      </c>
      <c r="H43" s="5">
        <v>2450.0</v>
      </c>
      <c r="I43" s="6">
        <v>1223491.26</v>
      </c>
      <c r="J43" s="4">
        <v>1.1004936149999999E7</v>
      </c>
      <c r="K43" s="4">
        <f t="shared" si="15"/>
        <v>-9781444.89</v>
      </c>
      <c r="L43" s="4">
        <f>I43+Sep!L42</f>
        <v>14604749.53</v>
      </c>
      <c r="M43" s="4">
        <f>J43+Sep!M42</f>
        <v>70176409.66</v>
      </c>
      <c r="N43" s="4">
        <f t="shared" si="16"/>
        <v>-55571660.13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53</v>
      </c>
      <c r="D44" s="6">
        <v>1.0959278392E9</v>
      </c>
      <c r="E44" s="6">
        <v>6.380177827E7</v>
      </c>
      <c r="F44" s="6">
        <f t="shared" si="14"/>
        <v>1032126061</v>
      </c>
      <c r="G44" s="6">
        <v>5.9126702627E8</v>
      </c>
      <c r="H44" s="5">
        <v>4766.0</v>
      </c>
      <c r="I44" s="6">
        <v>2397399.0431</v>
      </c>
      <c r="J44" s="4">
        <v>2442876.43</v>
      </c>
      <c r="K44" s="4">
        <f t="shared" si="15"/>
        <v>-45477.3869</v>
      </c>
      <c r="L44" s="4">
        <f>I44+Sep!L43</f>
        <v>40628934</v>
      </c>
      <c r="M44" s="4">
        <f>J44+Sep!M43</f>
        <v>199064463.1</v>
      </c>
      <c r="N44" s="4">
        <f t="shared" si="16"/>
        <v>-158435529.1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54</v>
      </c>
      <c r="D45" s="6">
        <v>3.1788557254E8</v>
      </c>
      <c r="E45" s="6">
        <v>3.23018347E7</v>
      </c>
      <c r="F45" s="6">
        <f t="shared" si="14"/>
        <v>285583737.8</v>
      </c>
      <c r="G45" s="6">
        <v>1.7186244733E8</v>
      </c>
      <c r="H45" s="5">
        <v>229.0</v>
      </c>
      <c r="I45" s="6">
        <v>4976877.0</v>
      </c>
      <c r="J45" s="4">
        <v>44934.38</v>
      </c>
      <c r="K45" s="4">
        <f t="shared" si="15"/>
        <v>4931942.62</v>
      </c>
      <c r="L45" s="4">
        <f>I45+Sep!L44</f>
        <v>316307814.4</v>
      </c>
      <c r="M45" s="4">
        <f>J45+Sep!M44</f>
        <v>26746744.45</v>
      </c>
      <c r="N45" s="4">
        <f t="shared" si="16"/>
        <v>289561070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55</v>
      </c>
      <c r="D46" s="6">
        <v>3.2699355651E8</v>
      </c>
      <c r="E46" s="6">
        <v>1493391.69</v>
      </c>
      <c r="F46" s="6">
        <f t="shared" si="14"/>
        <v>325500164.8</v>
      </c>
      <c r="G46" s="6">
        <v>1.486233916E8</v>
      </c>
      <c r="H46" s="5">
        <v>56.0</v>
      </c>
      <c r="I46" s="6">
        <v>0.0</v>
      </c>
      <c r="J46" s="4">
        <v>0.0</v>
      </c>
      <c r="K46" s="4">
        <f t="shared" si="15"/>
        <v>0</v>
      </c>
      <c r="L46" s="4">
        <f>I46+Sep!L45</f>
        <v>0</v>
      </c>
      <c r="M46" s="4">
        <f>J46+Sep!M45</f>
        <v>2789770.37</v>
      </c>
      <c r="N46" s="4">
        <f t="shared" si="16"/>
        <v>-2789770.37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56</v>
      </c>
      <c r="D47" s="6">
        <v>5.5019038715E8</v>
      </c>
      <c r="E47" s="6">
        <v>1.833633251E7</v>
      </c>
      <c r="F47" s="6">
        <f t="shared" si="14"/>
        <v>531854054.6</v>
      </c>
      <c r="G47" s="6">
        <v>2.9799029925E8</v>
      </c>
      <c r="H47" s="5">
        <v>10147.0</v>
      </c>
      <c r="I47" s="6">
        <v>275560.64</v>
      </c>
      <c r="J47" s="4">
        <v>1222004.14</v>
      </c>
      <c r="K47" s="4">
        <f t="shared" si="15"/>
        <v>-946443.5</v>
      </c>
      <c r="L47" s="4">
        <f>I47+Sep!L46</f>
        <v>5493503.51</v>
      </c>
      <c r="M47" s="4">
        <f>J47+Sep!M46</f>
        <v>46818863.66</v>
      </c>
      <c r="N47" s="4">
        <f t="shared" si="16"/>
        <v>-41325360.15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v>32.0</v>
      </c>
      <c r="C48" s="3" t="s">
        <v>57</v>
      </c>
      <c r="D48" s="6">
        <v>2.08427217544E9</v>
      </c>
      <c r="E48" s="6">
        <v>6.063198706E7</v>
      </c>
      <c r="F48" s="6">
        <f t="shared" si="14"/>
        <v>2023640188</v>
      </c>
      <c r="G48" s="6">
        <v>9.489605889E8</v>
      </c>
      <c r="H48" s="5">
        <v>8269.0</v>
      </c>
      <c r="I48" s="6">
        <v>877836.26</v>
      </c>
      <c r="J48" s="4">
        <v>9067803.07</v>
      </c>
      <c r="K48" s="4">
        <f t="shared" si="15"/>
        <v>-8189966.81</v>
      </c>
      <c r="L48" s="4">
        <f>I48+Sep!L47</f>
        <v>197965759.1</v>
      </c>
      <c r="M48" s="4">
        <f>J48+Sep!M47</f>
        <v>8264412330</v>
      </c>
      <c r="N48" s="4">
        <f t="shared" si="16"/>
        <v>-8066446571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1.25" customHeight="1">
      <c r="A49" s="18"/>
      <c r="B49" s="2">
        <v>33.0</v>
      </c>
      <c r="C49" s="3" t="s">
        <v>238</v>
      </c>
      <c r="D49" s="6">
        <v>1.3400265604E8</v>
      </c>
      <c r="E49" s="6">
        <v>167581.53</v>
      </c>
      <c r="F49" s="6">
        <f t="shared" si="14"/>
        <v>133835074.5</v>
      </c>
      <c r="G49" s="6">
        <v>8.08921124E7</v>
      </c>
      <c r="H49" s="5">
        <v>198.0</v>
      </c>
      <c r="I49" s="6">
        <v>9996.9</v>
      </c>
      <c r="J49" s="4">
        <v>0.0</v>
      </c>
      <c r="K49" s="4">
        <f t="shared" si="15"/>
        <v>9996.9</v>
      </c>
      <c r="L49" s="4">
        <f>I49+Sep!L48</f>
        <v>3708346.55</v>
      </c>
      <c r="M49" s="4">
        <f>J49+Sep!M48</f>
        <v>6741043.38</v>
      </c>
      <c r="N49" s="4">
        <f t="shared" si="16"/>
        <v>-3032696.83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59</v>
      </c>
      <c r="D50" s="6">
        <v>7.09885431948E9</v>
      </c>
      <c r="E50" s="6">
        <v>4.005902156E7</v>
      </c>
      <c r="F50" s="6">
        <f t="shared" si="14"/>
        <v>7058795298</v>
      </c>
      <c r="G50" s="6">
        <v>3.30733441667E9</v>
      </c>
      <c r="H50" s="5">
        <v>53522.0</v>
      </c>
      <c r="I50" s="6">
        <v>7965379.65</v>
      </c>
      <c r="J50" s="4">
        <v>5.311827656E7</v>
      </c>
      <c r="K50" s="4">
        <f t="shared" si="15"/>
        <v>-45152896.91</v>
      </c>
      <c r="L50" s="4">
        <f>I50+Sep!L49</f>
        <v>152733232.3</v>
      </c>
      <c r="M50" s="4">
        <f>J50+Sep!M49</f>
        <v>435166935.8</v>
      </c>
      <c r="N50" s="4">
        <f t="shared" si="16"/>
        <v>-282433703.5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v>35.0</v>
      </c>
      <c r="C51" s="3" t="s">
        <v>60</v>
      </c>
      <c r="D51" s="6">
        <v>1.13109012562E9</v>
      </c>
      <c r="E51" s="6">
        <v>9925843.85</v>
      </c>
      <c r="F51" s="6">
        <f t="shared" si="14"/>
        <v>1121164282</v>
      </c>
      <c r="G51" s="6">
        <v>5.9653787275E8</v>
      </c>
      <c r="H51" s="5">
        <v>4998.0</v>
      </c>
      <c r="I51" s="6">
        <v>0.0</v>
      </c>
      <c r="J51" s="4">
        <v>1967651.91</v>
      </c>
      <c r="K51" s="4">
        <f t="shared" si="15"/>
        <v>-1967651.91</v>
      </c>
      <c r="L51" s="4">
        <f>I51+Sep!L50</f>
        <v>0</v>
      </c>
      <c r="M51" s="4">
        <f>J51+Sep!M50</f>
        <v>59186426.44</v>
      </c>
      <c r="N51" s="4">
        <f t="shared" si="16"/>
        <v>-59186426.44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18" t="s">
        <v>40</v>
      </c>
      <c r="B52" s="2"/>
      <c r="C52" s="3"/>
      <c r="D52" s="6"/>
      <c r="E52" s="6"/>
      <c r="F52" s="6"/>
      <c r="G52" s="6"/>
      <c r="H52" s="5"/>
      <c r="I52" s="6"/>
      <c r="J52" s="4"/>
      <c r="K52" s="4"/>
      <c r="L52" s="4"/>
      <c r="M52" s="4"/>
      <c r="N52" s="4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61</v>
      </c>
      <c r="D53" s="6">
        <v>7.146158604E7</v>
      </c>
      <c r="E53" s="6">
        <v>332613.97</v>
      </c>
      <c r="F53" s="6">
        <f t="shared" ref="F53:F55" si="17">D53-E53</f>
        <v>71128972.07</v>
      </c>
      <c r="G53" s="6">
        <v>2.60852909E7</v>
      </c>
      <c r="H53" s="5">
        <v>1023.0</v>
      </c>
      <c r="I53" s="6">
        <v>296057.28</v>
      </c>
      <c r="J53" s="4">
        <v>94253.89</v>
      </c>
      <c r="K53" s="4">
        <f t="shared" ref="K53:K55" si="18">I53-J53</f>
        <v>201803.39</v>
      </c>
      <c r="L53" s="4">
        <f>I53+Sep!L52</f>
        <v>8363495.28</v>
      </c>
      <c r="M53" s="4">
        <f>J53+Sep!M52</f>
        <v>2277989.48</v>
      </c>
      <c r="N53" s="4">
        <f t="shared" ref="N53:N55" si="19">L53-M53</f>
        <v>6085505.8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62</v>
      </c>
      <c r="D54" s="6">
        <v>5.228784982E7</v>
      </c>
      <c r="E54" s="6">
        <v>273637.8</v>
      </c>
      <c r="F54" s="6">
        <f t="shared" si="17"/>
        <v>52014212.02</v>
      </c>
      <c r="G54" s="6">
        <v>4.079544775E7</v>
      </c>
      <c r="H54" s="5">
        <v>397.0</v>
      </c>
      <c r="I54" s="6">
        <v>189182.22</v>
      </c>
      <c r="J54" s="4">
        <v>0.0</v>
      </c>
      <c r="K54" s="4">
        <f t="shared" si="18"/>
        <v>189182.22</v>
      </c>
      <c r="L54" s="4">
        <f>I54+Sep!L53</f>
        <v>5816658.79</v>
      </c>
      <c r="M54" s="4">
        <f>J54+Sep!M53</f>
        <v>503940.39</v>
      </c>
      <c r="N54" s="4">
        <f t="shared" si="19"/>
        <v>5312718.4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v>38.0</v>
      </c>
      <c r="C55" s="3" t="s">
        <v>63</v>
      </c>
      <c r="D55" s="6">
        <v>4.381783844E7</v>
      </c>
      <c r="E55" s="6">
        <v>265695.08</v>
      </c>
      <c r="F55" s="6">
        <f t="shared" si="17"/>
        <v>43552143.36</v>
      </c>
      <c r="G55" s="6">
        <v>3.69129869E7</v>
      </c>
      <c r="H55" s="5">
        <v>185.0</v>
      </c>
      <c r="I55" s="6">
        <v>84500.0</v>
      </c>
      <c r="J55" s="4">
        <v>0.0</v>
      </c>
      <c r="K55" s="4">
        <f t="shared" si="18"/>
        <v>84500</v>
      </c>
      <c r="L55" s="4">
        <f>I55+Sep!L54</f>
        <v>2281329.65</v>
      </c>
      <c r="M55" s="4">
        <f>J55+Sep!M54</f>
        <v>267591.72</v>
      </c>
      <c r="N55" s="4">
        <f t="shared" si="19"/>
        <v>2013737.93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22" t="s">
        <v>44</v>
      </c>
      <c r="B56" s="22"/>
      <c r="C56" s="1"/>
      <c r="D56" s="24">
        <f t="shared" ref="D56:N56" si="20">SUM(D42:D55)</f>
        <v>13602696314</v>
      </c>
      <c r="E56" s="24">
        <f t="shared" si="20"/>
        <v>240784311.5</v>
      </c>
      <c r="F56" s="24">
        <f t="shared" si="20"/>
        <v>13361912003</v>
      </c>
      <c r="G56" s="24">
        <f t="shared" si="20"/>
        <v>6540922645</v>
      </c>
      <c r="H56" s="24">
        <f t="shared" si="20"/>
        <v>86964</v>
      </c>
      <c r="I56" s="24">
        <f t="shared" si="20"/>
        <v>18653667.27</v>
      </c>
      <c r="J56" s="24">
        <f t="shared" si="20"/>
        <v>79305266.86</v>
      </c>
      <c r="K56" s="24">
        <f t="shared" si="20"/>
        <v>-60651599.59</v>
      </c>
      <c r="L56" s="24">
        <f t="shared" si="20"/>
        <v>758841990</v>
      </c>
      <c r="M56" s="24">
        <f t="shared" si="20"/>
        <v>9118703904</v>
      </c>
      <c r="N56" s="24">
        <f t="shared" si="20"/>
        <v>-8359861914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2.0" customHeight="1">
      <c r="A57" s="18" t="s">
        <v>45</v>
      </c>
      <c r="B57" s="2"/>
      <c r="C57" s="3"/>
      <c r="D57" s="6"/>
      <c r="E57" s="6"/>
      <c r="F57" s="6"/>
      <c r="G57" s="6"/>
      <c r="H57" s="5"/>
      <c r="I57" s="6"/>
      <c r="J57" s="4"/>
      <c r="K57" s="4"/>
      <c r="L57" s="4"/>
      <c r="M57" s="4"/>
      <c r="N57" s="4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64</v>
      </c>
      <c r="D58" s="6">
        <f>57.97*1248760.77</f>
        <v>72390661.84</v>
      </c>
      <c r="E58" s="6">
        <f>57.97*7790.26</f>
        <v>451601.3722</v>
      </c>
      <c r="F58" s="6">
        <f t="shared" ref="F58:F61" si="21">D58-E58</f>
        <v>71939060.46</v>
      </c>
      <c r="G58" s="6">
        <v>0.0</v>
      </c>
      <c r="H58" s="5">
        <v>55.0</v>
      </c>
      <c r="I58" s="6">
        <v>0.0</v>
      </c>
      <c r="J58" s="6">
        <v>0.0</v>
      </c>
      <c r="K58" s="4">
        <f t="shared" ref="K58:K61" si="22">I58-J58</f>
        <v>0</v>
      </c>
      <c r="L58" s="4">
        <f>I58+Sep!L57</f>
        <v>5201914.981</v>
      </c>
      <c r="M58" s="4">
        <f>J58+Sep!M57</f>
        <v>4087392.839</v>
      </c>
      <c r="N58" s="4">
        <f t="shared" ref="N58:N61" si="23">L58-M58</f>
        <v>1114522.142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v>40.0</v>
      </c>
      <c r="C59" s="3" t="s">
        <v>65</v>
      </c>
      <c r="D59" s="6">
        <f>57.97*5552560.1</f>
        <v>321881909</v>
      </c>
      <c r="E59" s="6">
        <f>57.97*410925.52</f>
        <v>23821352.39</v>
      </c>
      <c r="F59" s="6">
        <f t="shared" si="21"/>
        <v>298060556.6</v>
      </c>
      <c r="G59" s="6">
        <f>57.97*2573598.85</f>
        <v>149191525.3</v>
      </c>
      <c r="H59" s="5">
        <v>270.0</v>
      </c>
      <c r="I59" s="6">
        <v>0.0</v>
      </c>
      <c r="J59" s="6">
        <f>57.97*1362.23</f>
        <v>78968.4731</v>
      </c>
      <c r="K59" s="4">
        <f t="shared" si="22"/>
        <v>-78968.4731</v>
      </c>
      <c r="L59" s="4">
        <f>I59+Sep!L58</f>
        <v>602209.6245</v>
      </c>
      <c r="M59" s="4">
        <f>J59+Sep!M58</f>
        <v>18486198.32</v>
      </c>
      <c r="N59" s="4">
        <f t="shared" si="23"/>
        <v>-17883988.69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66</v>
      </c>
      <c r="D60" s="6">
        <f>57.97*27244377.94</f>
        <v>1579356589</v>
      </c>
      <c r="E60" s="6">
        <f>57.97*68777.88</f>
        <v>3987053.704</v>
      </c>
      <c r="F60" s="6">
        <f t="shared" si="21"/>
        <v>1575369535</v>
      </c>
      <c r="G60" s="6">
        <v>0.0</v>
      </c>
      <c r="H60" s="5">
        <v>4130.0</v>
      </c>
      <c r="I60" s="6">
        <f>57.97*81128.27</f>
        <v>4703005.812</v>
      </c>
      <c r="J60" s="6">
        <f>57.97*159550.17</f>
        <v>9249123.355</v>
      </c>
      <c r="K60" s="4">
        <f t="shared" si="22"/>
        <v>-4546117.543</v>
      </c>
      <c r="L60" s="4">
        <f>I60+Sep!L59</f>
        <v>67250324.34</v>
      </c>
      <c r="M60" s="4">
        <f>J60+Sep!M59</f>
        <v>190083198.4</v>
      </c>
      <c r="N60" s="4">
        <f t="shared" si="23"/>
        <v>-122832874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v>42.0</v>
      </c>
      <c r="C61" s="3" t="s">
        <v>67</v>
      </c>
      <c r="D61" s="6">
        <f>57.97*5219663.3</f>
        <v>302583881.5</v>
      </c>
      <c r="E61" s="6">
        <f>57.97*17229.33</f>
        <v>998784.2601</v>
      </c>
      <c r="F61" s="6">
        <f t="shared" si="21"/>
        <v>301585097.2</v>
      </c>
      <c r="G61" s="6">
        <v>0.0</v>
      </c>
      <c r="H61" s="5">
        <v>710.0</v>
      </c>
      <c r="I61" s="6">
        <f>57.97*1088.8</f>
        <v>63117.736</v>
      </c>
      <c r="J61" s="6">
        <f>57.97*149405.97</f>
        <v>8661064.081</v>
      </c>
      <c r="K61" s="4">
        <f t="shared" si="22"/>
        <v>-8597946.345</v>
      </c>
      <c r="L61" s="4">
        <f>I61+Sep!L60</f>
        <v>12474488.7</v>
      </c>
      <c r="M61" s="4">
        <f>J61+Sep!M60</f>
        <v>44572909.5</v>
      </c>
      <c r="N61" s="4">
        <f t="shared" si="23"/>
        <v>-32098420.79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22" t="s">
        <v>48</v>
      </c>
      <c r="B62" s="23"/>
      <c r="C62" s="1"/>
      <c r="D62" s="24">
        <f t="shared" ref="D62:N62" si="24">SUM(D58:D61)</f>
        <v>2276213042</v>
      </c>
      <c r="E62" s="24">
        <f t="shared" si="24"/>
        <v>29258791.73</v>
      </c>
      <c r="F62" s="24">
        <f t="shared" si="24"/>
        <v>2246954250</v>
      </c>
      <c r="G62" s="24">
        <f t="shared" si="24"/>
        <v>149191525.3</v>
      </c>
      <c r="H62" s="24">
        <f t="shared" si="24"/>
        <v>5165</v>
      </c>
      <c r="I62" s="24">
        <f t="shared" si="24"/>
        <v>4766123.548</v>
      </c>
      <c r="J62" s="24">
        <f t="shared" si="24"/>
        <v>17989155.91</v>
      </c>
      <c r="K62" s="24">
        <f t="shared" si="24"/>
        <v>-13223032.36</v>
      </c>
      <c r="L62" s="24">
        <f t="shared" si="24"/>
        <v>85528937.64</v>
      </c>
      <c r="M62" s="24">
        <f t="shared" si="24"/>
        <v>257229699</v>
      </c>
      <c r="N62" s="24">
        <f t="shared" si="24"/>
        <v>-171700761.4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68</v>
      </c>
      <c r="B63" s="23"/>
      <c r="C63" s="1"/>
      <c r="D63" s="24">
        <f t="shared" ref="D63:N63" si="25">D56+D62</f>
        <v>15878909356</v>
      </c>
      <c r="E63" s="24">
        <f t="shared" si="25"/>
        <v>270043103.2</v>
      </c>
      <c r="F63" s="24">
        <f t="shared" si="25"/>
        <v>15608866252</v>
      </c>
      <c r="G63" s="24">
        <f t="shared" si="25"/>
        <v>6690114170</v>
      </c>
      <c r="H63" s="24">
        <f t="shared" si="25"/>
        <v>92129</v>
      </c>
      <c r="I63" s="24">
        <f t="shared" si="25"/>
        <v>23419790.82</v>
      </c>
      <c r="J63" s="24">
        <f t="shared" si="25"/>
        <v>97294422.77</v>
      </c>
      <c r="K63" s="24">
        <f t="shared" si="25"/>
        <v>-73874631.95</v>
      </c>
      <c r="L63" s="24">
        <f t="shared" si="25"/>
        <v>844370927.6</v>
      </c>
      <c r="M63" s="24">
        <f t="shared" si="25"/>
        <v>9375933603</v>
      </c>
      <c r="N63" s="24">
        <f t="shared" si="25"/>
        <v>-8531562675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69</v>
      </c>
      <c r="B64" s="2"/>
      <c r="C64" s="3"/>
      <c r="D64" s="6"/>
      <c r="E64" s="6"/>
      <c r="F64" s="6"/>
      <c r="G64" s="6"/>
      <c r="H64" s="5"/>
      <c r="I64" s="6"/>
      <c r="J64" s="4"/>
      <c r="K64" s="4"/>
      <c r="L64" s="4"/>
      <c r="M64" s="4"/>
      <c r="N64" s="4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18" t="s">
        <v>20</v>
      </c>
      <c r="B65" s="2"/>
      <c r="C65" s="3"/>
      <c r="D65" s="6"/>
      <c r="E65" s="6"/>
      <c r="F65" s="6"/>
      <c r="G65" s="6"/>
      <c r="H65" s="5"/>
      <c r="I65" s="6"/>
      <c r="J65" s="4"/>
      <c r="K65" s="4"/>
      <c r="L65" s="4"/>
      <c r="M65" s="4"/>
      <c r="N65" s="4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70</v>
      </c>
      <c r="D66" s="6">
        <v>4.055783744484E10</v>
      </c>
      <c r="E66" s="6">
        <v>2.0322093655E8</v>
      </c>
      <c r="F66" s="6">
        <f t="shared" ref="F66:F76" si="26">D66-E66</f>
        <v>40354616508</v>
      </c>
      <c r="G66" s="6">
        <v>9.116642E8</v>
      </c>
      <c r="H66" s="5">
        <v>25511.0</v>
      </c>
      <c r="I66" s="6">
        <v>1.8378830773E8</v>
      </c>
      <c r="J66" s="4">
        <v>7.0661170825E8</v>
      </c>
      <c r="K66" s="4">
        <f t="shared" ref="K66:K76" si="27">I66-J66</f>
        <v>-522823400.5</v>
      </c>
      <c r="L66" s="4">
        <f>I66+Sep!L65</f>
        <v>2654346548</v>
      </c>
      <c r="M66" s="4">
        <f>J66+Sep!M65</f>
        <v>6534652398</v>
      </c>
      <c r="N66" s="4">
        <f t="shared" ref="N66:N76" si="28">L66-M66</f>
        <v>-3880305850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239</v>
      </c>
      <c r="D67" s="6">
        <v>3.975218943E8</v>
      </c>
      <c r="E67" s="6">
        <v>4757185.27</v>
      </c>
      <c r="F67" s="6">
        <f t="shared" si="26"/>
        <v>392764709</v>
      </c>
      <c r="G67" s="6">
        <v>0.0</v>
      </c>
      <c r="H67" s="5">
        <v>1068.0</v>
      </c>
      <c r="I67" s="6">
        <v>5969914.060000001</v>
      </c>
      <c r="J67" s="4">
        <v>1278355.2900000003</v>
      </c>
      <c r="K67" s="4">
        <f t="shared" si="27"/>
        <v>4691558.77</v>
      </c>
      <c r="L67" s="4">
        <f>I67+Sep!L66</f>
        <v>133353272.5</v>
      </c>
      <c r="M67" s="4">
        <f>J67+Sep!M66</f>
        <v>29385712.44</v>
      </c>
      <c r="N67" s="4">
        <f t="shared" si="28"/>
        <v>103967560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v>45.0</v>
      </c>
      <c r="C68" s="3" t="s">
        <v>72</v>
      </c>
      <c r="D68" s="6">
        <v>1.14532185045E9</v>
      </c>
      <c r="E68" s="6">
        <v>1.758071788E7</v>
      </c>
      <c r="F68" s="6">
        <f t="shared" si="26"/>
        <v>1127741133</v>
      </c>
      <c r="G68" s="6">
        <v>0.0</v>
      </c>
      <c r="H68" s="5">
        <v>2009.0</v>
      </c>
      <c r="I68" s="6">
        <v>2687609.6100000064</v>
      </c>
      <c r="J68" s="4">
        <v>1.3450789259999998E7</v>
      </c>
      <c r="K68" s="4">
        <f t="shared" si="27"/>
        <v>-10763179.65</v>
      </c>
      <c r="L68" s="4">
        <f>I68+Sep!L67</f>
        <v>134670352.1</v>
      </c>
      <c r="M68" s="4">
        <f>J68+Sep!M67</f>
        <v>221284340.9</v>
      </c>
      <c r="N68" s="4">
        <f t="shared" si="28"/>
        <v>-86613988.84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1"/>
      <c r="B69" s="2">
        <v>46.0</v>
      </c>
      <c r="C69" s="3" t="s">
        <v>73</v>
      </c>
      <c r="D69" s="6">
        <v>1.8984333466E8</v>
      </c>
      <c r="E69" s="6">
        <v>288489.74</v>
      </c>
      <c r="F69" s="6">
        <f t="shared" si="26"/>
        <v>189554844.9</v>
      </c>
      <c r="G69" s="6">
        <v>4850000.0</v>
      </c>
      <c r="H69" s="5">
        <v>164.0</v>
      </c>
      <c r="I69" s="6">
        <v>125486.5</v>
      </c>
      <c r="J69" s="4">
        <v>133186.21</v>
      </c>
      <c r="K69" s="4">
        <f t="shared" si="27"/>
        <v>-7699.71</v>
      </c>
      <c r="L69" s="4">
        <f>I69+Sep!L68</f>
        <v>4527069.78</v>
      </c>
      <c r="M69" s="4">
        <f>J69+Sep!M68</f>
        <v>9667316.97</v>
      </c>
      <c r="N69" s="4">
        <f t="shared" si="28"/>
        <v>-5140247.19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74</v>
      </c>
      <c r="D70" s="6">
        <v>1.30131573057E9</v>
      </c>
      <c r="E70" s="6">
        <v>2557722.25</v>
      </c>
      <c r="F70" s="6">
        <f t="shared" si="26"/>
        <v>1298758008</v>
      </c>
      <c r="G70" s="6">
        <v>0.0</v>
      </c>
      <c r="H70" s="5">
        <v>1827.0</v>
      </c>
      <c r="I70" s="6">
        <v>2056429.0</v>
      </c>
      <c r="J70" s="4">
        <v>3.190561629E7</v>
      </c>
      <c r="K70" s="4">
        <f t="shared" si="27"/>
        <v>-29849187.29</v>
      </c>
      <c r="L70" s="4">
        <f>I70+Sep!L69</f>
        <v>31392959.41</v>
      </c>
      <c r="M70" s="4">
        <f>J70+Sep!M69</f>
        <v>238894559.8</v>
      </c>
      <c r="N70" s="4">
        <f t="shared" si="28"/>
        <v>-207501600.4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75</v>
      </c>
      <c r="D71" s="6">
        <v>8.9808478837E8</v>
      </c>
      <c r="E71" s="6">
        <v>3.676620351E7</v>
      </c>
      <c r="F71" s="6">
        <f t="shared" si="26"/>
        <v>861318584.9</v>
      </c>
      <c r="G71" s="6">
        <v>0.0</v>
      </c>
      <c r="H71" s="5">
        <v>510.0</v>
      </c>
      <c r="I71" s="6">
        <v>1116167.08</v>
      </c>
      <c r="J71" s="4">
        <v>7010143.63</v>
      </c>
      <c r="K71" s="4">
        <f t="shared" si="27"/>
        <v>-5893976.55</v>
      </c>
      <c r="L71" s="4">
        <f>I71+Sep!L70</f>
        <v>25104594.73</v>
      </c>
      <c r="M71" s="4">
        <f>J71+Sep!M70</f>
        <v>150170721.1</v>
      </c>
      <c r="N71" s="4">
        <f t="shared" si="28"/>
        <v>-125066126.4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76</v>
      </c>
      <c r="D72" s="6">
        <v>1.73391894029E9</v>
      </c>
      <c r="E72" s="6">
        <v>2.918900428E7</v>
      </c>
      <c r="F72" s="6">
        <f t="shared" si="26"/>
        <v>1704729936</v>
      </c>
      <c r="G72" s="6">
        <v>0.0</v>
      </c>
      <c r="H72" s="5">
        <v>5073.0</v>
      </c>
      <c r="I72" s="6">
        <v>2913290.77</v>
      </c>
      <c r="J72" s="4">
        <v>1.41634114E7</v>
      </c>
      <c r="K72" s="4">
        <f t="shared" si="27"/>
        <v>-11250120.63</v>
      </c>
      <c r="L72" s="4">
        <f>I72+Sep!L71</f>
        <v>223938044.6</v>
      </c>
      <c r="M72" s="4">
        <f>J72+Sep!M71</f>
        <v>4946708081</v>
      </c>
      <c r="N72" s="4">
        <f t="shared" si="28"/>
        <v>-4722770036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77</v>
      </c>
      <c r="D73" s="6">
        <v>3.01260587980344E8</v>
      </c>
      <c r="E73" s="6">
        <v>414854.8063001</v>
      </c>
      <c r="F73" s="6">
        <f t="shared" si="26"/>
        <v>300845733.2</v>
      </c>
      <c r="G73" s="6">
        <v>0.0</v>
      </c>
      <c r="H73" s="5">
        <v>4162.0</v>
      </c>
      <c r="I73" s="6">
        <v>666659.0</v>
      </c>
      <c r="J73" s="4">
        <v>708249.09</v>
      </c>
      <c r="K73" s="4">
        <f t="shared" si="27"/>
        <v>-41590.09</v>
      </c>
      <c r="L73" s="4">
        <f>I73+Sep!L72</f>
        <v>31931122.1</v>
      </c>
      <c r="M73" s="4">
        <f>J73+Sep!M72</f>
        <v>32738707.2</v>
      </c>
      <c r="N73" s="4">
        <f t="shared" si="28"/>
        <v>-807585.1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78</v>
      </c>
      <c r="D74" s="6">
        <v>1.16128183033E9</v>
      </c>
      <c r="E74" s="28">
        <v>2729703.59</v>
      </c>
      <c r="F74" s="6">
        <f t="shared" si="26"/>
        <v>1158552127</v>
      </c>
      <c r="G74" s="6">
        <v>0.0</v>
      </c>
      <c r="H74" s="5">
        <v>755.0</v>
      </c>
      <c r="I74" s="6">
        <v>2.306667904E7</v>
      </c>
      <c r="J74" s="4">
        <v>3002946.0</v>
      </c>
      <c r="K74" s="4">
        <f t="shared" si="27"/>
        <v>20063733.04</v>
      </c>
      <c r="L74" s="4">
        <f>I74+Sep!L73</f>
        <v>274498550.2</v>
      </c>
      <c r="M74" s="4">
        <f>J74+Sep!M73</f>
        <v>13446799.13</v>
      </c>
      <c r="N74" s="4">
        <f t="shared" si="28"/>
        <v>261051751.1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79</v>
      </c>
      <c r="D75" s="6">
        <v>4.41532238617E9</v>
      </c>
      <c r="E75" s="6">
        <v>7165755.18</v>
      </c>
      <c r="F75" s="6">
        <f t="shared" si="26"/>
        <v>4408156631</v>
      </c>
      <c r="G75" s="6">
        <v>0.0</v>
      </c>
      <c r="H75" s="5">
        <v>16459.0</v>
      </c>
      <c r="I75" s="6">
        <v>4.11118153500002E7</v>
      </c>
      <c r="J75" s="4">
        <v>3.777831843E7</v>
      </c>
      <c r="K75" s="4">
        <f t="shared" si="27"/>
        <v>3333496.92</v>
      </c>
      <c r="L75" s="4">
        <f>I75+Sep!L74</f>
        <v>467318396.4</v>
      </c>
      <c r="M75" s="4">
        <f>J75+Sep!M74</f>
        <v>641628970.4</v>
      </c>
      <c r="N75" s="4">
        <f t="shared" si="28"/>
        <v>-174310573.9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v>53.0</v>
      </c>
      <c r="C76" s="3" t="s">
        <v>80</v>
      </c>
      <c r="D76" s="6">
        <v>1.3624805024E8</v>
      </c>
      <c r="E76" s="6">
        <v>543061.55</v>
      </c>
      <c r="F76" s="6">
        <f t="shared" si="26"/>
        <v>135704988.7</v>
      </c>
      <c r="G76" s="6">
        <v>0.0</v>
      </c>
      <c r="H76" s="5">
        <v>2614.0</v>
      </c>
      <c r="I76" s="6">
        <v>1179576.32</v>
      </c>
      <c r="J76" s="4">
        <v>497753.16</v>
      </c>
      <c r="K76" s="4">
        <f t="shared" si="27"/>
        <v>681823.16</v>
      </c>
      <c r="L76" s="4">
        <f>I76+Sep!L75</f>
        <v>7062781.75</v>
      </c>
      <c r="M76" s="4">
        <f>J76+Sep!M75</f>
        <v>28912145.01</v>
      </c>
      <c r="N76" s="4">
        <f t="shared" si="28"/>
        <v>-21849363.26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22" t="s">
        <v>44</v>
      </c>
      <c r="B77" s="1"/>
      <c r="C77" s="1"/>
      <c r="D77" s="24">
        <f t="shared" ref="D77:N77" si="29">SUM(D66:D76)</f>
        <v>52237956838</v>
      </c>
      <c r="E77" s="24">
        <f t="shared" si="29"/>
        <v>305213634.6</v>
      </c>
      <c r="F77" s="24">
        <f t="shared" si="29"/>
        <v>51932743204</v>
      </c>
      <c r="G77" s="24">
        <f t="shared" si="29"/>
        <v>916514200</v>
      </c>
      <c r="H77" s="24">
        <f t="shared" si="29"/>
        <v>60152</v>
      </c>
      <c r="I77" s="24">
        <f t="shared" si="29"/>
        <v>264681934.5</v>
      </c>
      <c r="J77" s="24">
        <f t="shared" si="29"/>
        <v>816540477</v>
      </c>
      <c r="K77" s="24">
        <f t="shared" si="29"/>
        <v>-551858542.6</v>
      </c>
      <c r="L77" s="24">
        <f t="shared" si="29"/>
        <v>3988143692</v>
      </c>
      <c r="M77" s="24">
        <f t="shared" si="29"/>
        <v>12847489752</v>
      </c>
      <c r="N77" s="24">
        <f t="shared" si="29"/>
        <v>-8859346060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45</v>
      </c>
      <c r="B78" s="2"/>
      <c r="C78" s="3"/>
      <c r="D78" s="6"/>
      <c r="E78" s="6"/>
      <c r="F78" s="6"/>
      <c r="G78" s="6"/>
      <c r="H78" s="5"/>
      <c r="I78" s="6"/>
      <c r="J78" s="4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81</v>
      </c>
      <c r="D79" s="6">
        <f>57.97*253563208.58</f>
        <v>14699059201</v>
      </c>
      <c r="E79" s="6">
        <f>57.97*1077132.92</f>
        <v>62441395.37</v>
      </c>
      <c r="F79" s="6">
        <f t="shared" ref="F79:F85" si="30">D79-E79</f>
        <v>14636617806</v>
      </c>
      <c r="G79" s="6">
        <v>0.0</v>
      </c>
      <c r="H79" s="5">
        <v>8963.0</v>
      </c>
      <c r="I79" s="6">
        <f>57.97*1090691.58</f>
        <v>63227390.89</v>
      </c>
      <c r="J79" s="4">
        <f>57.97*7749543.28</f>
        <v>449241023.9</v>
      </c>
      <c r="K79" s="4">
        <f t="shared" ref="K79:K85" si="31">I79-J79</f>
        <v>-386013633</v>
      </c>
      <c r="L79" s="4">
        <f>I79+Sep!L78</f>
        <v>920930704.1</v>
      </c>
      <c r="M79" s="4">
        <f>J79+Sep!M78</f>
        <v>5370381998</v>
      </c>
      <c r="N79" s="4">
        <f t="shared" ref="N79:N85" si="32">L79-M79</f>
        <v>-4449451294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240</v>
      </c>
      <c r="D80" s="6">
        <v>2.768905885328E8</v>
      </c>
      <c r="E80" s="6">
        <v>7038222.9159</v>
      </c>
      <c r="F80" s="6">
        <f t="shared" si="30"/>
        <v>269852365.6</v>
      </c>
      <c r="G80" s="6">
        <v>0.0</v>
      </c>
      <c r="H80" s="5">
        <v>180.0</v>
      </c>
      <c r="I80" s="6">
        <v>17359.7</v>
      </c>
      <c r="J80" s="4">
        <v>4744883.92</v>
      </c>
      <c r="K80" s="4">
        <f t="shared" si="31"/>
        <v>-4727524.22</v>
      </c>
      <c r="L80" s="4">
        <f>I80+Sep!L79</f>
        <v>20418131.87</v>
      </c>
      <c r="M80" s="4">
        <f>J80+Sep!M79</f>
        <v>511743417.6</v>
      </c>
      <c r="N80" s="4">
        <f t="shared" si="32"/>
        <v>-491325285.8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3"/>
      <c r="B81" s="2">
        <v>56.0</v>
      </c>
      <c r="C81" s="3" t="s">
        <v>83</v>
      </c>
      <c r="D81" s="6">
        <v>4.578277310629E8</v>
      </c>
      <c r="E81" s="6">
        <v>3140710.2539999997</v>
      </c>
      <c r="F81" s="6">
        <f t="shared" si="30"/>
        <v>454687020.8</v>
      </c>
      <c r="G81" s="6">
        <v>0.0</v>
      </c>
      <c r="H81" s="5">
        <v>147.0</v>
      </c>
      <c r="I81" s="6">
        <v>0.0</v>
      </c>
      <c r="J81" s="4">
        <v>150649.585674203</v>
      </c>
      <c r="K81" s="4">
        <f t="shared" si="31"/>
        <v>-150649.5857</v>
      </c>
      <c r="L81" s="4">
        <f>I81+Sep!L80</f>
        <v>15846820.63</v>
      </c>
      <c r="M81" s="4">
        <f>J81+Sep!M80</f>
        <v>319142337.1</v>
      </c>
      <c r="N81" s="4">
        <f t="shared" si="32"/>
        <v>-303295516.5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1.25" customHeight="1">
      <c r="A82" s="18"/>
      <c r="B82" s="2">
        <v>57.0</v>
      </c>
      <c r="C82" s="3" t="s">
        <v>84</v>
      </c>
      <c r="D82" s="6">
        <f>57.97*1113028.68</f>
        <v>64522272.58</v>
      </c>
      <c r="E82" s="6">
        <f>57.97*237490.74</f>
        <v>13767338.2</v>
      </c>
      <c r="F82" s="6">
        <f t="shared" si="30"/>
        <v>50754934.38</v>
      </c>
      <c r="G82" s="6">
        <v>0.0</v>
      </c>
      <c r="H82" s="5">
        <v>26.0</v>
      </c>
      <c r="I82" s="6">
        <v>0.0</v>
      </c>
      <c r="J82" s="6">
        <v>0.0</v>
      </c>
      <c r="K82" s="4">
        <f t="shared" si="31"/>
        <v>0</v>
      </c>
      <c r="L82" s="4">
        <f>I82+Sep!L81</f>
        <v>684910.0473</v>
      </c>
      <c r="M82" s="4">
        <f>J82+Sep!M81</f>
        <v>1188416.954</v>
      </c>
      <c r="N82" s="4">
        <f t="shared" si="32"/>
        <v>-503506.9064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85</v>
      </c>
      <c r="D83" s="6">
        <f>57.97*35099120.52</f>
        <v>2034696017</v>
      </c>
      <c r="E83" s="6">
        <f>57.97*415339.91</f>
        <v>24077254.58</v>
      </c>
      <c r="F83" s="6">
        <f t="shared" si="30"/>
        <v>2010618762</v>
      </c>
      <c r="G83" s="6">
        <v>0.0</v>
      </c>
      <c r="H83" s="5">
        <v>1950.0</v>
      </c>
      <c r="I83" s="6">
        <f>57.97*199.9</f>
        <v>11588.203</v>
      </c>
      <c r="J83" s="6">
        <f>57.97*1868893.46</f>
        <v>108339753.9</v>
      </c>
      <c r="K83" s="4">
        <f t="shared" si="31"/>
        <v>-108328165.7</v>
      </c>
      <c r="L83" s="4">
        <f>I83+Sep!L82</f>
        <v>268698248.5</v>
      </c>
      <c r="M83" s="4">
        <f>J83+Sep!M82</f>
        <v>647909762.5</v>
      </c>
      <c r="N83" s="4">
        <f t="shared" si="32"/>
        <v>-379211514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86</v>
      </c>
      <c r="D84" s="6">
        <v>2.433330581187E8</v>
      </c>
      <c r="E84" s="6">
        <v>661568.7122</v>
      </c>
      <c r="F84" s="6">
        <f t="shared" si="30"/>
        <v>242671489.4</v>
      </c>
      <c r="G84" s="6">
        <v>0.0</v>
      </c>
      <c r="H84" s="5">
        <v>124.0</v>
      </c>
      <c r="I84" s="6">
        <v>0.0</v>
      </c>
      <c r="J84" s="4">
        <v>267268.37</v>
      </c>
      <c r="K84" s="4">
        <f t="shared" si="31"/>
        <v>-267268.37</v>
      </c>
      <c r="L84" s="4">
        <f>I84+Sep!L83</f>
        <v>1298531.38</v>
      </c>
      <c r="M84" s="4">
        <f>J84+Sep!M83</f>
        <v>2421495.16</v>
      </c>
      <c r="N84" s="4">
        <f t="shared" si="32"/>
        <v>-1122963.78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3"/>
      <c r="B85" s="2">
        <v>60.0</v>
      </c>
      <c r="C85" s="3" t="s">
        <v>87</v>
      </c>
      <c r="D85" s="6">
        <f>57.97*8003139.59</f>
        <v>463942002</v>
      </c>
      <c r="E85" s="6">
        <f>57.97*51501.93</f>
        <v>2985566.882</v>
      </c>
      <c r="F85" s="6">
        <f t="shared" si="30"/>
        <v>460956435.2</v>
      </c>
      <c r="G85" s="6">
        <v>0.0</v>
      </c>
      <c r="H85" s="5">
        <v>2529.0</v>
      </c>
      <c r="I85" s="6">
        <f>57.97*4837.94</f>
        <v>280455.3818</v>
      </c>
      <c r="J85" s="4">
        <f>57.97*26669.12</f>
        <v>1546008.886</v>
      </c>
      <c r="K85" s="4">
        <f t="shared" si="31"/>
        <v>-1265553.505</v>
      </c>
      <c r="L85" s="4">
        <f>I85+Sep!L84</f>
        <v>25577310.92</v>
      </c>
      <c r="M85" s="4">
        <f>J85+Sep!M84</f>
        <v>58819636.1</v>
      </c>
      <c r="N85" s="4">
        <f t="shared" si="32"/>
        <v>-33242325.18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22" t="s">
        <v>88</v>
      </c>
      <c r="B86" s="23"/>
      <c r="C86" s="29"/>
      <c r="D86" s="24">
        <f t="shared" ref="D86:N86" si="33">SUM(D79:D85)</f>
        <v>18240270870</v>
      </c>
      <c r="E86" s="24">
        <f t="shared" si="33"/>
        <v>114112056.9</v>
      </c>
      <c r="F86" s="24">
        <f t="shared" si="33"/>
        <v>18126158813</v>
      </c>
      <c r="G86" s="24">
        <f t="shared" si="33"/>
        <v>0</v>
      </c>
      <c r="H86" s="24">
        <f t="shared" si="33"/>
        <v>13919</v>
      </c>
      <c r="I86" s="24">
        <f t="shared" si="33"/>
        <v>63536794.18</v>
      </c>
      <c r="J86" s="24">
        <f t="shared" si="33"/>
        <v>564289588.6</v>
      </c>
      <c r="K86" s="24">
        <f t="shared" si="33"/>
        <v>-500752794.4</v>
      </c>
      <c r="L86" s="24">
        <f t="shared" si="33"/>
        <v>1253454657</v>
      </c>
      <c r="M86" s="24">
        <f t="shared" si="33"/>
        <v>6911607063</v>
      </c>
      <c r="N86" s="24">
        <f t="shared" si="33"/>
        <v>-5658152406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v>61.0</v>
      </c>
      <c r="C87" s="3" t="s">
        <v>89</v>
      </c>
      <c r="D87" s="6">
        <f>57.616383*15487369.09</f>
        <v>892326189.2</v>
      </c>
      <c r="E87" s="6">
        <f>57.616383*89259.91</f>
        <v>5142833.161</v>
      </c>
      <c r="F87" s="6">
        <f>D87-E87</f>
        <v>887183356</v>
      </c>
      <c r="G87" s="6">
        <v>0.0</v>
      </c>
      <c r="H87" s="5">
        <v>668.0</v>
      </c>
      <c r="I87" s="6">
        <f>57.616383*31767.96</f>
        <v>1830354.95</v>
      </c>
      <c r="J87" s="4">
        <f>57.616383*30123.69</f>
        <v>1735618.06</v>
      </c>
      <c r="K87" s="4">
        <f>I87-J87</f>
        <v>94736.89008</v>
      </c>
      <c r="L87" s="4">
        <f>I87+Sep!L86</f>
        <v>35152420.46</v>
      </c>
      <c r="M87" s="4">
        <f>J87+Sep!M86</f>
        <v>83544559.89</v>
      </c>
      <c r="N87" s="4">
        <f>L87-M87</f>
        <v>-48392139.43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22" t="s">
        <v>90</v>
      </c>
      <c r="B88" s="29"/>
      <c r="C88" s="1"/>
      <c r="D88" s="24">
        <f t="shared" ref="D88:N88" si="34">SUM(D87)</f>
        <v>892326189.2</v>
      </c>
      <c r="E88" s="24">
        <f t="shared" si="34"/>
        <v>5142833.161</v>
      </c>
      <c r="F88" s="24">
        <f t="shared" si="34"/>
        <v>887183356</v>
      </c>
      <c r="G88" s="24">
        <f t="shared" si="34"/>
        <v>0</v>
      </c>
      <c r="H88" s="24">
        <f t="shared" si="34"/>
        <v>668</v>
      </c>
      <c r="I88" s="24">
        <f t="shared" si="34"/>
        <v>1830354.95</v>
      </c>
      <c r="J88" s="24">
        <f t="shared" si="34"/>
        <v>1735618.06</v>
      </c>
      <c r="K88" s="24">
        <f t="shared" si="34"/>
        <v>94736.89008</v>
      </c>
      <c r="L88" s="24">
        <f t="shared" si="34"/>
        <v>35152420.46</v>
      </c>
      <c r="M88" s="24">
        <f t="shared" si="34"/>
        <v>83544559.89</v>
      </c>
      <c r="N88" s="24">
        <f t="shared" si="34"/>
        <v>-48392139.43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91</v>
      </c>
      <c r="B89" s="23"/>
      <c r="C89" s="29"/>
      <c r="D89" s="24">
        <f t="shared" ref="D89:N89" si="35">D77+D86+D88</f>
        <v>71370553898</v>
      </c>
      <c r="E89" s="24">
        <f t="shared" si="35"/>
        <v>424468524.7</v>
      </c>
      <c r="F89" s="24">
        <f t="shared" si="35"/>
        <v>70946085373</v>
      </c>
      <c r="G89" s="24">
        <f t="shared" si="35"/>
        <v>916514200</v>
      </c>
      <c r="H89" s="24">
        <f t="shared" si="35"/>
        <v>74739</v>
      </c>
      <c r="I89" s="24">
        <f t="shared" si="35"/>
        <v>330049083.6</v>
      </c>
      <c r="J89" s="24">
        <f t="shared" si="35"/>
        <v>1382565684</v>
      </c>
      <c r="K89" s="24">
        <f t="shared" si="35"/>
        <v>-1052516600</v>
      </c>
      <c r="L89" s="24">
        <f t="shared" si="35"/>
        <v>5276750770</v>
      </c>
      <c r="M89" s="24">
        <f t="shared" si="35"/>
        <v>19842641375</v>
      </c>
      <c r="N89" s="24">
        <f t="shared" si="35"/>
        <v>-14565890605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" t="s">
        <v>92</v>
      </c>
      <c r="B90" s="2"/>
      <c r="C90" s="30"/>
      <c r="D90" s="6"/>
      <c r="E90" s="6"/>
      <c r="F90" s="6"/>
      <c r="G90" s="6"/>
      <c r="H90" s="5"/>
      <c r="I90" s="6"/>
      <c r="J90" s="4"/>
      <c r="K90" s="4"/>
      <c r="L90" s="4"/>
      <c r="M90" s="4"/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 t="s">
        <v>20</v>
      </c>
      <c r="B91" s="2"/>
      <c r="C91" s="30"/>
      <c r="D91" s="6"/>
      <c r="E91" s="6"/>
      <c r="F91" s="6"/>
      <c r="G91" s="6"/>
      <c r="H91" s="5"/>
      <c r="I91" s="6"/>
      <c r="J91" s="4"/>
      <c r="K91" s="4"/>
      <c r="L91" s="4"/>
      <c r="M91" s="4"/>
      <c r="N91" s="4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93</v>
      </c>
      <c r="D92" s="6">
        <v>4.956608254233E10</v>
      </c>
      <c r="E92" s="6">
        <v>2.209474397E7</v>
      </c>
      <c r="F92" s="6">
        <f t="shared" ref="F92:F94" si="36">D92-E92</f>
        <v>49543987798</v>
      </c>
      <c r="G92" s="6">
        <v>0.0</v>
      </c>
      <c r="H92" s="5">
        <v>32756.0</v>
      </c>
      <c r="I92" s="6">
        <v>5.574952256E9</v>
      </c>
      <c r="J92" s="4">
        <v>5.78540886197E9</v>
      </c>
      <c r="K92" s="4">
        <f t="shared" ref="K92:K94" si="37">I92-J92</f>
        <v>-210456606</v>
      </c>
      <c r="L92" s="4">
        <f>I92+Sep!L91</f>
        <v>37851839497</v>
      </c>
      <c r="M92" s="4">
        <f>J92+Sep!M91</f>
        <v>36118227040</v>
      </c>
      <c r="N92" s="4">
        <f t="shared" ref="N92:N96" si="38">L92-M92</f>
        <v>1733612456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8"/>
      <c r="B93" s="2">
        <v>63.0</v>
      </c>
      <c r="C93" s="3" t="s">
        <v>94</v>
      </c>
      <c r="D93" s="6">
        <v>3.09428435443E9</v>
      </c>
      <c r="E93" s="6">
        <v>6083550.4</v>
      </c>
      <c r="F93" s="6">
        <f t="shared" si="36"/>
        <v>3088200804</v>
      </c>
      <c r="G93" s="6">
        <v>0.0</v>
      </c>
      <c r="H93" s="5">
        <v>671.0</v>
      </c>
      <c r="I93" s="6">
        <v>3.119741025E7</v>
      </c>
      <c r="J93" s="4">
        <v>4.910310273E7</v>
      </c>
      <c r="K93" s="4">
        <f t="shared" si="37"/>
        <v>-17905692.48</v>
      </c>
      <c r="L93" s="4">
        <f>I93+Sep!L92</f>
        <v>2553139956</v>
      </c>
      <c r="M93" s="4">
        <f>J93+Sep!M92</f>
        <v>2267477105</v>
      </c>
      <c r="N93" s="4">
        <f t="shared" si="38"/>
        <v>285662851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"/>
      <c r="B94" s="2">
        <v>64.0</v>
      </c>
      <c r="C94" s="3" t="s">
        <v>95</v>
      </c>
      <c r="D94" s="6">
        <v>7.195486343457E10</v>
      </c>
      <c r="E94" s="6">
        <v>1.00872188353E9</v>
      </c>
      <c r="F94" s="6">
        <f t="shared" si="36"/>
        <v>70946141551</v>
      </c>
      <c r="G94" s="6">
        <v>0.0</v>
      </c>
      <c r="H94" s="5">
        <v>64855.0</v>
      </c>
      <c r="I94" s="6">
        <v>3.39253571553E9</v>
      </c>
      <c r="J94" s="4">
        <v>2.223539943491E10</v>
      </c>
      <c r="K94" s="4">
        <f t="shared" si="37"/>
        <v>-18842863719</v>
      </c>
      <c r="L94" s="4">
        <f>I94+Sep!L93</f>
        <v>138786421396</v>
      </c>
      <c r="M94" s="4">
        <f>J94+Sep!M93</f>
        <v>196535056137</v>
      </c>
      <c r="N94" s="4">
        <f t="shared" si="38"/>
        <v>-57748634741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40</v>
      </c>
      <c r="B95" s="2"/>
      <c r="C95" s="3"/>
      <c r="D95" s="6"/>
      <c r="E95" s="6"/>
      <c r="F95" s="6"/>
      <c r="G95" s="6"/>
      <c r="H95" s="5"/>
      <c r="I95" s="6"/>
      <c r="J95" s="4"/>
      <c r="K95" s="4"/>
      <c r="L95" s="4"/>
      <c r="M95" s="4"/>
      <c r="N95" s="4">
        <f t="shared" si="38"/>
        <v>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65.0</v>
      </c>
      <c r="C96" s="3" t="s">
        <v>93</v>
      </c>
      <c r="D96" s="6">
        <v>2.34784429056E9</v>
      </c>
      <c r="E96" s="6">
        <v>1993000.5</v>
      </c>
      <c r="F96" s="6">
        <f>D96-E96</f>
        <v>2345851290</v>
      </c>
      <c r="G96" s="6">
        <v>0.0</v>
      </c>
      <c r="H96" s="5">
        <v>2298.0</v>
      </c>
      <c r="I96" s="6">
        <v>1.26680510474E9</v>
      </c>
      <c r="J96" s="4">
        <v>2.4690678482E8</v>
      </c>
      <c r="K96" s="4">
        <f>I96-J96</f>
        <v>1019898320</v>
      </c>
      <c r="L96" s="4">
        <f>I96+Sep!L95</f>
        <v>2689326803</v>
      </c>
      <c r="M96" s="4">
        <f>J96+Sep!M95</f>
        <v>345839986.9</v>
      </c>
      <c r="N96" s="4">
        <f t="shared" si="38"/>
        <v>2343486817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2" t="s">
        <v>44</v>
      </c>
      <c r="B97" s="2"/>
      <c r="C97" s="3"/>
      <c r="D97" s="24">
        <f t="shared" ref="D97:N97" si="39">SUM(D92:D94)+D96</f>
        <v>126963074622</v>
      </c>
      <c r="E97" s="24">
        <f t="shared" si="39"/>
        <v>1038893178</v>
      </c>
      <c r="F97" s="24">
        <f t="shared" si="39"/>
        <v>125924181443</v>
      </c>
      <c r="G97" s="24">
        <f t="shared" si="39"/>
        <v>0</v>
      </c>
      <c r="H97" s="24">
        <f t="shared" si="39"/>
        <v>100580</v>
      </c>
      <c r="I97" s="24">
        <f t="shared" si="39"/>
        <v>10265490487</v>
      </c>
      <c r="J97" s="24">
        <f t="shared" si="39"/>
        <v>28316818184</v>
      </c>
      <c r="K97" s="24">
        <f t="shared" si="39"/>
        <v>-18051327698</v>
      </c>
      <c r="L97" s="24">
        <f t="shared" si="39"/>
        <v>181880727653</v>
      </c>
      <c r="M97" s="24">
        <f t="shared" si="39"/>
        <v>235266600270</v>
      </c>
      <c r="N97" s="24">
        <f t="shared" si="39"/>
        <v>-53385872617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8" t="s">
        <v>45</v>
      </c>
      <c r="B98" s="2"/>
      <c r="C98" s="3"/>
      <c r="D98" s="6"/>
      <c r="E98" s="6"/>
      <c r="F98" s="6"/>
      <c r="G98" s="6"/>
      <c r="H98" s="5"/>
      <c r="I98" s="6"/>
      <c r="J98" s="4"/>
      <c r="K98" s="4"/>
      <c r="L98" s="4"/>
      <c r="M98" s="4"/>
      <c r="N98" s="4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/>
      <c r="B99" s="2">
        <v>66.0</v>
      </c>
      <c r="C99" s="3" t="s">
        <v>96</v>
      </c>
      <c r="D99" s="6">
        <f>57.97*134661266.34</f>
        <v>7806313610</v>
      </c>
      <c r="E99" s="6">
        <f>57.97*597639.2</f>
        <v>34645144.42</v>
      </c>
      <c r="F99" s="6">
        <f>D99-E99</f>
        <v>7771668465</v>
      </c>
      <c r="G99" s="6">
        <v>0.0</v>
      </c>
      <c r="H99" s="5">
        <v>3312.0</v>
      </c>
      <c r="I99" s="6">
        <f>57.97*20066693.99</f>
        <v>1163266251</v>
      </c>
      <c r="J99" s="6">
        <f>57.97*38447141.17</f>
        <v>2228780774</v>
      </c>
      <c r="K99" s="4">
        <f>I99-J99</f>
        <v>-1065514523</v>
      </c>
      <c r="L99" s="4">
        <f>I99+Sep!L98</f>
        <v>22829773975</v>
      </c>
      <c r="M99" s="4">
        <f>J99+Sep!M98</f>
        <v>26169942662</v>
      </c>
      <c r="N99" s="4">
        <f>L99-M99</f>
        <v>-3340168686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2" t="s">
        <v>88</v>
      </c>
      <c r="B100" s="2"/>
      <c r="C100" s="3"/>
      <c r="D100" s="24">
        <f t="shared" ref="D100:N100" si="40">SUM(D99)</f>
        <v>7806313610</v>
      </c>
      <c r="E100" s="24">
        <f t="shared" si="40"/>
        <v>34645144.42</v>
      </c>
      <c r="F100" s="24">
        <f t="shared" si="40"/>
        <v>7771668465</v>
      </c>
      <c r="G100" s="24">
        <f t="shared" si="40"/>
        <v>0</v>
      </c>
      <c r="H100" s="24">
        <f t="shared" si="40"/>
        <v>3312</v>
      </c>
      <c r="I100" s="24">
        <f t="shared" si="40"/>
        <v>1163266251</v>
      </c>
      <c r="J100" s="24">
        <f t="shared" si="40"/>
        <v>2228780774</v>
      </c>
      <c r="K100" s="24">
        <f t="shared" si="40"/>
        <v>-1065514523</v>
      </c>
      <c r="L100" s="24">
        <f t="shared" si="40"/>
        <v>22829773975</v>
      </c>
      <c r="M100" s="24">
        <f t="shared" si="40"/>
        <v>26169942662</v>
      </c>
      <c r="N100" s="24">
        <f t="shared" si="40"/>
        <v>-3340168686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" t="s">
        <v>97</v>
      </c>
      <c r="B101" s="2"/>
      <c r="C101" s="3"/>
      <c r="D101" s="24">
        <f t="shared" ref="D101:N101" si="41">D97+D100</f>
        <v>134769388232</v>
      </c>
      <c r="E101" s="24">
        <f t="shared" si="41"/>
        <v>1073538323</v>
      </c>
      <c r="F101" s="24">
        <f t="shared" si="41"/>
        <v>133695849909</v>
      </c>
      <c r="G101" s="24">
        <f t="shared" si="41"/>
        <v>0</v>
      </c>
      <c r="H101" s="24">
        <f t="shared" si="41"/>
        <v>103892</v>
      </c>
      <c r="I101" s="24">
        <f t="shared" si="41"/>
        <v>11428756737</v>
      </c>
      <c r="J101" s="24">
        <f t="shared" si="41"/>
        <v>30545598958</v>
      </c>
      <c r="K101" s="24">
        <f t="shared" si="41"/>
        <v>-19116842221</v>
      </c>
      <c r="L101" s="24">
        <f t="shared" si="41"/>
        <v>204710501628</v>
      </c>
      <c r="M101" s="24">
        <f t="shared" si="41"/>
        <v>261436542932</v>
      </c>
      <c r="N101" s="24">
        <f t="shared" si="41"/>
        <v>-56726041303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 t="s">
        <v>98</v>
      </c>
      <c r="B102" s="2"/>
      <c r="C102" s="3"/>
      <c r="D102" s="6"/>
      <c r="E102" s="6"/>
      <c r="F102" s="6"/>
      <c r="G102" s="6"/>
      <c r="H102" s="5"/>
      <c r="I102" s="6"/>
      <c r="J102" s="6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8" t="s">
        <v>99</v>
      </c>
      <c r="B103" s="2"/>
      <c r="C103" s="3"/>
      <c r="D103" s="6"/>
      <c r="E103" s="6"/>
      <c r="F103" s="6"/>
      <c r="G103" s="6"/>
      <c r="H103" s="5"/>
      <c r="I103" s="6"/>
      <c r="J103" s="6"/>
      <c r="K103" s="4"/>
      <c r="L103" s="4"/>
      <c r="M103" s="4"/>
      <c r="N103" s="4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/>
      <c r="B104" s="2">
        <v>67.0</v>
      </c>
      <c r="C104" s="3" t="s">
        <v>100</v>
      </c>
      <c r="D104" s="6">
        <v>9.3427775842E9</v>
      </c>
      <c r="E104" s="6">
        <v>1.27653255E7</v>
      </c>
      <c r="F104" s="6">
        <f t="shared" ref="F104:F105" si="42">D104-E104</f>
        <v>9330012259</v>
      </c>
      <c r="G104" s="6">
        <v>0.0</v>
      </c>
      <c r="H104" s="5">
        <v>50699.0</v>
      </c>
      <c r="I104" s="6">
        <v>5.802817124E7</v>
      </c>
      <c r="J104" s="6">
        <v>9.629336587E7</v>
      </c>
      <c r="K104" s="4">
        <f t="shared" ref="K104:K105" si="43">I104-J104</f>
        <v>-38265194.63</v>
      </c>
      <c r="L104" s="4">
        <f>I104+Sep!L103</f>
        <v>3218032644</v>
      </c>
      <c r="M104" s="4">
        <f>J104+Sep!M103</f>
        <v>846123173.4</v>
      </c>
      <c r="N104" s="4">
        <f t="shared" ref="N104:N105" si="44">L104-M104</f>
        <v>2371909470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68.0</v>
      </c>
      <c r="C105" s="3" t="s">
        <v>101</v>
      </c>
      <c r="D105" s="6">
        <v>3.29883274953E9</v>
      </c>
      <c r="E105" s="6">
        <v>8661640.72</v>
      </c>
      <c r="F105" s="6">
        <f t="shared" si="42"/>
        <v>3290171109</v>
      </c>
      <c r="G105" s="6">
        <v>0.0</v>
      </c>
      <c r="H105" s="5">
        <v>5834.0</v>
      </c>
      <c r="I105" s="6">
        <v>2.804004408E7</v>
      </c>
      <c r="J105" s="6">
        <v>5.702432155E7</v>
      </c>
      <c r="K105" s="4">
        <f t="shared" si="43"/>
        <v>-28984277.47</v>
      </c>
      <c r="L105" s="4">
        <f>I105+Sep!L104</f>
        <v>1114424078</v>
      </c>
      <c r="M105" s="4">
        <f>J105+Sep!M104</f>
        <v>1198934708</v>
      </c>
      <c r="N105" s="4">
        <f t="shared" si="44"/>
        <v>-84510629.07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2" t="s">
        <v>44</v>
      </c>
      <c r="B106" s="2"/>
      <c r="C106" s="3"/>
      <c r="D106" s="24">
        <f t="shared" ref="D106:N106" si="45">D104+D105</f>
        <v>12641610334</v>
      </c>
      <c r="E106" s="24">
        <f t="shared" si="45"/>
        <v>21426966.22</v>
      </c>
      <c r="F106" s="24">
        <f t="shared" si="45"/>
        <v>12620183368</v>
      </c>
      <c r="G106" s="24">
        <f t="shared" si="45"/>
        <v>0</v>
      </c>
      <c r="H106" s="24">
        <f t="shared" si="45"/>
        <v>56533</v>
      </c>
      <c r="I106" s="24">
        <f t="shared" si="45"/>
        <v>86068215.32</v>
      </c>
      <c r="J106" s="24">
        <f t="shared" si="45"/>
        <v>153317687.4</v>
      </c>
      <c r="K106" s="24">
        <f t="shared" si="45"/>
        <v>-67249472.1</v>
      </c>
      <c r="L106" s="24">
        <f t="shared" si="45"/>
        <v>4332456722</v>
      </c>
      <c r="M106" s="24">
        <f t="shared" si="45"/>
        <v>2045057881</v>
      </c>
      <c r="N106" s="24">
        <f t="shared" si="45"/>
        <v>2287398841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102</v>
      </c>
      <c r="B107" s="2"/>
      <c r="C107" s="3"/>
      <c r="D107" s="6"/>
      <c r="E107" s="6"/>
      <c r="F107" s="6"/>
      <c r="G107" s="6"/>
      <c r="H107" s="5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"/>
      <c r="B108" s="2">
        <v>69.0</v>
      </c>
      <c r="C108" s="3" t="s">
        <v>103</v>
      </c>
      <c r="D108" s="6">
        <f>57.97*175203966.47</f>
        <v>10156573936</v>
      </c>
      <c r="E108" s="6">
        <f>57.97*375820.01</f>
        <v>21786285.98</v>
      </c>
      <c r="F108" s="6">
        <f>D108-E108</f>
        <v>10134787650</v>
      </c>
      <c r="G108" s="6">
        <v>0.0</v>
      </c>
      <c r="H108" s="5">
        <v>8260.0</v>
      </c>
      <c r="I108" s="6">
        <f>57.97*787004.95</f>
        <v>45622676.95</v>
      </c>
      <c r="J108" s="6">
        <f>57.97*2329696.86</f>
        <v>135052527</v>
      </c>
      <c r="K108" s="4">
        <f>I108-J108</f>
        <v>-89429850.02</v>
      </c>
      <c r="L108" s="4">
        <f>I108+Sep!L107</f>
        <v>1607049455</v>
      </c>
      <c r="M108" s="4">
        <f>J108+Sep!M107</f>
        <v>1214190506</v>
      </c>
      <c r="N108" s="4">
        <f>L108-M108</f>
        <v>392858949.1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22" t="s">
        <v>88</v>
      </c>
      <c r="B109" s="23"/>
      <c r="C109" s="1"/>
      <c r="D109" s="24">
        <f t="shared" ref="D109:N109" si="46">SUM(D108)</f>
        <v>10156573936</v>
      </c>
      <c r="E109" s="24">
        <f t="shared" si="46"/>
        <v>21786285.98</v>
      </c>
      <c r="F109" s="24">
        <f t="shared" si="46"/>
        <v>10134787650</v>
      </c>
      <c r="G109" s="24">
        <f t="shared" si="46"/>
        <v>0</v>
      </c>
      <c r="H109" s="24">
        <f t="shared" si="46"/>
        <v>8260</v>
      </c>
      <c r="I109" s="24">
        <f t="shared" si="46"/>
        <v>45622676.95</v>
      </c>
      <c r="J109" s="24">
        <f t="shared" si="46"/>
        <v>135052527</v>
      </c>
      <c r="K109" s="24">
        <f t="shared" si="46"/>
        <v>-89429850.02</v>
      </c>
      <c r="L109" s="24">
        <f t="shared" si="46"/>
        <v>1607049455</v>
      </c>
      <c r="M109" s="24">
        <f t="shared" si="46"/>
        <v>1214190506</v>
      </c>
      <c r="N109" s="24">
        <f t="shared" si="46"/>
        <v>392858949.1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 t="s">
        <v>104</v>
      </c>
      <c r="B110" s="31"/>
      <c r="C110" s="29"/>
      <c r="D110" s="24">
        <f t="shared" ref="D110:N110" si="47">SUM(D106+D109)</f>
        <v>22798184270</v>
      </c>
      <c r="E110" s="24">
        <f t="shared" si="47"/>
        <v>43213252.2</v>
      </c>
      <c r="F110" s="24">
        <f t="shared" si="47"/>
        <v>22754971018</v>
      </c>
      <c r="G110" s="24">
        <f t="shared" si="47"/>
        <v>0</v>
      </c>
      <c r="H110" s="24">
        <f t="shared" si="47"/>
        <v>64793</v>
      </c>
      <c r="I110" s="24">
        <f t="shared" si="47"/>
        <v>131690892.3</v>
      </c>
      <c r="J110" s="24">
        <f t="shared" si="47"/>
        <v>288370214.4</v>
      </c>
      <c r="K110" s="24">
        <f t="shared" si="47"/>
        <v>-156679322.1</v>
      </c>
      <c r="L110" s="24">
        <f t="shared" si="47"/>
        <v>5939506178</v>
      </c>
      <c r="M110" s="24">
        <f t="shared" si="47"/>
        <v>3259248387</v>
      </c>
      <c r="N110" s="24">
        <f t="shared" si="47"/>
        <v>2680257790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2" t="s">
        <v>105</v>
      </c>
      <c r="B111" s="33"/>
      <c r="C111" s="34"/>
      <c r="D111" s="35">
        <f t="shared" ref="D111:N111" si="48">D39+D63+D89+D101+D110</f>
        <v>311277396877</v>
      </c>
      <c r="E111" s="35">
        <f t="shared" si="48"/>
        <v>2560453218</v>
      </c>
      <c r="F111" s="35">
        <f t="shared" si="48"/>
        <v>308716943659</v>
      </c>
      <c r="G111" s="35">
        <f t="shared" si="48"/>
        <v>67554923522</v>
      </c>
      <c r="H111" s="35">
        <f t="shared" si="48"/>
        <v>891956</v>
      </c>
      <c r="I111" s="35">
        <f t="shared" si="48"/>
        <v>12481702916</v>
      </c>
      <c r="J111" s="35">
        <f t="shared" si="48"/>
        <v>32674914281</v>
      </c>
      <c r="K111" s="35">
        <f t="shared" si="48"/>
        <v>-20193211365</v>
      </c>
      <c r="L111" s="35">
        <f t="shared" si="48"/>
        <v>226329243006</v>
      </c>
      <c r="M111" s="35">
        <f t="shared" si="48"/>
        <v>342820855169</v>
      </c>
      <c r="N111" s="35">
        <f t="shared" si="48"/>
        <v>-116491612163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2.0" customHeight="1">
      <c r="A112" s="3"/>
      <c r="B112" s="2"/>
      <c r="C112" s="36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60" t="s">
        <v>216</v>
      </c>
      <c r="B113" s="30"/>
      <c r="C113" s="30"/>
      <c r="D113" s="4"/>
      <c r="E113" s="4"/>
      <c r="F113" s="4"/>
      <c r="G113" s="4"/>
      <c r="H113" s="5"/>
      <c r="I113" s="4"/>
      <c r="J113" s="4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0" t="s">
        <v>241</v>
      </c>
      <c r="B114" s="30"/>
      <c r="C114" s="30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6"/>
      <c r="B115" s="36"/>
      <c r="C115" s="36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6"/>
      <c r="B116" s="36"/>
      <c r="C116" s="36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6"/>
      <c r="B117" s="36"/>
      <c r="C117" s="36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6"/>
      <c r="B118" s="36"/>
      <c r="C118" s="36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6"/>
      <c r="B119" s="36"/>
      <c r="C119" s="36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0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242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4.99226668678E9</v>
      </c>
      <c r="E9" s="6">
        <v>1.2138379131E8</v>
      </c>
      <c r="F9" s="6">
        <f t="shared" ref="F9:F27" si="1">D9-E9</f>
        <v>4870882895</v>
      </c>
      <c r="G9" s="6">
        <v>4.35272142365E9</v>
      </c>
      <c r="H9" s="5">
        <v>7369.0</v>
      </c>
      <c r="I9" s="6">
        <v>8562230.88</v>
      </c>
      <c r="J9" s="4">
        <v>1.636393281E7</v>
      </c>
      <c r="K9" s="4">
        <f t="shared" ref="K9:K27" si="2">I9-J9</f>
        <v>-7801701.93</v>
      </c>
      <c r="L9" s="4">
        <f>I9+Oct!L9</f>
        <v>164172620.6</v>
      </c>
      <c r="M9" s="4">
        <f>J9+Oct!M9</f>
        <v>385664836.3</v>
      </c>
      <c r="N9" s="4">
        <f t="shared" ref="N9:N27" si="3">L9-M9</f>
        <v>-221492215.7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243</v>
      </c>
      <c r="D10" s="6">
        <v>7.514756723999999E8</v>
      </c>
      <c r="E10" s="6">
        <v>1566309.58</v>
      </c>
      <c r="F10" s="6">
        <f t="shared" si="1"/>
        <v>749909362.8</v>
      </c>
      <c r="G10" s="6">
        <v>6.8962030927E8</v>
      </c>
      <c r="H10" s="5">
        <v>4245.0</v>
      </c>
      <c r="I10" s="6">
        <v>5139835.03</v>
      </c>
      <c r="J10" s="4">
        <v>2185638.559999999</v>
      </c>
      <c r="K10" s="4">
        <f t="shared" si="2"/>
        <v>2954196.47</v>
      </c>
      <c r="L10" s="4">
        <f>I10+Oct!L10</f>
        <v>217072974.8</v>
      </c>
      <c r="M10" s="4">
        <f>J10+Oct!M10</f>
        <v>146024958.3</v>
      </c>
      <c r="N10" s="4">
        <f t="shared" si="3"/>
        <v>71048016.49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244</v>
      </c>
      <c r="D11" s="6">
        <v>1.37737961556E9</v>
      </c>
      <c r="E11" s="6">
        <v>9668447.29</v>
      </c>
      <c r="F11" s="6">
        <f t="shared" si="1"/>
        <v>1367711168</v>
      </c>
      <c r="G11" s="6">
        <v>1.2973869176E9</v>
      </c>
      <c r="H11" s="5">
        <v>2899.0</v>
      </c>
      <c r="I11" s="6">
        <v>1.2856997677999994E8</v>
      </c>
      <c r="J11" s="4">
        <v>3075339.04</v>
      </c>
      <c r="K11" s="4">
        <f t="shared" si="2"/>
        <v>125494637.7</v>
      </c>
      <c r="L11" s="4">
        <f>I11+Oct!L11</f>
        <v>385160274.8</v>
      </c>
      <c r="M11" s="4">
        <f>J11+Oct!M11</f>
        <v>146244357.9</v>
      </c>
      <c r="N11" s="4">
        <f t="shared" si="3"/>
        <v>238915917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6">
        <v>3.4737198289E8</v>
      </c>
      <c r="E12" s="6">
        <v>7168666.06</v>
      </c>
      <c r="F12" s="6">
        <f t="shared" si="1"/>
        <v>340203316.8</v>
      </c>
      <c r="G12" s="6">
        <v>1.9445541299E8</v>
      </c>
      <c r="H12" s="5">
        <v>1717.0</v>
      </c>
      <c r="I12" s="6">
        <v>2501100.0</v>
      </c>
      <c r="J12" s="4">
        <v>270063.41</v>
      </c>
      <c r="K12" s="4">
        <f t="shared" si="2"/>
        <v>2231036.59</v>
      </c>
      <c r="L12" s="4">
        <f>I12+Oct!L12</f>
        <v>28318297.55</v>
      </c>
      <c r="M12" s="4">
        <f>J12+Oct!M12</f>
        <v>11353681.06</v>
      </c>
      <c r="N12" s="4">
        <f t="shared" si="3"/>
        <v>16964616.49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232</v>
      </c>
      <c r="D13" s="6">
        <v>5.2762180687E8</v>
      </c>
      <c r="E13" s="6">
        <v>3787926.15</v>
      </c>
      <c r="F13" s="6">
        <f t="shared" si="1"/>
        <v>523833880.7</v>
      </c>
      <c r="G13" s="6">
        <v>4.9692030639E8</v>
      </c>
      <c r="H13" s="5">
        <v>1454.0</v>
      </c>
      <c r="I13" s="6">
        <v>376974.11</v>
      </c>
      <c r="J13" s="4">
        <v>163774.08</v>
      </c>
      <c r="K13" s="4">
        <f t="shared" si="2"/>
        <v>213200.03</v>
      </c>
      <c r="L13" s="4">
        <f>I13+Oct!L13</f>
        <v>29870828.55</v>
      </c>
      <c r="M13" s="4">
        <f>J13+Oct!M13</f>
        <v>16112256.07</v>
      </c>
      <c r="N13" s="4">
        <f t="shared" si="3"/>
        <v>13758572.48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6">
        <v>4.44582683103E9</v>
      </c>
      <c r="E14" s="6">
        <v>7.806403986E7</v>
      </c>
      <c r="F14" s="6">
        <f t="shared" si="1"/>
        <v>4367762791</v>
      </c>
      <c r="G14" s="6">
        <v>4.24413897521E9</v>
      </c>
      <c r="H14" s="5">
        <v>16357.0</v>
      </c>
      <c r="I14" s="6">
        <v>1.165207057E7</v>
      </c>
      <c r="J14" s="4">
        <v>1.61746046E7</v>
      </c>
      <c r="K14" s="4">
        <f t="shared" si="2"/>
        <v>-4522534.03</v>
      </c>
      <c r="L14" s="4">
        <f>I14+Oct!L14</f>
        <v>638738401.9</v>
      </c>
      <c r="M14" s="4">
        <f>J14+Oct!M14</f>
        <v>377452276</v>
      </c>
      <c r="N14" s="4">
        <f t="shared" si="3"/>
        <v>261286125.9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245</v>
      </c>
      <c r="D15" s="6">
        <v>1.041137314E8</v>
      </c>
      <c r="E15" s="6">
        <v>694502.1</v>
      </c>
      <c r="F15" s="6">
        <f t="shared" si="1"/>
        <v>103419229.3</v>
      </c>
      <c r="G15" s="6">
        <v>1.0089242731E8</v>
      </c>
      <c r="H15" s="5">
        <v>559.0</v>
      </c>
      <c r="I15" s="6">
        <v>3164660.0</v>
      </c>
      <c r="J15" s="4">
        <v>701696.05</v>
      </c>
      <c r="K15" s="4">
        <f t="shared" si="2"/>
        <v>2462963.95</v>
      </c>
      <c r="L15" s="4">
        <f>I15+Oct!L15</f>
        <v>24063670.12</v>
      </c>
      <c r="M15" s="4">
        <f>J15+Oct!M15</f>
        <v>8187737.291</v>
      </c>
      <c r="N15" s="4">
        <f t="shared" si="3"/>
        <v>15875932.83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6">
        <v>1.18626477E8</v>
      </c>
      <c r="E16" s="6">
        <v>2024810.35</v>
      </c>
      <c r="F16" s="6">
        <f t="shared" si="1"/>
        <v>116601666.7</v>
      </c>
      <c r="G16" s="6">
        <v>1.09084537E8</v>
      </c>
      <c r="H16" s="5">
        <v>51.0</v>
      </c>
      <c r="I16" s="50">
        <v>0.0</v>
      </c>
      <c r="J16" s="51">
        <v>0.0</v>
      </c>
      <c r="K16" s="4">
        <f t="shared" si="2"/>
        <v>0</v>
      </c>
      <c r="L16" s="4">
        <f>I16+Oct!L16</f>
        <v>1800100</v>
      </c>
      <c r="M16" s="4">
        <f>J16+Oct!M16</f>
        <v>9705511.39</v>
      </c>
      <c r="N16" s="4">
        <f t="shared" si="3"/>
        <v>-7905411.39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6">
        <v>1.45018366757E9</v>
      </c>
      <c r="E17" s="6">
        <v>7.639709709E7</v>
      </c>
      <c r="F17" s="6">
        <f t="shared" si="1"/>
        <v>1373786570</v>
      </c>
      <c r="G17" s="6">
        <v>1.39221236758E9</v>
      </c>
      <c r="H17" s="5">
        <v>12363.0</v>
      </c>
      <c r="I17" s="6">
        <v>0.0</v>
      </c>
      <c r="J17" s="4">
        <v>7225995.97</v>
      </c>
      <c r="K17" s="4">
        <f t="shared" si="2"/>
        <v>-7225995.97</v>
      </c>
      <c r="L17" s="4">
        <f>I17+Oct!L17</f>
        <v>1345993612</v>
      </c>
      <c r="M17" s="4">
        <f>J17+Oct!M17</f>
        <v>14722358804</v>
      </c>
      <c r="N17" s="4">
        <f t="shared" si="3"/>
        <v>-13376365193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6">
        <v>4.1838702528E9</v>
      </c>
      <c r="E18" s="6">
        <v>2.5052395914E8</v>
      </c>
      <c r="F18" s="6">
        <f t="shared" si="1"/>
        <v>3933346294</v>
      </c>
      <c r="G18" s="6">
        <v>3.5056098477E9</v>
      </c>
      <c r="H18" s="5">
        <v>12327.0</v>
      </c>
      <c r="I18" s="6">
        <v>2908472.68</v>
      </c>
      <c r="J18" s="4">
        <v>1.451181328E7</v>
      </c>
      <c r="K18" s="4">
        <f t="shared" si="2"/>
        <v>-11603340.6</v>
      </c>
      <c r="L18" s="4">
        <f>I18+Oct!L18</f>
        <v>695240445.3</v>
      </c>
      <c r="M18" s="4">
        <f>J18+Oct!M18</f>
        <v>27845923227</v>
      </c>
      <c r="N18" s="4">
        <f t="shared" si="3"/>
        <v>-27150682781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6">
        <v>2.12552204871E9</v>
      </c>
      <c r="E19" s="6">
        <v>3329122.64</v>
      </c>
      <c r="F19" s="6">
        <f t="shared" si="1"/>
        <v>2122192926</v>
      </c>
      <c r="G19" s="6">
        <v>1.86107960621196E9</v>
      </c>
      <c r="H19" s="5">
        <v>5697.0</v>
      </c>
      <c r="I19" s="6">
        <v>2070831.42</v>
      </c>
      <c r="J19" s="4">
        <v>1649758.15</v>
      </c>
      <c r="K19" s="4">
        <f t="shared" si="2"/>
        <v>421073.27</v>
      </c>
      <c r="L19" s="4">
        <f>I19+Oct!L19</f>
        <v>117426980.8</v>
      </c>
      <c r="M19" s="4">
        <f>J19+Oct!M19</f>
        <v>294938345.6</v>
      </c>
      <c r="N19" s="4">
        <f t="shared" si="3"/>
        <v>-177511364.8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6">
        <v>1.03307496754117E10</v>
      </c>
      <c r="E20" s="6">
        <v>1.9780332755E8</v>
      </c>
      <c r="F20" s="6">
        <f t="shared" si="1"/>
        <v>10132946348</v>
      </c>
      <c r="G20" s="6">
        <v>9.22420703465E9</v>
      </c>
      <c r="H20" s="5">
        <v>36520.0</v>
      </c>
      <c r="I20" s="6">
        <v>1.135864157E7</v>
      </c>
      <c r="J20" s="4">
        <v>3.588035117E7</v>
      </c>
      <c r="K20" s="4">
        <f t="shared" si="2"/>
        <v>-24521709.6</v>
      </c>
      <c r="L20" s="4">
        <f>I20+Oct!L20</f>
        <v>270454124.5</v>
      </c>
      <c r="M20" s="4">
        <f>J20+Oct!M20</f>
        <v>516079904.4</v>
      </c>
      <c r="N20" s="4">
        <f t="shared" si="3"/>
        <v>-245625779.9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6">
        <v>3.37589352407188E8</v>
      </c>
      <c r="E21" s="6">
        <v>8485859.81</v>
      </c>
      <c r="F21" s="6">
        <f t="shared" si="1"/>
        <v>329103492.6</v>
      </c>
      <c r="G21" s="6">
        <v>3.2958022161E8</v>
      </c>
      <c r="H21" s="5">
        <v>1030.0</v>
      </c>
      <c r="I21" s="6">
        <v>583752.81</v>
      </c>
      <c r="J21" s="4">
        <v>244537.44</v>
      </c>
      <c r="K21" s="4">
        <f t="shared" si="2"/>
        <v>339215.37</v>
      </c>
      <c r="L21" s="4">
        <f>I21+Oct!L21</f>
        <v>7196049.53</v>
      </c>
      <c r="M21" s="4">
        <f>J21+Oct!M21</f>
        <v>5389340</v>
      </c>
      <c r="N21" s="4">
        <f t="shared" si="3"/>
        <v>1806709.53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6">
        <v>3.8305085141696E9</v>
      </c>
      <c r="E22" s="6">
        <v>7610379.26</v>
      </c>
      <c r="F22" s="6">
        <f t="shared" si="1"/>
        <v>3822898135</v>
      </c>
      <c r="G22" s="6">
        <v>3.80616055122869E9</v>
      </c>
      <c r="H22" s="5">
        <v>27554.0</v>
      </c>
      <c r="I22" s="6">
        <v>1.079435579E7</v>
      </c>
      <c r="J22" s="4">
        <v>8863976.92</v>
      </c>
      <c r="K22" s="4">
        <f t="shared" si="2"/>
        <v>1930378.87</v>
      </c>
      <c r="L22" s="4">
        <f>I22+Oct!L22</f>
        <v>399168153</v>
      </c>
      <c r="M22" s="4">
        <f>J22+Oct!M22</f>
        <v>358097404.1</v>
      </c>
      <c r="N22" s="4">
        <f t="shared" si="3"/>
        <v>41070748.88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6">
        <v>9.45069469148E9</v>
      </c>
      <c r="E23" s="6">
        <v>9425978.93</v>
      </c>
      <c r="F23" s="6">
        <f t="shared" si="1"/>
        <v>9441268713</v>
      </c>
      <c r="G23" s="6">
        <v>9.39179189722E9</v>
      </c>
      <c r="H23" s="5">
        <v>14386.0</v>
      </c>
      <c r="I23" s="6">
        <v>3932343.05</v>
      </c>
      <c r="J23" s="4">
        <v>5.624015448E7</v>
      </c>
      <c r="K23" s="4">
        <f t="shared" si="2"/>
        <v>-52307811.43</v>
      </c>
      <c r="L23" s="4">
        <f>I23+Oct!L23</f>
        <v>50732278.1</v>
      </c>
      <c r="M23" s="4">
        <f>J23+Oct!M23</f>
        <v>1130904983</v>
      </c>
      <c r="N23" s="4">
        <f t="shared" si="3"/>
        <v>-1080172705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19" t="s">
        <v>36</v>
      </c>
      <c r="D24" s="6">
        <v>3.1714509450000005E9</v>
      </c>
      <c r="E24" s="6">
        <v>3.2276574E7</v>
      </c>
      <c r="F24" s="6">
        <f t="shared" si="1"/>
        <v>3139174371</v>
      </c>
      <c r="G24" s="6">
        <v>2.9617646703E9</v>
      </c>
      <c r="H24" s="5">
        <v>12864.0</v>
      </c>
      <c r="I24" s="6">
        <v>1.1184018648E8</v>
      </c>
      <c r="J24" s="4">
        <v>972500.4499999998</v>
      </c>
      <c r="K24" s="4">
        <f t="shared" si="2"/>
        <v>110867686</v>
      </c>
      <c r="L24" s="4">
        <f>I24+Oct!L24</f>
        <v>803327896.8</v>
      </c>
      <c r="M24" s="4">
        <f>J24+Oct!M24</f>
        <v>21716433.53</v>
      </c>
      <c r="N24" s="4">
        <f t="shared" si="3"/>
        <v>781611463.2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v>17.0</v>
      </c>
      <c r="C25" s="21" t="s">
        <v>37</v>
      </c>
      <c r="D25" s="6">
        <v>7.59411108647E9</v>
      </c>
      <c r="E25" s="6">
        <v>1.5023378859E8</v>
      </c>
      <c r="F25" s="6">
        <f t="shared" si="1"/>
        <v>7443877298</v>
      </c>
      <c r="G25" s="6">
        <v>7.2844619327E9</v>
      </c>
      <c r="H25" s="5">
        <v>66342.0</v>
      </c>
      <c r="I25" s="6">
        <v>2.076323176E7</v>
      </c>
      <c r="J25" s="4">
        <v>1.8088013814E8</v>
      </c>
      <c r="K25" s="4">
        <f t="shared" si="2"/>
        <v>-160116906.4</v>
      </c>
      <c r="L25" s="4">
        <f>I25+Oct!L25</f>
        <v>921891519.4</v>
      </c>
      <c r="M25" s="4">
        <f>J25+Oct!M25</f>
        <v>852368034.1</v>
      </c>
      <c r="N25" s="4">
        <f t="shared" si="3"/>
        <v>69523485.31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v>18.0</v>
      </c>
      <c r="C26" s="21" t="s">
        <v>38</v>
      </c>
      <c r="D26" s="6">
        <v>1.198275521654E10</v>
      </c>
      <c r="E26" s="6">
        <v>9.619987258E7</v>
      </c>
      <c r="F26" s="6">
        <f t="shared" si="1"/>
        <v>11886555344</v>
      </c>
      <c r="G26" s="6">
        <v>1.184542094509E10</v>
      </c>
      <c r="H26" s="5">
        <v>56902.0</v>
      </c>
      <c r="I26" s="6">
        <v>4.655864316E7</v>
      </c>
      <c r="J26" s="4">
        <v>1.2099723103E8</v>
      </c>
      <c r="K26" s="4">
        <f t="shared" si="2"/>
        <v>-74438587.87</v>
      </c>
      <c r="L26" s="4">
        <f>I26+Oct!L26</f>
        <v>2384672400</v>
      </c>
      <c r="M26" s="4">
        <f>J26+Oct!M26</f>
        <v>1799074437</v>
      </c>
      <c r="N26" s="4">
        <f t="shared" si="3"/>
        <v>585597963.1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6">
        <v>6.136248743480004E8</v>
      </c>
      <c r="E27" s="6">
        <v>1558512.2699999965</v>
      </c>
      <c r="F27" s="6">
        <f t="shared" si="1"/>
        <v>612066362.1</v>
      </c>
      <c r="G27" s="6">
        <v>5.557862527E8</v>
      </c>
      <c r="H27" s="5">
        <v>1309.0</v>
      </c>
      <c r="I27" s="6">
        <v>194684.37</v>
      </c>
      <c r="J27" s="4">
        <v>1221223.68</v>
      </c>
      <c r="K27" s="4">
        <f t="shared" si="2"/>
        <v>-1026539.31</v>
      </c>
      <c r="L27" s="4">
        <f>I27+Oct!L27</f>
        <v>17381425.37</v>
      </c>
      <c r="M27" s="4">
        <f>J27+Oct!M27</f>
        <v>9816815.13</v>
      </c>
      <c r="N27" s="4">
        <f t="shared" si="3"/>
        <v>7564610.24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5"/>
      <c r="I28" s="6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v>20.0</v>
      </c>
      <c r="C29" s="3" t="s">
        <v>246</v>
      </c>
      <c r="D29" s="6">
        <v>1.01915282894182E8</v>
      </c>
      <c r="E29" s="6">
        <v>4222269.39120206</v>
      </c>
      <c r="F29" s="6">
        <f t="shared" ref="F29:F31" si="4">D29-E29</f>
        <v>97693013.5</v>
      </c>
      <c r="G29" s="6">
        <v>9.580384334E7</v>
      </c>
      <c r="H29" s="5">
        <v>956.0</v>
      </c>
      <c r="I29" s="6">
        <v>1.7746096E7</v>
      </c>
      <c r="J29" s="4">
        <v>163924.0</v>
      </c>
      <c r="K29" s="4">
        <f t="shared" ref="K29:K31" si="5">I29-J29</f>
        <v>17582172</v>
      </c>
      <c r="L29" s="4">
        <f>I29+Oct!L29</f>
        <v>90057048.82</v>
      </c>
      <c r="M29" s="4">
        <f>J29+Oct!M29</f>
        <v>274190.93</v>
      </c>
      <c r="N29" s="4">
        <f t="shared" ref="N29:N31" si="6">L29-M29</f>
        <v>89782857.89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41</v>
      </c>
      <c r="D30" s="6">
        <v>3.638182481E8</v>
      </c>
      <c r="E30" s="6">
        <v>9506146.4</v>
      </c>
      <c r="F30" s="6">
        <f t="shared" si="4"/>
        <v>354312101.7</v>
      </c>
      <c r="G30" s="6">
        <v>3.2775504665E8</v>
      </c>
      <c r="H30" s="5">
        <v>1434.0</v>
      </c>
      <c r="I30" s="6">
        <v>804605.54</v>
      </c>
      <c r="J30" s="4">
        <v>9244699.01</v>
      </c>
      <c r="K30" s="4">
        <f t="shared" si="5"/>
        <v>-8440093.47</v>
      </c>
      <c r="L30" s="4">
        <f>I30+Oct!L30</f>
        <v>87973340.11</v>
      </c>
      <c r="M30" s="4">
        <f>J30+Oct!M30</f>
        <v>38544752.87</v>
      </c>
      <c r="N30" s="4">
        <f t="shared" si="6"/>
        <v>49428587.24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v>22.0</v>
      </c>
      <c r="C31" s="3" t="s">
        <v>35</v>
      </c>
      <c r="D31" s="6">
        <v>5.1100871875E8</v>
      </c>
      <c r="E31" s="6">
        <v>1.595127621E7</v>
      </c>
      <c r="F31" s="6">
        <f t="shared" si="4"/>
        <v>495057442.5</v>
      </c>
      <c r="G31" s="6">
        <v>4.926590994E8</v>
      </c>
      <c r="H31" s="5">
        <v>287447.0</v>
      </c>
      <c r="I31" s="6">
        <v>3.535122257E7</v>
      </c>
      <c r="J31" s="4">
        <v>2.152192628E7</v>
      </c>
      <c r="K31" s="4">
        <f t="shared" si="5"/>
        <v>13829296.29</v>
      </c>
      <c r="L31" s="4">
        <f>I31+Oct!L31</f>
        <v>662710734.6</v>
      </c>
      <c r="M31" s="4">
        <f>J31+Oct!M31</f>
        <v>160027629.8</v>
      </c>
      <c r="N31" s="4">
        <f t="shared" si="6"/>
        <v>502683104.8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18" t="s">
        <v>42</v>
      </c>
      <c r="B32" s="2"/>
      <c r="C32" s="3"/>
      <c r="D32" s="6"/>
      <c r="E32" s="6"/>
      <c r="F32" s="6"/>
      <c r="G32" s="6"/>
      <c r="H32" s="5"/>
      <c r="I32" s="6"/>
      <c r="J32" s="4"/>
      <c r="K32" s="4"/>
      <c r="L32" s="4"/>
      <c r="M32" s="4"/>
      <c r="N32" s="4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3"/>
      <c r="B33" s="2">
        <v>23.0</v>
      </c>
      <c r="C33" s="3" t="s">
        <v>43</v>
      </c>
      <c r="D33" s="6">
        <v>2.28218641771E9</v>
      </c>
      <c r="E33" s="6">
        <v>3368797.91</v>
      </c>
      <c r="F33" s="6">
        <f>D33-E33</f>
        <v>2278817620</v>
      </c>
      <c r="G33" s="6">
        <v>2.27525714274E9</v>
      </c>
      <c r="H33" s="5">
        <v>3298.0</v>
      </c>
      <c r="I33" s="6">
        <v>3006997.0</v>
      </c>
      <c r="J33" s="4">
        <v>960238.0</v>
      </c>
      <c r="K33" s="4">
        <f>I33-J33</f>
        <v>2046759</v>
      </c>
      <c r="L33" s="4">
        <f>I33+Oct!L33</f>
        <v>359031873</v>
      </c>
      <c r="M33" s="4">
        <f>J33+Oct!M33</f>
        <v>208700652</v>
      </c>
      <c r="N33" s="4">
        <f>L33-M33</f>
        <v>150331221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22" t="s">
        <v>44</v>
      </c>
      <c r="B34" s="23"/>
      <c r="C34" s="1"/>
      <c r="D34" s="24">
        <f t="shared" ref="D34:N34" si="7">SUM(D9:D33)</f>
        <v>70994671796</v>
      </c>
      <c r="E34" s="24">
        <f t="shared" si="7"/>
        <v>1091251454</v>
      </c>
      <c r="F34" s="24">
        <f t="shared" si="7"/>
        <v>69903420342</v>
      </c>
      <c r="G34" s="24">
        <f t="shared" si="7"/>
        <v>66834770769</v>
      </c>
      <c r="H34" s="24">
        <f t="shared" si="7"/>
        <v>575080</v>
      </c>
      <c r="I34" s="24">
        <f t="shared" si="7"/>
        <v>427880911.6</v>
      </c>
      <c r="J34" s="24">
        <f t="shared" si="7"/>
        <v>499513516.6</v>
      </c>
      <c r="K34" s="24">
        <f t="shared" si="7"/>
        <v>-71632604.98</v>
      </c>
      <c r="L34" s="24">
        <f t="shared" si="7"/>
        <v>9702455050</v>
      </c>
      <c r="M34" s="24">
        <f t="shared" si="7"/>
        <v>49064960568</v>
      </c>
      <c r="N34" s="24">
        <f t="shared" si="7"/>
        <v>-39362505518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2.0" customHeight="1">
      <c r="A35" s="18" t="s">
        <v>45</v>
      </c>
      <c r="B35" s="2"/>
      <c r="C35" s="3"/>
      <c r="D35" s="6"/>
      <c r="E35" s="6"/>
      <c r="F35" s="6"/>
      <c r="G35" s="6"/>
      <c r="H35" s="5"/>
      <c r="I35" s="6"/>
      <c r="J35" s="4"/>
      <c r="K35" s="4"/>
      <c r="L35" s="4"/>
      <c r="M35" s="4"/>
      <c r="N35" s="4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247</v>
      </c>
      <c r="D36" s="6">
        <v>3.64716588936E7</v>
      </c>
      <c r="E36" s="6">
        <v>903607.6504</v>
      </c>
      <c r="F36" s="6">
        <f t="shared" ref="F36:F37" si="8">D36-E36</f>
        <v>35568051.24</v>
      </c>
      <c r="G36" s="27">
        <v>0.0</v>
      </c>
      <c r="H36" s="5">
        <v>55.0</v>
      </c>
      <c r="I36" s="6">
        <v>50788.617600000005</v>
      </c>
      <c r="J36" s="4">
        <v>0.0</v>
      </c>
      <c r="K36" s="4">
        <f t="shared" ref="K36:K37" si="9">I36-J36</f>
        <v>50788.6176</v>
      </c>
      <c r="L36" s="4">
        <f>I36+Oct!L36</f>
        <v>1401288.018</v>
      </c>
      <c r="M36" s="4">
        <f>J36+Oct!M36</f>
        <v>7699965.99</v>
      </c>
      <c r="N36" s="4">
        <f t="shared" ref="N36:N37" si="10">L36-M36</f>
        <v>-6298677.972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v>25.0</v>
      </c>
      <c r="C37" s="3" t="s">
        <v>47</v>
      </c>
      <c r="D37" s="6">
        <f>56.56*33108651.25</f>
        <v>1872625315</v>
      </c>
      <c r="E37" s="6">
        <f>56.56*172167.6</f>
        <v>9737799.456</v>
      </c>
      <c r="F37" s="6">
        <f t="shared" si="8"/>
        <v>1862887515</v>
      </c>
      <c r="G37" s="6">
        <v>0.0</v>
      </c>
      <c r="H37" s="5">
        <v>2861.0</v>
      </c>
      <c r="I37" s="6">
        <f>56.56*255038.92</f>
        <v>14425001.32</v>
      </c>
      <c r="J37" s="6">
        <f>56.56*135153.99</f>
        <v>7644309.674</v>
      </c>
      <c r="K37" s="4">
        <f t="shared" si="9"/>
        <v>6780691.641</v>
      </c>
      <c r="L37" s="4">
        <f>I37+Oct!L37</f>
        <v>296613866.6</v>
      </c>
      <c r="M37" s="4">
        <f>J37+Oct!M37</f>
        <v>340986164.7</v>
      </c>
      <c r="N37" s="4">
        <f t="shared" si="10"/>
        <v>-44372298.15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22" t="s">
        <v>48</v>
      </c>
      <c r="B38" s="23"/>
      <c r="C38" s="1"/>
      <c r="D38" s="24">
        <f t="shared" ref="D38:N38" si="11">SUM(D36:D37)</f>
        <v>1909096974</v>
      </c>
      <c r="E38" s="24">
        <f t="shared" si="11"/>
        <v>10641407.11</v>
      </c>
      <c r="F38" s="24">
        <f t="shared" si="11"/>
        <v>1898455566</v>
      </c>
      <c r="G38" s="24">
        <f t="shared" si="11"/>
        <v>0</v>
      </c>
      <c r="H38" s="24">
        <f t="shared" si="11"/>
        <v>2916</v>
      </c>
      <c r="I38" s="24">
        <f t="shared" si="11"/>
        <v>14475789.93</v>
      </c>
      <c r="J38" s="24">
        <f t="shared" si="11"/>
        <v>7644309.674</v>
      </c>
      <c r="K38" s="24">
        <f t="shared" si="11"/>
        <v>6831480.258</v>
      </c>
      <c r="L38" s="24">
        <f t="shared" si="11"/>
        <v>298015154.6</v>
      </c>
      <c r="M38" s="24">
        <f t="shared" si="11"/>
        <v>348686130.7</v>
      </c>
      <c r="N38" s="24">
        <f t="shared" si="11"/>
        <v>-50670976.13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49</v>
      </c>
      <c r="B39" s="23"/>
      <c r="C39" s="1"/>
      <c r="D39" s="24">
        <f t="shared" ref="D39:N39" si="12">D34+D38</f>
        <v>72903768770</v>
      </c>
      <c r="E39" s="24">
        <f t="shared" si="12"/>
        <v>1101892862</v>
      </c>
      <c r="F39" s="24">
        <f t="shared" si="12"/>
        <v>71801875908</v>
      </c>
      <c r="G39" s="24">
        <f t="shared" si="12"/>
        <v>66834770769</v>
      </c>
      <c r="H39" s="24">
        <f t="shared" si="12"/>
        <v>577996</v>
      </c>
      <c r="I39" s="24">
        <f t="shared" si="12"/>
        <v>442356701.5</v>
      </c>
      <c r="J39" s="24">
        <f t="shared" si="12"/>
        <v>507157826.2</v>
      </c>
      <c r="K39" s="24">
        <f t="shared" si="12"/>
        <v>-64801124.72</v>
      </c>
      <c r="L39" s="24">
        <f t="shared" si="12"/>
        <v>10000470204</v>
      </c>
      <c r="M39" s="24">
        <f t="shared" si="12"/>
        <v>49413646698</v>
      </c>
      <c r="N39" s="24">
        <f t="shared" si="12"/>
        <v>-39413176494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50</v>
      </c>
      <c r="B40" s="2"/>
      <c r="C40" s="3"/>
      <c r="D40" s="6"/>
      <c r="E40" s="6"/>
      <c r="F40" s="6"/>
      <c r="G40" s="6"/>
      <c r="H40" s="5"/>
      <c r="I40" s="6"/>
      <c r="J40" s="4"/>
      <c r="K40" s="4"/>
      <c r="L40" s="4"/>
      <c r="M40" s="4"/>
      <c r="N40" s="4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 t="s">
        <v>20</v>
      </c>
      <c r="B41" s="2"/>
      <c r="C41" s="3"/>
      <c r="D41" s="6"/>
      <c r="E41" s="6"/>
      <c r="F41" s="6"/>
      <c r="G41" s="6"/>
      <c r="H41" s="5"/>
      <c r="I41" s="6"/>
      <c r="J41" s="4"/>
      <c r="K41" s="4"/>
      <c r="L41" s="4"/>
      <c r="M41" s="4"/>
      <c r="N41" s="4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/>
      <c r="B42" s="2">
        <v>26.0</v>
      </c>
      <c r="C42" s="3" t="s">
        <v>248</v>
      </c>
      <c r="D42" s="6">
        <v>1.2528458772E8</v>
      </c>
      <c r="E42" s="6">
        <v>7830545.72</v>
      </c>
      <c r="F42" s="6">
        <f t="shared" ref="F42:F51" si="13">D42-E42</f>
        <v>117454042</v>
      </c>
      <c r="G42" s="6">
        <v>3.17733294E7</v>
      </c>
      <c r="H42" s="5">
        <v>722.0</v>
      </c>
      <c r="I42" s="6">
        <v>1405807.1100000003</v>
      </c>
      <c r="J42" s="4">
        <v>1102693.01</v>
      </c>
      <c r="K42" s="4">
        <f t="shared" ref="K42:K51" si="14">I42-J42</f>
        <v>303114.1</v>
      </c>
      <c r="L42" s="4">
        <f>I42+Oct!L42</f>
        <v>12343973.96</v>
      </c>
      <c r="M42" s="4">
        <f>J42+Oct!M42</f>
        <v>5654087.94</v>
      </c>
      <c r="N42" s="4">
        <f t="shared" ref="N42:N51" si="15">L42-M42</f>
        <v>6689886.02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249</v>
      </c>
      <c r="D43" s="6">
        <v>6.281391778E8</v>
      </c>
      <c r="E43" s="6">
        <v>5.014580529E7</v>
      </c>
      <c r="F43" s="6">
        <f t="shared" si="13"/>
        <v>577993372.5</v>
      </c>
      <c r="G43" s="6">
        <v>2.844216424E8</v>
      </c>
      <c r="H43" s="5">
        <v>2445.0</v>
      </c>
      <c r="I43" s="6">
        <v>502562.61999999994</v>
      </c>
      <c r="J43" s="4">
        <v>7564892.919999998</v>
      </c>
      <c r="K43" s="4">
        <f t="shared" si="14"/>
        <v>-7062330.3</v>
      </c>
      <c r="L43" s="4">
        <f>I43+Oct!L43</f>
        <v>15107312.15</v>
      </c>
      <c r="M43" s="4">
        <f>J43+Oct!M43</f>
        <v>77741302.58</v>
      </c>
      <c r="N43" s="4">
        <f t="shared" si="15"/>
        <v>-62633990.43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53</v>
      </c>
      <c r="D44" s="6">
        <v>1.09714130067E9</v>
      </c>
      <c r="E44" s="6">
        <v>1.072000276E7</v>
      </c>
      <c r="F44" s="6">
        <f t="shared" si="13"/>
        <v>1086421298</v>
      </c>
      <c r="G44" s="6">
        <v>6.9248163389E8</v>
      </c>
      <c r="H44" s="5">
        <v>4749.0</v>
      </c>
      <c r="I44" s="6">
        <v>1528824.32</v>
      </c>
      <c r="J44" s="4">
        <v>9202730.87000001</v>
      </c>
      <c r="K44" s="4">
        <f t="shared" si="14"/>
        <v>-7673906.55</v>
      </c>
      <c r="L44" s="4">
        <f>I44+Oct!L44</f>
        <v>42157758.32</v>
      </c>
      <c r="M44" s="4">
        <f>J44+Oct!M44</f>
        <v>208267193.9</v>
      </c>
      <c r="N44" s="4">
        <f t="shared" si="15"/>
        <v>-166109435.6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54</v>
      </c>
      <c r="D45" s="6">
        <v>3.1015495729E8</v>
      </c>
      <c r="E45" s="6">
        <v>3541928.22</v>
      </c>
      <c r="F45" s="6">
        <f t="shared" si="13"/>
        <v>306613029.1</v>
      </c>
      <c r="G45" s="6">
        <v>2.5284482713E8</v>
      </c>
      <c r="H45" s="5">
        <v>234.0</v>
      </c>
      <c r="I45" s="6">
        <v>2293750.0</v>
      </c>
      <c r="J45" s="4">
        <v>69576.38</v>
      </c>
      <c r="K45" s="4">
        <f t="shared" si="14"/>
        <v>2224173.62</v>
      </c>
      <c r="L45" s="4">
        <f>I45+Oct!L45</f>
        <v>318601564.4</v>
      </c>
      <c r="M45" s="4">
        <f>J45+Oct!M45</f>
        <v>26816320.83</v>
      </c>
      <c r="N45" s="4">
        <f t="shared" si="15"/>
        <v>291785243.6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55</v>
      </c>
      <c r="D46" s="6">
        <v>3.4662654366E8</v>
      </c>
      <c r="E46" s="6">
        <v>2452158.85</v>
      </c>
      <c r="F46" s="6">
        <f t="shared" si="13"/>
        <v>344174384.8</v>
      </c>
      <c r="G46" s="6">
        <v>1.6381970301E8</v>
      </c>
      <c r="H46" s="5">
        <v>56.0</v>
      </c>
      <c r="I46" s="6">
        <v>0.0</v>
      </c>
      <c r="J46" s="4">
        <v>0.0</v>
      </c>
      <c r="K46" s="4">
        <f t="shared" si="14"/>
        <v>0</v>
      </c>
      <c r="L46" s="4">
        <f>I46+Oct!L46</f>
        <v>0</v>
      </c>
      <c r="M46" s="4">
        <f>J46+Oct!M46</f>
        <v>2789770.37</v>
      </c>
      <c r="N46" s="4">
        <f t="shared" si="15"/>
        <v>-2789770.37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56</v>
      </c>
      <c r="D47" s="6">
        <v>5.9073800091E8</v>
      </c>
      <c r="E47" s="6">
        <v>2.870060272E7</v>
      </c>
      <c r="F47" s="6">
        <f t="shared" si="13"/>
        <v>562037398.2</v>
      </c>
      <c r="G47" s="6">
        <v>3.2637794753E8</v>
      </c>
      <c r="H47" s="5">
        <v>10137.0</v>
      </c>
      <c r="I47" s="6">
        <v>157233.07</v>
      </c>
      <c r="J47" s="4">
        <v>536177.77</v>
      </c>
      <c r="K47" s="4">
        <f t="shared" si="14"/>
        <v>-378944.7</v>
      </c>
      <c r="L47" s="4">
        <f>I47+Oct!L47</f>
        <v>5650736.58</v>
      </c>
      <c r="M47" s="4">
        <f>J47+Oct!M47</f>
        <v>47355041.43</v>
      </c>
      <c r="N47" s="4">
        <f t="shared" si="15"/>
        <v>-41704304.85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v>32.0</v>
      </c>
      <c r="C48" s="3" t="s">
        <v>57</v>
      </c>
      <c r="D48" s="6">
        <v>2.21137943017E9</v>
      </c>
      <c r="E48" s="6">
        <v>9.093796432E7</v>
      </c>
      <c r="F48" s="6">
        <f t="shared" si="13"/>
        <v>2120441466</v>
      </c>
      <c r="G48" s="6">
        <v>9.8016577635E8</v>
      </c>
      <c r="H48" s="5">
        <v>8248.0</v>
      </c>
      <c r="I48" s="6">
        <v>2695037.11</v>
      </c>
      <c r="J48" s="4">
        <v>5780297.22</v>
      </c>
      <c r="K48" s="4">
        <f t="shared" si="14"/>
        <v>-3085260.11</v>
      </c>
      <c r="L48" s="4">
        <f>I48+Oct!L48</f>
        <v>200660796.2</v>
      </c>
      <c r="M48" s="4">
        <f>J48+Oct!M48</f>
        <v>8270192628</v>
      </c>
      <c r="N48" s="4">
        <f t="shared" si="15"/>
        <v>-8069531831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1.25" customHeight="1">
      <c r="A49" s="18"/>
      <c r="B49" s="2">
        <v>33.0</v>
      </c>
      <c r="C49" s="3" t="s">
        <v>250</v>
      </c>
      <c r="D49" s="6">
        <v>1.4147225552E8</v>
      </c>
      <c r="E49" s="6">
        <v>255904.45</v>
      </c>
      <c r="F49" s="6">
        <f t="shared" si="13"/>
        <v>141216351.1</v>
      </c>
      <c r="G49" s="6">
        <v>8.529014805E7</v>
      </c>
      <c r="H49" s="5">
        <v>198.0</v>
      </c>
      <c r="I49" s="6">
        <v>0.0</v>
      </c>
      <c r="J49" s="4">
        <v>0.0</v>
      </c>
      <c r="K49" s="4">
        <f t="shared" si="14"/>
        <v>0</v>
      </c>
      <c r="L49" s="4">
        <f>I49+Oct!L49</f>
        <v>3708346.55</v>
      </c>
      <c r="M49" s="4">
        <f>J49+Oct!M49</f>
        <v>6741043.38</v>
      </c>
      <c r="N49" s="4">
        <f t="shared" si="15"/>
        <v>-3032696.83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59</v>
      </c>
      <c r="D50" s="6">
        <v>7.60639248571E9</v>
      </c>
      <c r="E50" s="6">
        <v>2.1818316038E8</v>
      </c>
      <c r="F50" s="6">
        <f t="shared" si="13"/>
        <v>7388209325</v>
      </c>
      <c r="G50" s="6">
        <v>3.75560622203E9</v>
      </c>
      <c r="H50" s="5">
        <v>53561.0</v>
      </c>
      <c r="I50" s="6">
        <v>9108379.75</v>
      </c>
      <c r="J50" s="4">
        <v>3.890449849E7</v>
      </c>
      <c r="K50" s="4">
        <f t="shared" si="14"/>
        <v>-29796118.74</v>
      </c>
      <c r="L50" s="4">
        <f>I50+Oct!L50</f>
        <v>161841612.1</v>
      </c>
      <c r="M50" s="4">
        <f>J50+Oct!M50</f>
        <v>474071434.3</v>
      </c>
      <c r="N50" s="4">
        <f t="shared" si="15"/>
        <v>-312229822.3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v>35.0</v>
      </c>
      <c r="C51" s="3" t="s">
        <v>60</v>
      </c>
      <c r="D51" s="6">
        <v>1.20741164012E9</v>
      </c>
      <c r="E51" s="6">
        <v>3.632014748E7</v>
      </c>
      <c r="F51" s="6">
        <f t="shared" si="13"/>
        <v>1171091493</v>
      </c>
      <c r="G51" s="6">
        <v>6.914434666E8</v>
      </c>
      <c r="H51" s="5">
        <v>4998.0</v>
      </c>
      <c r="I51" s="6">
        <v>0.0</v>
      </c>
      <c r="J51" s="4">
        <v>1.444054348E7</v>
      </c>
      <c r="K51" s="4">
        <f t="shared" si="14"/>
        <v>-14440543.48</v>
      </c>
      <c r="L51" s="4">
        <f>I51+Oct!L51</f>
        <v>0</v>
      </c>
      <c r="M51" s="4">
        <f>J51+Oct!M51</f>
        <v>73626969.92</v>
      </c>
      <c r="N51" s="4">
        <f t="shared" si="15"/>
        <v>-73626969.92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18" t="s">
        <v>40</v>
      </c>
      <c r="B52" s="2"/>
      <c r="C52" s="3"/>
      <c r="D52" s="6"/>
      <c r="E52" s="6"/>
      <c r="F52" s="6"/>
      <c r="G52" s="6"/>
      <c r="H52" s="5"/>
      <c r="I52" s="6"/>
      <c r="J52" s="4"/>
      <c r="K52" s="4"/>
      <c r="L52" s="4"/>
      <c r="M52" s="4"/>
      <c r="N52" s="4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61</v>
      </c>
      <c r="D53" s="6">
        <v>7.494591866E7</v>
      </c>
      <c r="E53" s="6">
        <v>363106.32</v>
      </c>
      <c r="F53" s="6">
        <f t="shared" ref="F53:F55" si="16">D53-E53</f>
        <v>74582812.34</v>
      </c>
      <c r="G53" s="6">
        <v>2.87534677E7</v>
      </c>
      <c r="H53" s="5">
        <v>1033.0</v>
      </c>
      <c r="I53" s="6">
        <v>296701.2</v>
      </c>
      <c r="J53" s="4">
        <v>136116.87</v>
      </c>
      <c r="K53" s="4">
        <f t="shared" ref="K53:K55" si="17">I53-J53</f>
        <v>160584.33</v>
      </c>
      <c r="L53" s="4">
        <f>I53+Oct!L53</f>
        <v>8660196.48</v>
      </c>
      <c r="M53" s="4">
        <f>J53+Oct!M53</f>
        <v>2414106.35</v>
      </c>
      <c r="N53" s="4">
        <f t="shared" ref="N53:N55" si="18">L53-M53</f>
        <v>6246090.13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62</v>
      </c>
      <c r="D54" s="6">
        <v>5.615603014E7</v>
      </c>
      <c r="E54" s="6">
        <v>347434.43</v>
      </c>
      <c r="F54" s="6">
        <f t="shared" si="16"/>
        <v>55808595.71</v>
      </c>
      <c r="G54" s="6">
        <v>4.49587461E7</v>
      </c>
      <c r="H54" s="5">
        <v>401.0</v>
      </c>
      <c r="I54" s="6">
        <v>178877.33</v>
      </c>
      <c r="J54" s="4">
        <v>458066.04</v>
      </c>
      <c r="K54" s="4">
        <f t="shared" si="17"/>
        <v>-279188.71</v>
      </c>
      <c r="L54" s="4">
        <f>I54+Oct!L54</f>
        <v>5995536.12</v>
      </c>
      <c r="M54" s="4">
        <f>J54+Oct!M54</f>
        <v>962006.43</v>
      </c>
      <c r="N54" s="4">
        <f t="shared" si="18"/>
        <v>5033529.69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v>38.0</v>
      </c>
      <c r="C55" s="3" t="s">
        <v>63</v>
      </c>
      <c r="D55" s="6">
        <v>4.758860559E7</v>
      </c>
      <c r="E55" s="6">
        <v>307484.54</v>
      </c>
      <c r="F55" s="6">
        <f t="shared" si="16"/>
        <v>47281121.05</v>
      </c>
      <c r="G55" s="6">
        <v>4.06742768E7</v>
      </c>
      <c r="H55" s="5">
        <v>185.0</v>
      </c>
      <c r="I55" s="6">
        <v>66500.0</v>
      </c>
      <c r="J55" s="4">
        <v>9736.53</v>
      </c>
      <c r="K55" s="4">
        <f t="shared" si="17"/>
        <v>56763.47</v>
      </c>
      <c r="L55" s="4">
        <f>I55+Oct!L55</f>
        <v>2347829.65</v>
      </c>
      <c r="M55" s="4">
        <f>J55+Oct!M55</f>
        <v>277328.25</v>
      </c>
      <c r="N55" s="4">
        <f t="shared" si="18"/>
        <v>2070501.4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22" t="s">
        <v>44</v>
      </c>
      <c r="B56" s="22"/>
      <c r="C56" s="1"/>
      <c r="D56" s="24">
        <f t="shared" ref="D56:N56" si="19">SUM(D42:D55)</f>
        <v>14443430934</v>
      </c>
      <c r="E56" s="24">
        <f t="shared" si="19"/>
        <v>450106245.5</v>
      </c>
      <c r="F56" s="24">
        <f t="shared" si="19"/>
        <v>13993324688</v>
      </c>
      <c r="G56" s="24">
        <f t="shared" si="19"/>
        <v>7378611187</v>
      </c>
      <c r="H56" s="24">
        <f t="shared" si="19"/>
        <v>86967</v>
      </c>
      <c r="I56" s="24">
        <f t="shared" si="19"/>
        <v>18233672.51</v>
      </c>
      <c r="J56" s="24">
        <f t="shared" si="19"/>
        <v>78205329.58</v>
      </c>
      <c r="K56" s="24">
        <f t="shared" si="19"/>
        <v>-59971657.07</v>
      </c>
      <c r="L56" s="24">
        <f t="shared" si="19"/>
        <v>777075662.5</v>
      </c>
      <c r="M56" s="24">
        <f t="shared" si="19"/>
        <v>9196909233</v>
      </c>
      <c r="N56" s="24">
        <f t="shared" si="19"/>
        <v>-8419833571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2.0" customHeight="1">
      <c r="A57" s="18" t="s">
        <v>45</v>
      </c>
      <c r="B57" s="2"/>
      <c r="C57" s="3"/>
      <c r="D57" s="6"/>
      <c r="E57" s="6"/>
      <c r="F57" s="6"/>
      <c r="G57" s="6"/>
      <c r="H57" s="5"/>
      <c r="I57" s="6"/>
      <c r="J57" s="4"/>
      <c r="K57" s="4"/>
      <c r="L57" s="4"/>
      <c r="M57" s="4"/>
      <c r="N57" s="4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64</v>
      </c>
      <c r="D58" s="6">
        <f>56.56*1281407.82</f>
        <v>72476426.3</v>
      </c>
      <c r="E58" s="6">
        <f>56.56*7909.1</f>
        <v>447338.696</v>
      </c>
      <c r="F58" s="6">
        <f t="shared" ref="F58:F61" si="20">D58-E58</f>
        <v>72029087.6</v>
      </c>
      <c r="G58" s="6">
        <v>0.0</v>
      </c>
      <c r="H58" s="5">
        <v>54.0</v>
      </c>
      <c r="I58" s="6">
        <f>56.56*1199.98</f>
        <v>67870.8688</v>
      </c>
      <c r="J58" s="6">
        <f>56.56*1046.58</f>
        <v>59194.5648</v>
      </c>
      <c r="K58" s="4">
        <f t="shared" ref="K58:K61" si="21">I58-J58</f>
        <v>8676.304</v>
      </c>
      <c r="L58" s="4">
        <f>I58+Oct!L58</f>
        <v>5269785.849</v>
      </c>
      <c r="M58" s="4">
        <f>J58+Oct!M58</f>
        <v>4146587.404</v>
      </c>
      <c r="N58" s="4">
        <f t="shared" ref="N58:N61" si="22">L58-M58</f>
        <v>1123198.446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v>40.0</v>
      </c>
      <c r="C59" s="3" t="s">
        <v>65</v>
      </c>
      <c r="D59" s="6">
        <f>56.56*6253378.27</f>
        <v>353691075</v>
      </c>
      <c r="E59" s="6">
        <f>56.56*424606.53</f>
        <v>24015745.34</v>
      </c>
      <c r="F59" s="6">
        <f t="shared" si="20"/>
        <v>329675329.6</v>
      </c>
      <c r="G59" s="6">
        <f>56.56*3164321.38</f>
        <v>178974017.3</v>
      </c>
      <c r="H59" s="5">
        <v>269.0</v>
      </c>
      <c r="I59" s="6">
        <v>0.0</v>
      </c>
      <c r="J59" s="6">
        <f>56.56*2010.2</f>
        <v>113696.912</v>
      </c>
      <c r="K59" s="4">
        <f t="shared" si="21"/>
        <v>-113696.912</v>
      </c>
      <c r="L59" s="4">
        <f>I59+Oct!L59</f>
        <v>602209.6245</v>
      </c>
      <c r="M59" s="4">
        <f>J59+Oct!M59</f>
        <v>18599895.23</v>
      </c>
      <c r="N59" s="4">
        <f t="shared" si="22"/>
        <v>-17997685.6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66</v>
      </c>
      <c r="D60" s="6">
        <f>56.56*28032057.95</f>
        <v>1585493198</v>
      </c>
      <c r="E60" s="6">
        <f>56.56*98619.93</f>
        <v>5577943.241</v>
      </c>
      <c r="F60" s="6">
        <f t="shared" si="20"/>
        <v>1579915254</v>
      </c>
      <c r="G60" s="6">
        <v>0.0</v>
      </c>
      <c r="H60" s="5">
        <v>4131.0</v>
      </c>
      <c r="I60" s="6">
        <f>56.56*8300</f>
        <v>469448</v>
      </c>
      <c r="J60" s="6">
        <f>56.56*415177.35</f>
        <v>23482430.92</v>
      </c>
      <c r="K60" s="4">
        <f t="shared" si="21"/>
        <v>-23012982.92</v>
      </c>
      <c r="L60" s="4">
        <f>I60+Oct!L60</f>
        <v>67719772.34</v>
      </c>
      <c r="M60" s="4">
        <f>J60+Oct!M60</f>
        <v>213565629.3</v>
      </c>
      <c r="N60" s="4">
        <f t="shared" si="22"/>
        <v>-145845856.9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v>42.0</v>
      </c>
      <c r="C61" s="3" t="s">
        <v>67</v>
      </c>
      <c r="D61" s="6">
        <f>56.56*5460430.48</f>
        <v>308841947.9</v>
      </c>
      <c r="E61" s="6">
        <f>56.56*16451.82</f>
        <v>930514.9392</v>
      </c>
      <c r="F61" s="6">
        <f t="shared" si="20"/>
        <v>307911433</v>
      </c>
      <c r="G61" s="6">
        <v>0.0</v>
      </c>
      <c r="H61" s="5">
        <v>713.0</v>
      </c>
      <c r="I61" s="6">
        <f>56.56*70573.48</f>
        <v>3991636.029</v>
      </c>
      <c r="J61" s="6">
        <f>56.56*19037.34</f>
        <v>1076751.95</v>
      </c>
      <c r="K61" s="4">
        <f t="shared" si="21"/>
        <v>2914884.078</v>
      </c>
      <c r="L61" s="4">
        <f>I61+Oct!L61</f>
        <v>16466124.73</v>
      </c>
      <c r="M61" s="4">
        <f>J61+Oct!M61</f>
        <v>45649661.45</v>
      </c>
      <c r="N61" s="4">
        <f t="shared" si="22"/>
        <v>-29183536.72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22" t="s">
        <v>48</v>
      </c>
      <c r="B62" s="23"/>
      <c r="C62" s="1"/>
      <c r="D62" s="24">
        <f t="shared" ref="D62:N62" si="23">SUM(D58:D61)</f>
        <v>2320502647</v>
      </c>
      <c r="E62" s="24">
        <f t="shared" si="23"/>
        <v>30971542.21</v>
      </c>
      <c r="F62" s="24">
        <f t="shared" si="23"/>
        <v>2289531105</v>
      </c>
      <c r="G62" s="24">
        <f t="shared" si="23"/>
        <v>178974017.3</v>
      </c>
      <c r="H62" s="24">
        <f t="shared" si="23"/>
        <v>5167</v>
      </c>
      <c r="I62" s="24">
        <f t="shared" si="23"/>
        <v>4528954.898</v>
      </c>
      <c r="J62" s="24">
        <f t="shared" si="23"/>
        <v>24732074.34</v>
      </c>
      <c r="K62" s="24">
        <f t="shared" si="23"/>
        <v>-20203119.45</v>
      </c>
      <c r="L62" s="24">
        <f t="shared" si="23"/>
        <v>90057892.54</v>
      </c>
      <c r="M62" s="24">
        <f t="shared" si="23"/>
        <v>281961773.4</v>
      </c>
      <c r="N62" s="24">
        <f t="shared" si="23"/>
        <v>-191903880.8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68</v>
      </c>
      <c r="B63" s="23"/>
      <c r="C63" s="1"/>
      <c r="D63" s="24">
        <f t="shared" ref="D63:N63" si="24">D56+D62</f>
        <v>16763933581</v>
      </c>
      <c r="E63" s="24">
        <f t="shared" si="24"/>
        <v>481077787.7</v>
      </c>
      <c r="F63" s="24">
        <f t="shared" si="24"/>
        <v>16282855793</v>
      </c>
      <c r="G63" s="24">
        <f t="shared" si="24"/>
        <v>7557585204</v>
      </c>
      <c r="H63" s="24">
        <f t="shared" si="24"/>
        <v>92134</v>
      </c>
      <c r="I63" s="24">
        <f t="shared" si="24"/>
        <v>22762627.41</v>
      </c>
      <c r="J63" s="24">
        <f t="shared" si="24"/>
        <v>102937403.9</v>
      </c>
      <c r="K63" s="24">
        <f t="shared" si="24"/>
        <v>-80174776.52</v>
      </c>
      <c r="L63" s="24">
        <f t="shared" si="24"/>
        <v>867133555</v>
      </c>
      <c r="M63" s="24">
        <f t="shared" si="24"/>
        <v>9478871007</v>
      </c>
      <c r="N63" s="24">
        <f t="shared" si="24"/>
        <v>-8611737452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69</v>
      </c>
      <c r="B64" s="2"/>
      <c r="C64" s="3"/>
      <c r="D64" s="6"/>
      <c r="E64" s="6"/>
      <c r="F64" s="6"/>
      <c r="G64" s="6"/>
      <c r="H64" s="5"/>
      <c r="I64" s="6"/>
      <c r="J64" s="4"/>
      <c r="K64" s="4"/>
      <c r="L64" s="4"/>
      <c r="M64" s="4"/>
      <c r="N64" s="4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18" t="s">
        <v>20</v>
      </c>
      <c r="B65" s="2"/>
      <c r="C65" s="3"/>
      <c r="D65" s="6"/>
      <c r="E65" s="6"/>
      <c r="F65" s="6"/>
      <c r="G65" s="6"/>
      <c r="H65" s="5"/>
      <c r="I65" s="6"/>
      <c r="J65" s="4"/>
      <c r="K65" s="4"/>
      <c r="L65" s="4"/>
      <c r="M65" s="4"/>
      <c r="N65" s="4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70</v>
      </c>
      <c r="D66" s="6">
        <v>4.032623580148E10</v>
      </c>
      <c r="E66" s="6">
        <v>2.0718321094E8</v>
      </c>
      <c r="F66" s="6">
        <f t="shared" ref="F66:F76" si="25">D66-E66</f>
        <v>40119052591</v>
      </c>
      <c r="G66" s="6">
        <v>9.1533308E8</v>
      </c>
      <c r="H66" s="5">
        <v>25350.0</v>
      </c>
      <c r="I66" s="6">
        <v>2.2787011651E8</v>
      </c>
      <c r="J66" s="4">
        <v>5.7355621752E8</v>
      </c>
      <c r="K66" s="4">
        <f t="shared" ref="K66:K76" si="26">I66-J66</f>
        <v>-345686101</v>
      </c>
      <c r="L66" s="4">
        <f>I66+Oct!L66</f>
        <v>2882216665</v>
      </c>
      <c r="M66" s="4">
        <f>J66+Oct!M66</f>
        <v>7108208616</v>
      </c>
      <c r="N66" s="4">
        <f t="shared" ref="N66:N76" si="27">L66-M66</f>
        <v>-4225991951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251</v>
      </c>
      <c r="D67" s="6">
        <v>4.7815881368E8</v>
      </c>
      <c r="E67" s="6">
        <v>3.305956549E7</v>
      </c>
      <c r="F67" s="6">
        <f t="shared" si="25"/>
        <v>445099248.2</v>
      </c>
      <c r="G67" s="6">
        <v>0.0</v>
      </c>
      <c r="H67" s="5">
        <v>1068.0</v>
      </c>
      <c r="I67" s="6">
        <v>5.615052057999997E7</v>
      </c>
      <c r="J67" s="4">
        <v>5750200.190000001</v>
      </c>
      <c r="K67" s="4">
        <f t="shared" si="26"/>
        <v>50400320.39</v>
      </c>
      <c r="L67" s="4">
        <f>I67+Oct!L67</f>
        <v>189503793.1</v>
      </c>
      <c r="M67" s="4">
        <f>J67+Oct!M67</f>
        <v>35135912.63</v>
      </c>
      <c r="N67" s="4">
        <f t="shared" si="27"/>
        <v>154367880.4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v>45.0</v>
      </c>
      <c r="C68" s="3" t="s">
        <v>72</v>
      </c>
      <c r="D68" s="6">
        <v>1.1040591446599998E9</v>
      </c>
      <c r="E68" s="6">
        <v>1.7497432410000004E7</v>
      </c>
      <c r="F68" s="6">
        <f t="shared" si="25"/>
        <v>1086561712</v>
      </c>
      <c r="G68" s="6">
        <v>0.0</v>
      </c>
      <c r="H68" s="5">
        <v>2003.0</v>
      </c>
      <c r="I68" s="6">
        <v>795311.100000002</v>
      </c>
      <c r="J68" s="4">
        <v>4.3266921810000196E7</v>
      </c>
      <c r="K68" s="4">
        <f t="shared" si="26"/>
        <v>-42471610.71</v>
      </c>
      <c r="L68" s="4">
        <f>I68+Oct!L68</f>
        <v>135465663.2</v>
      </c>
      <c r="M68" s="4">
        <f>J68+Oct!M68</f>
        <v>264551262.8</v>
      </c>
      <c r="N68" s="4">
        <f t="shared" si="27"/>
        <v>-129085599.6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1"/>
      <c r="B69" s="2">
        <v>46.0</v>
      </c>
      <c r="C69" s="3" t="s">
        <v>73</v>
      </c>
      <c r="D69" s="6">
        <v>1.9127147063E8</v>
      </c>
      <c r="E69" s="6">
        <v>282338.27</v>
      </c>
      <c r="F69" s="6">
        <f t="shared" si="25"/>
        <v>190989132.4</v>
      </c>
      <c r="G69" s="6">
        <v>4840000.0</v>
      </c>
      <c r="H69" s="5">
        <v>165.0</v>
      </c>
      <c r="I69" s="6">
        <v>776082.34</v>
      </c>
      <c r="J69" s="4">
        <v>204663.09</v>
      </c>
      <c r="K69" s="4">
        <f t="shared" si="26"/>
        <v>571419.25</v>
      </c>
      <c r="L69" s="4">
        <f>I69+Oct!L69</f>
        <v>5303152.12</v>
      </c>
      <c r="M69" s="4">
        <f>J69+Oct!M69</f>
        <v>9871980.06</v>
      </c>
      <c r="N69" s="4">
        <f t="shared" si="27"/>
        <v>-4568827.94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74</v>
      </c>
      <c r="D70" s="6">
        <v>1.30472569842E9</v>
      </c>
      <c r="E70" s="6">
        <v>1.981265939E7</v>
      </c>
      <c r="F70" s="6">
        <f t="shared" si="25"/>
        <v>1284913039</v>
      </c>
      <c r="G70" s="6">
        <v>0.0</v>
      </c>
      <c r="H70" s="5">
        <v>1816.0</v>
      </c>
      <c r="I70" s="6">
        <v>431140.52</v>
      </c>
      <c r="J70" s="4">
        <v>1.57234273E7</v>
      </c>
      <c r="K70" s="4">
        <f t="shared" si="26"/>
        <v>-15292286.78</v>
      </c>
      <c r="L70" s="4">
        <f>I70+Oct!L70</f>
        <v>31824099.93</v>
      </c>
      <c r="M70" s="4">
        <f>J70+Oct!M70</f>
        <v>254617987.1</v>
      </c>
      <c r="N70" s="4">
        <f t="shared" si="27"/>
        <v>-222793887.1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75</v>
      </c>
      <c r="D71" s="6">
        <v>8.9669468606E8</v>
      </c>
      <c r="E71" s="6">
        <v>3.717243161E7</v>
      </c>
      <c r="F71" s="6">
        <f t="shared" si="25"/>
        <v>859522254.5</v>
      </c>
      <c r="G71" s="6">
        <v>0.0</v>
      </c>
      <c r="H71" s="5">
        <v>505.0</v>
      </c>
      <c r="I71" s="6">
        <v>940818.5</v>
      </c>
      <c r="J71" s="4">
        <v>4864649.49</v>
      </c>
      <c r="K71" s="4">
        <f t="shared" si="26"/>
        <v>-3923830.99</v>
      </c>
      <c r="L71" s="4">
        <f>I71+Oct!L71</f>
        <v>26045413.23</v>
      </c>
      <c r="M71" s="4">
        <f>J71+Oct!M71</f>
        <v>155035370.6</v>
      </c>
      <c r="N71" s="4">
        <f t="shared" si="27"/>
        <v>-128989957.4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76</v>
      </c>
      <c r="D72" s="6">
        <v>1.72079307727E9</v>
      </c>
      <c r="E72" s="6">
        <v>2.644129909E7</v>
      </c>
      <c r="F72" s="6">
        <f t="shared" si="25"/>
        <v>1694351778</v>
      </c>
      <c r="G72" s="6">
        <v>0.0</v>
      </c>
      <c r="H72" s="5">
        <v>5063.0</v>
      </c>
      <c r="I72" s="6">
        <v>2171744.37</v>
      </c>
      <c r="J72" s="4">
        <v>2.159922787E7</v>
      </c>
      <c r="K72" s="4">
        <f t="shared" si="26"/>
        <v>-19427483.5</v>
      </c>
      <c r="L72" s="4">
        <f>I72+Oct!L72</f>
        <v>226109789</v>
      </c>
      <c r="M72" s="4">
        <f>J72+Oct!M72</f>
        <v>4968307309</v>
      </c>
      <c r="N72" s="4">
        <f t="shared" si="27"/>
        <v>-4742197520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77</v>
      </c>
      <c r="D73" s="6">
        <v>3.02448970912344E8</v>
      </c>
      <c r="E73" s="6">
        <v>713325.53</v>
      </c>
      <c r="F73" s="6">
        <f t="shared" si="25"/>
        <v>301735645.4</v>
      </c>
      <c r="G73" s="6">
        <v>0.0</v>
      </c>
      <c r="H73" s="5">
        <v>4168.0</v>
      </c>
      <c r="I73" s="6">
        <v>1032811.57</v>
      </c>
      <c r="J73" s="4">
        <v>624288.01</v>
      </c>
      <c r="K73" s="4">
        <f t="shared" si="26"/>
        <v>408523.56</v>
      </c>
      <c r="L73" s="4">
        <f>I73+Oct!L73</f>
        <v>32963933.67</v>
      </c>
      <c r="M73" s="4">
        <f>J73+Oct!M73</f>
        <v>33362995.21</v>
      </c>
      <c r="N73" s="4">
        <f t="shared" si="27"/>
        <v>-399061.54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78</v>
      </c>
      <c r="D74" s="6">
        <v>1.20995754012E9</v>
      </c>
      <c r="E74" s="28">
        <v>1.285046028E7</v>
      </c>
      <c r="F74" s="6">
        <f t="shared" si="25"/>
        <v>1197107080</v>
      </c>
      <c r="G74" s="6">
        <v>0.0</v>
      </c>
      <c r="H74" s="5">
        <v>835.0</v>
      </c>
      <c r="I74" s="6">
        <v>2.8094764599999998E7</v>
      </c>
      <c r="J74" s="4">
        <v>85631.78</v>
      </c>
      <c r="K74" s="4">
        <f t="shared" si="26"/>
        <v>28009132.82</v>
      </c>
      <c r="L74" s="4">
        <f>I74+Oct!L74</f>
        <v>302593314.8</v>
      </c>
      <c r="M74" s="4">
        <f>J74+Oct!M74</f>
        <v>13532430.91</v>
      </c>
      <c r="N74" s="4">
        <f t="shared" si="27"/>
        <v>289060883.9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79</v>
      </c>
      <c r="D75" s="6">
        <v>4.51916384602E9</v>
      </c>
      <c r="E75" s="6">
        <v>2.010613656E8</v>
      </c>
      <c r="F75" s="6">
        <f t="shared" si="25"/>
        <v>4318102480</v>
      </c>
      <c r="G75" s="6">
        <v>0.0</v>
      </c>
      <c r="H75" s="5">
        <v>16505.0</v>
      </c>
      <c r="I75" s="6">
        <v>4.80480036E7</v>
      </c>
      <c r="J75" s="4">
        <v>1.7574482429E8</v>
      </c>
      <c r="K75" s="4">
        <f t="shared" si="26"/>
        <v>-127696820.7</v>
      </c>
      <c r="L75" s="4">
        <f>I75+Oct!L75</f>
        <v>515366400</v>
      </c>
      <c r="M75" s="4">
        <f>J75+Oct!M75</f>
        <v>817373794.6</v>
      </c>
      <c r="N75" s="4">
        <f t="shared" si="27"/>
        <v>-302007394.6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v>53.0</v>
      </c>
      <c r="C76" s="3" t="s">
        <v>80</v>
      </c>
      <c r="D76" s="6">
        <v>1.4367124044E8</v>
      </c>
      <c r="E76" s="6">
        <v>6771094.96</v>
      </c>
      <c r="F76" s="6">
        <f t="shared" si="25"/>
        <v>136900145.5</v>
      </c>
      <c r="G76" s="6">
        <v>0.0</v>
      </c>
      <c r="H76" s="5">
        <v>2621.0</v>
      </c>
      <c r="I76" s="6">
        <v>666699.66</v>
      </c>
      <c r="J76" s="4">
        <v>431240.51</v>
      </c>
      <c r="K76" s="4">
        <f t="shared" si="26"/>
        <v>235459.15</v>
      </c>
      <c r="L76" s="4">
        <f>I76+Oct!L76</f>
        <v>7729481.41</v>
      </c>
      <c r="M76" s="4">
        <f>J76+Oct!M76</f>
        <v>29343385.52</v>
      </c>
      <c r="N76" s="4">
        <f t="shared" si="27"/>
        <v>-21613904.11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22" t="s">
        <v>44</v>
      </c>
      <c r="B77" s="1"/>
      <c r="C77" s="1"/>
      <c r="D77" s="24">
        <f t="shared" ref="D77:N77" si="28">SUM(D66:D76)</f>
        <v>52197180290</v>
      </c>
      <c r="E77" s="24">
        <f t="shared" si="28"/>
        <v>562845183.6</v>
      </c>
      <c r="F77" s="24">
        <f t="shared" si="28"/>
        <v>51634335106</v>
      </c>
      <c r="G77" s="24">
        <f t="shared" si="28"/>
        <v>920173080</v>
      </c>
      <c r="H77" s="24">
        <f t="shared" si="28"/>
        <v>60099</v>
      </c>
      <c r="I77" s="24">
        <f t="shared" si="28"/>
        <v>366978013.4</v>
      </c>
      <c r="J77" s="24">
        <f t="shared" si="28"/>
        <v>841851291.9</v>
      </c>
      <c r="K77" s="24">
        <f t="shared" si="28"/>
        <v>-474873278.5</v>
      </c>
      <c r="L77" s="24">
        <f t="shared" si="28"/>
        <v>4355121705</v>
      </c>
      <c r="M77" s="24">
        <f t="shared" si="28"/>
        <v>13689341044</v>
      </c>
      <c r="N77" s="24">
        <f t="shared" si="28"/>
        <v>-9334219339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45</v>
      </c>
      <c r="B78" s="2"/>
      <c r="C78" s="3"/>
      <c r="D78" s="6"/>
      <c r="E78" s="6"/>
      <c r="F78" s="6"/>
      <c r="G78" s="6"/>
      <c r="H78" s="5"/>
      <c r="I78" s="6"/>
      <c r="J78" s="4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81</v>
      </c>
      <c r="D79" s="6">
        <f>56.56*251414654.28</f>
        <v>14220012846</v>
      </c>
      <c r="E79" s="6">
        <f>56.56*1834519.16</f>
        <v>103760403.7</v>
      </c>
      <c r="F79" s="6">
        <f t="shared" ref="F79:F85" si="29">D79-E79</f>
        <v>14116252442</v>
      </c>
      <c r="G79" s="6">
        <v>0.0</v>
      </c>
      <c r="H79" s="5">
        <v>8870.0</v>
      </c>
      <c r="I79" s="6">
        <f>56.56*906733.94</f>
        <v>51284871.65</v>
      </c>
      <c r="J79" s="4">
        <f>56.56*4428018.99</f>
        <v>250448754.1</v>
      </c>
      <c r="K79" s="4">
        <f t="shared" ref="K79:K85" si="30">I79-J79</f>
        <v>-199163882.4</v>
      </c>
      <c r="L79" s="4">
        <f>I79+Oct!L79</f>
        <v>972215575.7</v>
      </c>
      <c r="M79" s="4">
        <f>J79+Oct!M79</f>
        <v>5620830752</v>
      </c>
      <c r="N79" s="4">
        <f t="shared" ref="N79:N85" si="31">L79-M79</f>
        <v>-4648615176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252</v>
      </c>
      <c r="D80" s="6">
        <v>3.100567820896E8</v>
      </c>
      <c r="E80" s="6">
        <v>4.24702134024E7</v>
      </c>
      <c r="F80" s="6">
        <f t="shared" si="29"/>
        <v>267586568.7</v>
      </c>
      <c r="G80" s="6">
        <v>0.0</v>
      </c>
      <c r="H80" s="5">
        <v>178.0</v>
      </c>
      <c r="I80" s="6">
        <v>640466.78</v>
      </c>
      <c r="J80" s="4">
        <v>1698212.87</v>
      </c>
      <c r="K80" s="4">
        <f t="shared" si="30"/>
        <v>-1057746.09</v>
      </c>
      <c r="L80" s="4">
        <f>I80+Oct!L80</f>
        <v>21058598.65</v>
      </c>
      <c r="M80" s="4">
        <f>J80+Oct!M80</f>
        <v>513441630.5</v>
      </c>
      <c r="N80" s="4">
        <f t="shared" si="31"/>
        <v>-492383031.9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3"/>
      <c r="B81" s="2">
        <v>56.0</v>
      </c>
      <c r="C81" s="3" t="s">
        <v>83</v>
      </c>
      <c r="D81" s="6">
        <v>4.4016696944640005E8</v>
      </c>
      <c r="E81" s="6">
        <v>3080187.4656</v>
      </c>
      <c r="F81" s="6">
        <f t="shared" si="29"/>
        <v>437086782</v>
      </c>
      <c r="G81" s="6">
        <v>0.0</v>
      </c>
      <c r="H81" s="5">
        <v>145.0</v>
      </c>
      <c r="I81" s="6">
        <v>50773.75881356828</v>
      </c>
      <c r="J81" s="4">
        <v>592896.8377461674</v>
      </c>
      <c r="K81" s="4">
        <f t="shared" si="30"/>
        <v>-542123.0789</v>
      </c>
      <c r="L81" s="4">
        <f>I81+Oct!L81</f>
        <v>15897594.39</v>
      </c>
      <c r="M81" s="4">
        <f>J81+Oct!M81</f>
        <v>319735234</v>
      </c>
      <c r="N81" s="4">
        <f t="shared" si="31"/>
        <v>-303837639.6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1.25" customHeight="1">
      <c r="A82" s="18"/>
      <c r="B82" s="2">
        <v>57.0</v>
      </c>
      <c r="C82" s="3" t="s">
        <v>84</v>
      </c>
      <c r="D82" s="6">
        <f>56.56*1139250.95</f>
        <v>64436033.73</v>
      </c>
      <c r="E82" s="6">
        <f>56.56*241555.55</f>
        <v>13662381.91</v>
      </c>
      <c r="F82" s="6">
        <f t="shared" si="29"/>
        <v>50773651.82</v>
      </c>
      <c r="G82" s="6">
        <v>0.0</v>
      </c>
      <c r="H82" s="5">
        <v>26.0</v>
      </c>
      <c r="I82" s="6">
        <v>0.0</v>
      </c>
      <c r="J82" s="6">
        <v>0.0</v>
      </c>
      <c r="K82" s="4">
        <f t="shared" si="30"/>
        <v>0</v>
      </c>
      <c r="L82" s="4">
        <f>I82+Oct!L82</f>
        <v>684910.0473</v>
      </c>
      <c r="M82" s="4">
        <f>J82+Oct!M82</f>
        <v>1188416.954</v>
      </c>
      <c r="N82" s="4">
        <f t="shared" si="31"/>
        <v>-503506.9064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85</v>
      </c>
      <c r="D83" s="6">
        <f>56.56*36327582.41</f>
        <v>2054688061</v>
      </c>
      <c r="E83" s="6">
        <f>56.56*418461.46</f>
        <v>23668180.18</v>
      </c>
      <c r="F83" s="6">
        <f t="shared" si="29"/>
        <v>2031019881</v>
      </c>
      <c r="G83" s="6">
        <v>0.0</v>
      </c>
      <c r="H83" s="5">
        <v>1944.0</v>
      </c>
      <c r="I83" s="6">
        <f>56.56*10444.27</f>
        <v>590727.9112</v>
      </c>
      <c r="J83" s="6">
        <f>56.56*190244.93</f>
        <v>10760253.24</v>
      </c>
      <c r="K83" s="4">
        <f t="shared" si="30"/>
        <v>-10169525.33</v>
      </c>
      <c r="L83" s="4">
        <f>I83+Oct!L83</f>
        <v>269288976.4</v>
      </c>
      <c r="M83" s="4">
        <f>J83+Oct!M83</f>
        <v>658670015.7</v>
      </c>
      <c r="N83" s="4">
        <f t="shared" si="31"/>
        <v>-389381039.3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86</v>
      </c>
      <c r="D84" s="6">
        <v>2.35756822364E8</v>
      </c>
      <c r="E84" s="6">
        <v>732927.104</v>
      </c>
      <c r="F84" s="6">
        <f t="shared" si="29"/>
        <v>235023895.3</v>
      </c>
      <c r="G84" s="6">
        <v>0.0</v>
      </c>
      <c r="H84" s="5">
        <v>122.0</v>
      </c>
      <c r="I84" s="6">
        <v>424200.0</v>
      </c>
      <c r="J84" s="4">
        <v>2736988.17</v>
      </c>
      <c r="K84" s="4">
        <f t="shared" si="30"/>
        <v>-2312788.17</v>
      </c>
      <c r="L84" s="4">
        <f>I84+Oct!L84</f>
        <v>1722731.38</v>
      </c>
      <c r="M84" s="4">
        <f>J84+Oct!M84</f>
        <v>5158483.33</v>
      </c>
      <c r="N84" s="4">
        <f t="shared" si="31"/>
        <v>-3435751.95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3"/>
      <c r="B85" s="2">
        <v>60.0</v>
      </c>
      <c r="C85" s="3" t="s">
        <v>87</v>
      </c>
      <c r="D85" s="6">
        <f>56.56*8107807.74</f>
        <v>458577605.8</v>
      </c>
      <c r="E85" s="6">
        <f>56.56*51706.1</f>
        <v>2924497.016</v>
      </c>
      <c r="F85" s="6">
        <f t="shared" si="29"/>
        <v>455653108.8</v>
      </c>
      <c r="G85" s="6">
        <v>0.0</v>
      </c>
      <c r="H85" s="5">
        <v>2529.0</v>
      </c>
      <c r="I85" s="6">
        <f>56.56*1002.57</f>
        <v>56705.3592</v>
      </c>
      <c r="J85" s="4">
        <f>56.56*308872.23</f>
        <v>17469813.33</v>
      </c>
      <c r="K85" s="4">
        <f t="shared" si="30"/>
        <v>-17413107.97</v>
      </c>
      <c r="L85" s="4">
        <f>I85+Oct!L85</f>
        <v>25634016.28</v>
      </c>
      <c r="M85" s="4">
        <f>J85+Oct!M85</f>
        <v>76289449.43</v>
      </c>
      <c r="N85" s="4">
        <f t="shared" si="31"/>
        <v>-50655433.15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22" t="s">
        <v>88</v>
      </c>
      <c r="B86" s="23"/>
      <c r="C86" s="29"/>
      <c r="D86" s="24">
        <f t="shared" ref="D86:N86" si="32">SUM(D79:D85)</f>
        <v>17783695121</v>
      </c>
      <c r="E86" s="24">
        <f t="shared" si="32"/>
        <v>190298790.8</v>
      </c>
      <c r="F86" s="24">
        <f t="shared" si="32"/>
        <v>17593396330</v>
      </c>
      <c r="G86" s="24">
        <f t="shared" si="32"/>
        <v>0</v>
      </c>
      <c r="H86" s="24">
        <f t="shared" si="32"/>
        <v>13814</v>
      </c>
      <c r="I86" s="24">
        <f t="shared" si="32"/>
        <v>53047745.46</v>
      </c>
      <c r="J86" s="24">
        <f t="shared" si="32"/>
        <v>283706918.5</v>
      </c>
      <c r="K86" s="24">
        <f t="shared" si="32"/>
        <v>-230659173.1</v>
      </c>
      <c r="L86" s="24">
        <f t="shared" si="32"/>
        <v>1306502403</v>
      </c>
      <c r="M86" s="24">
        <f t="shared" si="32"/>
        <v>7195313982</v>
      </c>
      <c r="N86" s="24">
        <f t="shared" si="32"/>
        <v>-5888811579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v>61.0</v>
      </c>
      <c r="C87" s="3" t="s">
        <v>89</v>
      </c>
      <c r="D87" s="6">
        <f>58.65272*15591972.53</f>
        <v>914511599</v>
      </c>
      <c r="E87" s="6">
        <f>58.65272*175190.41</f>
        <v>10275394.06</v>
      </c>
      <c r="F87" s="6">
        <f>D87-E87</f>
        <v>904236205</v>
      </c>
      <c r="G87" s="6">
        <v>0.0</v>
      </c>
      <c r="H87" s="5">
        <v>661.0</v>
      </c>
      <c r="I87" s="6">
        <f>58.65272*27304.44</f>
        <v>1601479.674</v>
      </c>
      <c r="J87" s="4">
        <f>58.65272*137687.76</f>
        <v>8075761.635</v>
      </c>
      <c r="K87" s="4">
        <f>I87-J87</f>
        <v>-6474281.961</v>
      </c>
      <c r="L87" s="4">
        <f>I87+Oct!L87</f>
        <v>36753900.13</v>
      </c>
      <c r="M87" s="4">
        <f>J87+Oct!M87</f>
        <v>91620321.52</v>
      </c>
      <c r="N87" s="4">
        <f>L87-M87</f>
        <v>-54866421.39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22" t="s">
        <v>90</v>
      </c>
      <c r="B88" s="29"/>
      <c r="C88" s="1"/>
      <c r="D88" s="24">
        <f t="shared" ref="D88:N88" si="33">SUM(D87)</f>
        <v>914511599</v>
      </c>
      <c r="E88" s="24">
        <f t="shared" si="33"/>
        <v>10275394.06</v>
      </c>
      <c r="F88" s="24">
        <f t="shared" si="33"/>
        <v>904236205</v>
      </c>
      <c r="G88" s="24">
        <f t="shared" si="33"/>
        <v>0</v>
      </c>
      <c r="H88" s="24">
        <f t="shared" si="33"/>
        <v>661</v>
      </c>
      <c r="I88" s="24">
        <f t="shared" si="33"/>
        <v>1601479.674</v>
      </c>
      <c r="J88" s="24">
        <f t="shared" si="33"/>
        <v>8075761.635</v>
      </c>
      <c r="K88" s="24">
        <f t="shared" si="33"/>
        <v>-6474281.961</v>
      </c>
      <c r="L88" s="24">
        <f t="shared" si="33"/>
        <v>36753900.13</v>
      </c>
      <c r="M88" s="24">
        <f t="shared" si="33"/>
        <v>91620321.52</v>
      </c>
      <c r="N88" s="24">
        <f t="shared" si="33"/>
        <v>-54866421.39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91</v>
      </c>
      <c r="B89" s="23"/>
      <c r="C89" s="29"/>
      <c r="D89" s="24">
        <f t="shared" ref="D89:N89" si="34">D77+D86+D88</f>
        <v>70895387009</v>
      </c>
      <c r="E89" s="24">
        <f t="shared" si="34"/>
        <v>763419368.4</v>
      </c>
      <c r="F89" s="24">
        <f t="shared" si="34"/>
        <v>70131967641</v>
      </c>
      <c r="G89" s="24">
        <f t="shared" si="34"/>
        <v>920173080</v>
      </c>
      <c r="H89" s="24">
        <f t="shared" si="34"/>
        <v>74574</v>
      </c>
      <c r="I89" s="24">
        <f t="shared" si="34"/>
        <v>421627238.5</v>
      </c>
      <c r="J89" s="24">
        <f t="shared" si="34"/>
        <v>1133633972</v>
      </c>
      <c r="K89" s="24">
        <f t="shared" si="34"/>
        <v>-712006733.5</v>
      </c>
      <c r="L89" s="24">
        <f t="shared" si="34"/>
        <v>5698378008</v>
      </c>
      <c r="M89" s="24">
        <f t="shared" si="34"/>
        <v>20976275347</v>
      </c>
      <c r="N89" s="24">
        <f t="shared" si="34"/>
        <v>-15277897339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" t="s">
        <v>92</v>
      </c>
      <c r="B90" s="2"/>
      <c r="C90" s="30"/>
      <c r="D90" s="6"/>
      <c r="E90" s="6"/>
      <c r="F90" s="6"/>
      <c r="G90" s="6"/>
      <c r="H90" s="5"/>
      <c r="I90" s="6"/>
      <c r="J90" s="4"/>
      <c r="K90" s="4"/>
      <c r="L90" s="4"/>
      <c r="M90" s="4"/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 t="s">
        <v>20</v>
      </c>
      <c r="B91" s="2"/>
      <c r="C91" s="30"/>
      <c r="D91" s="6"/>
      <c r="E91" s="6"/>
      <c r="F91" s="6"/>
      <c r="G91" s="6"/>
      <c r="H91" s="5"/>
      <c r="I91" s="6"/>
      <c r="J91" s="4"/>
      <c r="K91" s="4"/>
      <c r="L91" s="4"/>
      <c r="M91" s="4"/>
      <c r="N91" s="4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93</v>
      </c>
      <c r="D92" s="6">
        <v>4.583901177889E10</v>
      </c>
      <c r="E92" s="6">
        <v>2.444613049E7</v>
      </c>
      <c r="F92" s="6">
        <f t="shared" ref="F92:F94" si="35">D92-E92</f>
        <v>45814565648</v>
      </c>
      <c r="G92" s="6">
        <v>0.0</v>
      </c>
      <c r="H92" s="5">
        <v>32066.0</v>
      </c>
      <c r="I92" s="6">
        <v>3.90928188265E9</v>
      </c>
      <c r="J92" s="4">
        <v>3.88807819963E9</v>
      </c>
      <c r="K92" s="4">
        <f t="shared" ref="K92:K94" si="36">I92-J92</f>
        <v>21203683.02</v>
      </c>
      <c r="L92" s="4">
        <f>I92+Oct!L92</f>
        <v>41761121379</v>
      </c>
      <c r="M92" s="4">
        <f>J92+Oct!M92</f>
        <v>40006305240</v>
      </c>
      <c r="N92" s="4">
        <f t="shared" ref="N92:N96" si="37">L92-M92</f>
        <v>1754816139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8"/>
      <c r="B93" s="2">
        <v>63.0</v>
      </c>
      <c r="C93" s="3" t="s">
        <v>94</v>
      </c>
      <c r="D93" s="6">
        <v>2.77599779196E9</v>
      </c>
      <c r="E93" s="6">
        <v>8070041.89</v>
      </c>
      <c r="F93" s="6">
        <f t="shared" si="35"/>
        <v>2767927750</v>
      </c>
      <c r="G93" s="6">
        <v>0.0</v>
      </c>
      <c r="H93" s="5">
        <v>681.0</v>
      </c>
      <c r="I93" s="6">
        <v>8.237906285E7</v>
      </c>
      <c r="J93" s="4">
        <v>4.0803156259E8</v>
      </c>
      <c r="K93" s="4">
        <f t="shared" si="36"/>
        <v>-325652499.7</v>
      </c>
      <c r="L93" s="4">
        <f>I93+Oct!L93</f>
        <v>2635519019</v>
      </c>
      <c r="M93" s="4">
        <f>J93+Oct!M93</f>
        <v>2675508668</v>
      </c>
      <c r="N93" s="4">
        <f t="shared" si="37"/>
        <v>-39989648.72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"/>
      <c r="B94" s="2">
        <v>64.0</v>
      </c>
      <c r="C94" s="3" t="s">
        <v>95</v>
      </c>
      <c r="D94" s="6">
        <v>6.129208295401E10</v>
      </c>
      <c r="E94" s="6">
        <v>5.4080041434E8</v>
      </c>
      <c r="F94" s="6">
        <f t="shared" si="35"/>
        <v>60751282540</v>
      </c>
      <c r="G94" s="6">
        <v>0.0</v>
      </c>
      <c r="H94" s="5">
        <v>65235.0</v>
      </c>
      <c r="I94" s="6">
        <v>2.87336115122E9</v>
      </c>
      <c r="J94" s="4">
        <v>1.316815434889E10</v>
      </c>
      <c r="K94" s="4">
        <f t="shared" si="36"/>
        <v>-10294793198</v>
      </c>
      <c r="L94" s="4">
        <f>I94+Oct!L94</f>
        <v>141659782547</v>
      </c>
      <c r="M94" s="4">
        <f>J94+Oct!M94</f>
        <v>209703210486</v>
      </c>
      <c r="N94" s="4">
        <f t="shared" si="37"/>
        <v>-68043427939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40</v>
      </c>
      <c r="B95" s="2"/>
      <c r="C95" s="3"/>
      <c r="D95" s="6"/>
      <c r="E95" s="6"/>
      <c r="F95" s="6"/>
      <c r="G95" s="6"/>
      <c r="H95" s="5"/>
      <c r="I95" s="6"/>
      <c r="J95" s="4"/>
      <c r="K95" s="4"/>
      <c r="L95" s="4"/>
      <c r="M95" s="4"/>
      <c r="N95" s="4">
        <f t="shared" si="37"/>
        <v>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65.0</v>
      </c>
      <c r="C96" s="3" t="s">
        <v>93</v>
      </c>
      <c r="D96" s="6">
        <v>3.0844111627E9</v>
      </c>
      <c r="E96" s="6">
        <v>2465374.6</v>
      </c>
      <c r="F96" s="6">
        <f>D96-E96</f>
        <v>3081945788</v>
      </c>
      <c r="G96" s="6">
        <v>0.0</v>
      </c>
      <c r="H96" s="5">
        <v>3081.0</v>
      </c>
      <c r="I96" s="6">
        <v>1.21044839848E9</v>
      </c>
      <c r="J96" s="4">
        <v>4.7985802044E8</v>
      </c>
      <c r="K96" s="4">
        <f>I96-J96</f>
        <v>730590378</v>
      </c>
      <c r="L96" s="4">
        <f>I96+Oct!L96</f>
        <v>3899775202</v>
      </c>
      <c r="M96" s="4">
        <f>J96+Oct!M96</f>
        <v>825698007.3</v>
      </c>
      <c r="N96" s="4">
        <f t="shared" si="37"/>
        <v>3074077195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2" t="s">
        <v>44</v>
      </c>
      <c r="B97" s="2"/>
      <c r="C97" s="3"/>
      <c r="D97" s="24">
        <f t="shared" ref="D97:N97" si="38">SUM(D92:D94)+D96</f>
        <v>112991503688</v>
      </c>
      <c r="E97" s="24">
        <f t="shared" si="38"/>
        <v>575781961.3</v>
      </c>
      <c r="F97" s="24">
        <f t="shared" si="38"/>
        <v>112415721726</v>
      </c>
      <c r="G97" s="24">
        <f t="shared" si="38"/>
        <v>0</v>
      </c>
      <c r="H97" s="24">
        <f t="shared" si="38"/>
        <v>101063</v>
      </c>
      <c r="I97" s="24">
        <f t="shared" si="38"/>
        <v>8075470495</v>
      </c>
      <c r="J97" s="24">
        <f t="shared" si="38"/>
        <v>17944122132</v>
      </c>
      <c r="K97" s="24">
        <f t="shared" si="38"/>
        <v>-9868651636</v>
      </c>
      <c r="L97" s="24">
        <f t="shared" si="38"/>
        <v>189956198148</v>
      </c>
      <c r="M97" s="24">
        <f t="shared" si="38"/>
        <v>253210722402</v>
      </c>
      <c r="N97" s="24">
        <f t="shared" si="38"/>
        <v>-63254524254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8" t="s">
        <v>45</v>
      </c>
      <c r="B98" s="2"/>
      <c r="C98" s="3"/>
      <c r="D98" s="6"/>
      <c r="E98" s="6"/>
      <c r="F98" s="6"/>
      <c r="G98" s="6"/>
      <c r="H98" s="5"/>
      <c r="I98" s="6"/>
      <c r="J98" s="4"/>
      <c r="K98" s="4"/>
      <c r="L98" s="4"/>
      <c r="M98" s="4"/>
      <c r="N98" s="4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/>
      <c r="B99" s="2">
        <v>66.0</v>
      </c>
      <c r="C99" s="3" t="s">
        <v>96</v>
      </c>
      <c r="D99" s="6">
        <f>56.56*113464326.26</f>
        <v>6417542293</v>
      </c>
      <c r="E99" s="6">
        <f>56.56*1480422.68</f>
        <v>83732706.78</v>
      </c>
      <c r="F99" s="6">
        <f>D99-E99</f>
        <v>6333809586</v>
      </c>
      <c r="G99" s="6">
        <v>0.0</v>
      </c>
      <c r="H99" s="5">
        <v>3342.0</v>
      </c>
      <c r="I99" s="6">
        <f>56.56*10895292.99</f>
        <v>616237771.5</v>
      </c>
      <c r="J99" s="6">
        <f>56.56*33067317.69</f>
        <v>1870287489</v>
      </c>
      <c r="K99" s="4">
        <f>I99-J99</f>
        <v>-1254049717</v>
      </c>
      <c r="L99" s="4">
        <f>I99+Oct!L99</f>
        <v>23446011747</v>
      </c>
      <c r="M99" s="4">
        <f>J99+Oct!M99</f>
        <v>28040230150</v>
      </c>
      <c r="N99" s="4">
        <f>L99-M99</f>
        <v>-4594218403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2" t="s">
        <v>88</v>
      </c>
      <c r="B100" s="2"/>
      <c r="C100" s="3"/>
      <c r="D100" s="24">
        <f t="shared" ref="D100:N100" si="39">SUM(D99)</f>
        <v>6417542293</v>
      </c>
      <c r="E100" s="24">
        <f t="shared" si="39"/>
        <v>83732706.78</v>
      </c>
      <c r="F100" s="24">
        <f t="shared" si="39"/>
        <v>6333809586</v>
      </c>
      <c r="G100" s="24">
        <f t="shared" si="39"/>
        <v>0</v>
      </c>
      <c r="H100" s="24">
        <f t="shared" si="39"/>
        <v>3342</v>
      </c>
      <c r="I100" s="24">
        <f t="shared" si="39"/>
        <v>616237771.5</v>
      </c>
      <c r="J100" s="24">
        <f t="shared" si="39"/>
        <v>1870287489</v>
      </c>
      <c r="K100" s="24">
        <f t="shared" si="39"/>
        <v>-1254049717</v>
      </c>
      <c r="L100" s="24">
        <f t="shared" si="39"/>
        <v>23446011747</v>
      </c>
      <c r="M100" s="24">
        <f t="shared" si="39"/>
        <v>28040230150</v>
      </c>
      <c r="N100" s="24">
        <f t="shared" si="39"/>
        <v>-4594218403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" t="s">
        <v>97</v>
      </c>
      <c r="B101" s="2"/>
      <c r="C101" s="3"/>
      <c r="D101" s="24">
        <f t="shared" ref="D101:N101" si="40">D97+D100</f>
        <v>119409045981</v>
      </c>
      <c r="E101" s="24">
        <f t="shared" si="40"/>
        <v>659514668.1</v>
      </c>
      <c r="F101" s="24">
        <f t="shared" si="40"/>
        <v>118749531313</v>
      </c>
      <c r="G101" s="24">
        <f t="shared" si="40"/>
        <v>0</v>
      </c>
      <c r="H101" s="24">
        <f t="shared" si="40"/>
        <v>104405</v>
      </c>
      <c r="I101" s="24">
        <f t="shared" si="40"/>
        <v>8691708267</v>
      </c>
      <c r="J101" s="24">
        <f t="shared" si="40"/>
        <v>19814409620</v>
      </c>
      <c r="K101" s="24">
        <f t="shared" si="40"/>
        <v>-11122701353</v>
      </c>
      <c r="L101" s="24">
        <f t="shared" si="40"/>
        <v>213402209895</v>
      </c>
      <c r="M101" s="24">
        <f t="shared" si="40"/>
        <v>281250952552</v>
      </c>
      <c r="N101" s="24">
        <f t="shared" si="40"/>
        <v>-67848742657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 t="s">
        <v>98</v>
      </c>
      <c r="B102" s="2"/>
      <c r="C102" s="3"/>
      <c r="D102" s="6"/>
      <c r="E102" s="6"/>
      <c r="F102" s="6"/>
      <c r="G102" s="6"/>
      <c r="H102" s="5"/>
      <c r="I102" s="6"/>
      <c r="J102" s="6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8" t="s">
        <v>99</v>
      </c>
      <c r="B103" s="2"/>
      <c r="C103" s="3"/>
      <c r="D103" s="6"/>
      <c r="E103" s="6"/>
      <c r="F103" s="6"/>
      <c r="G103" s="6"/>
      <c r="H103" s="5"/>
      <c r="I103" s="6"/>
      <c r="J103" s="6"/>
      <c r="K103" s="4"/>
      <c r="L103" s="4"/>
      <c r="M103" s="4"/>
      <c r="N103" s="4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/>
      <c r="B104" s="2">
        <v>67.0</v>
      </c>
      <c r="C104" s="3" t="s">
        <v>100</v>
      </c>
      <c r="D104" s="6">
        <v>9.32723306622E9</v>
      </c>
      <c r="E104" s="6">
        <v>1.510836618E7</v>
      </c>
      <c r="F104" s="6">
        <f t="shared" ref="F104:F105" si="41">D104-E104</f>
        <v>9312124700</v>
      </c>
      <c r="G104" s="6">
        <v>0.0</v>
      </c>
      <c r="H104" s="5">
        <v>54520.0</v>
      </c>
      <c r="I104" s="6">
        <v>1.6752144392E8</v>
      </c>
      <c r="J104" s="6">
        <v>2.1872262009E8</v>
      </c>
      <c r="K104" s="4">
        <f t="shared" ref="K104:K105" si="42">I104-J104</f>
        <v>-51201176.17</v>
      </c>
      <c r="L104" s="4">
        <f>I104+Oct!L104</f>
        <v>3385554088</v>
      </c>
      <c r="M104" s="4">
        <f>J104+Oct!M104</f>
        <v>1064845793</v>
      </c>
      <c r="N104" s="4">
        <f t="shared" ref="N104:N105" si="43">L104-M104</f>
        <v>2320708294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68.0</v>
      </c>
      <c r="C105" s="3" t="s">
        <v>101</v>
      </c>
      <c r="D105" s="6">
        <v>3.42199841361E9</v>
      </c>
      <c r="E105" s="6">
        <v>4.753258925E7</v>
      </c>
      <c r="F105" s="6">
        <f t="shared" si="41"/>
        <v>3374465824</v>
      </c>
      <c r="G105" s="6">
        <v>0.0</v>
      </c>
      <c r="H105" s="5">
        <v>5883.0</v>
      </c>
      <c r="I105" s="6">
        <v>1.944081958E7</v>
      </c>
      <c r="J105" s="6">
        <v>4.435082802E7</v>
      </c>
      <c r="K105" s="4">
        <f t="shared" si="42"/>
        <v>-24910008.44</v>
      </c>
      <c r="L105" s="4">
        <f>I105+Oct!L105</f>
        <v>1133864898</v>
      </c>
      <c r="M105" s="4">
        <f>J105+Oct!M105</f>
        <v>1243285536</v>
      </c>
      <c r="N105" s="4">
        <f t="shared" si="43"/>
        <v>-109420637.5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2" t="s">
        <v>44</v>
      </c>
      <c r="B106" s="2"/>
      <c r="C106" s="3"/>
      <c r="D106" s="24">
        <f t="shared" ref="D106:N106" si="44">D104+D105</f>
        <v>12749231480</v>
      </c>
      <c r="E106" s="24">
        <f t="shared" si="44"/>
        <v>62640955.43</v>
      </c>
      <c r="F106" s="24">
        <f t="shared" si="44"/>
        <v>12686590524</v>
      </c>
      <c r="G106" s="24">
        <f t="shared" si="44"/>
        <v>0</v>
      </c>
      <c r="H106" s="24">
        <f t="shared" si="44"/>
        <v>60403</v>
      </c>
      <c r="I106" s="24">
        <f t="shared" si="44"/>
        <v>186962263.5</v>
      </c>
      <c r="J106" s="24">
        <f t="shared" si="44"/>
        <v>263073448.1</v>
      </c>
      <c r="K106" s="24">
        <f t="shared" si="44"/>
        <v>-76111184.61</v>
      </c>
      <c r="L106" s="24">
        <f t="shared" si="44"/>
        <v>4519418986</v>
      </c>
      <c r="M106" s="24">
        <f t="shared" si="44"/>
        <v>2308131329</v>
      </c>
      <c r="N106" s="24">
        <f t="shared" si="44"/>
        <v>2211287657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102</v>
      </c>
      <c r="B107" s="2"/>
      <c r="C107" s="3"/>
      <c r="D107" s="6"/>
      <c r="E107" s="6"/>
      <c r="F107" s="6"/>
      <c r="G107" s="6"/>
      <c r="H107" s="5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"/>
      <c r="B108" s="2">
        <v>69.0</v>
      </c>
      <c r="C108" s="3" t="s">
        <v>103</v>
      </c>
      <c r="D108" s="6">
        <f>56.56*178718056.39</f>
        <v>10108293269</v>
      </c>
      <c r="E108" s="6">
        <f>56.56*453166.88</f>
        <v>25631118.73</v>
      </c>
      <c r="F108" s="6">
        <f>D108-E108</f>
        <v>10082662151</v>
      </c>
      <c r="G108" s="6">
        <v>0.0</v>
      </c>
      <c r="H108" s="5">
        <v>8321.0</v>
      </c>
      <c r="I108" s="6">
        <f>56.56*1033751.03</f>
        <v>58468958.26</v>
      </c>
      <c r="J108" s="6">
        <f>56.56*2688706.61</f>
        <v>152073245.9</v>
      </c>
      <c r="K108" s="4">
        <f>I108-J108</f>
        <v>-93604287.6</v>
      </c>
      <c r="L108" s="4">
        <f>I108+Oct!L108</f>
        <v>1665518413</v>
      </c>
      <c r="M108" s="4">
        <f>J108+Oct!M108</f>
        <v>1366263752</v>
      </c>
      <c r="N108" s="4">
        <f>L108-M108</f>
        <v>299254661.5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22" t="s">
        <v>88</v>
      </c>
      <c r="B109" s="23"/>
      <c r="C109" s="1"/>
      <c r="D109" s="24">
        <f t="shared" ref="D109:N109" si="45">SUM(D108)</f>
        <v>10108293269</v>
      </c>
      <c r="E109" s="24">
        <f t="shared" si="45"/>
        <v>25631118.73</v>
      </c>
      <c r="F109" s="24">
        <f t="shared" si="45"/>
        <v>10082662151</v>
      </c>
      <c r="G109" s="24">
        <f t="shared" si="45"/>
        <v>0</v>
      </c>
      <c r="H109" s="24">
        <f t="shared" si="45"/>
        <v>8321</v>
      </c>
      <c r="I109" s="24">
        <f t="shared" si="45"/>
        <v>58468958.26</v>
      </c>
      <c r="J109" s="24">
        <f t="shared" si="45"/>
        <v>152073245.9</v>
      </c>
      <c r="K109" s="24">
        <f t="shared" si="45"/>
        <v>-93604287.6</v>
      </c>
      <c r="L109" s="24">
        <f t="shared" si="45"/>
        <v>1665518413</v>
      </c>
      <c r="M109" s="24">
        <f t="shared" si="45"/>
        <v>1366263752</v>
      </c>
      <c r="N109" s="24">
        <f t="shared" si="45"/>
        <v>299254661.5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 t="s">
        <v>104</v>
      </c>
      <c r="B110" s="31"/>
      <c r="C110" s="29"/>
      <c r="D110" s="24">
        <f t="shared" ref="D110:N110" si="46">SUM(D106+D109)</f>
        <v>22857524749</v>
      </c>
      <c r="E110" s="24">
        <f t="shared" si="46"/>
        <v>88272074.16</v>
      </c>
      <c r="F110" s="24">
        <f t="shared" si="46"/>
        <v>22769252675</v>
      </c>
      <c r="G110" s="24">
        <f t="shared" si="46"/>
        <v>0</v>
      </c>
      <c r="H110" s="24">
        <f t="shared" si="46"/>
        <v>68724</v>
      </c>
      <c r="I110" s="24">
        <f t="shared" si="46"/>
        <v>245431221.8</v>
      </c>
      <c r="J110" s="24">
        <f t="shared" si="46"/>
        <v>415146694</v>
      </c>
      <c r="K110" s="24">
        <f t="shared" si="46"/>
        <v>-169715472.2</v>
      </c>
      <c r="L110" s="24">
        <f t="shared" si="46"/>
        <v>6184937399</v>
      </c>
      <c r="M110" s="24">
        <f t="shared" si="46"/>
        <v>3674395081</v>
      </c>
      <c r="N110" s="24">
        <f t="shared" si="46"/>
        <v>2510542318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2" t="s">
        <v>105</v>
      </c>
      <c r="B111" s="33"/>
      <c r="C111" s="34"/>
      <c r="D111" s="35">
        <f t="shared" ref="D111:N111" si="47">D39+D63+D89+D101+D110</f>
        <v>302829660090</v>
      </c>
      <c r="E111" s="35">
        <f t="shared" si="47"/>
        <v>3094176760</v>
      </c>
      <c r="F111" s="35">
        <f t="shared" si="47"/>
        <v>299735483330</v>
      </c>
      <c r="G111" s="35">
        <f t="shared" si="47"/>
        <v>75312529053</v>
      </c>
      <c r="H111" s="35">
        <f t="shared" si="47"/>
        <v>917833</v>
      </c>
      <c r="I111" s="35">
        <f t="shared" si="47"/>
        <v>9823886056</v>
      </c>
      <c r="J111" s="35">
        <f t="shared" si="47"/>
        <v>21973285516</v>
      </c>
      <c r="K111" s="35">
        <f t="shared" si="47"/>
        <v>-12149399460</v>
      </c>
      <c r="L111" s="35">
        <f t="shared" si="47"/>
        <v>236153129062</v>
      </c>
      <c r="M111" s="35">
        <f t="shared" si="47"/>
        <v>364794140685</v>
      </c>
      <c r="N111" s="35">
        <f t="shared" si="47"/>
        <v>-128641011623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2.0" customHeight="1">
      <c r="A112" s="3"/>
      <c r="B112" s="2"/>
      <c r="C112" s="36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0"/>
      <c r="B113" s="30"/>
      <c r="C113" s="30"/>
      <c r="D113" s="4"/>
      <c r="E113" s="4"/>
      <c r="F113" s="4"/>
      <c r="G113" s="4"/>
      <c r="H113" s="5"/>
      <c r="I113" s="4"/>
      <c r="J113" s="4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0"/>
      <c r="B114" s="30"/>
      <c r="C114" s="30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6"/>
      <c r="B115" s="36"/>
      <c r="C115" s="36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6"/>
      <c r="B116" s="36"/>
      <c r="C116" s="36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6"/>
      <c r="B117" s="36"/>
      <c r="C117" s="36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6"/>
      <c r="B118" s="36"/>
      <c r="C118" s="36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6"/>
      <c r="B119" s="36"/>
      <c r="C119" s="36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423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0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253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4.79228975068E9</v>
      </c>
      <c r="E9" s="6">
        <v>7.521275166E7</v>
      </c>
      <c r="F9" s="6">
        <f t="shared" ref="F9:F27" si="1">D9-E9</f>
        <v>4717076999</v>
      </c>
      <c r="G9" s="6">
        <v>4.3208899381E9</v>
      </c>
      <c r="H9" s="5">
        <v>7326.0</v>
      </c>
      <c r="I9" s="6">
        <v>7094954.73</v>
      </c>
      <c r="J9" s="4">
        <v>2.145023707E7</v>
      </c>
      <c r="K9" s="4">
        <f t="shared" ref="K9:K27" si="2">I9-J9</f>
        <v>-14355282.34</v>
      </c>
      <c r="L9" s="4">
        <f>I9+Nov!L9</f>
        <v>171267575.4</v>
      </c>
      <c r="M9" s="4">
        <f>J9+Nov!M9</f>
        <v>407115073.4</v>
      </c>
      <c r="N9" s="4">
        <f t="shared" ref="N9:N27" si="3">L9-M9</f>
        <v>-235847498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254</v>
      </c>
      <c r="D10" s="6">
        <v>7.517645725699999E8</v>
      </c>
      <c r="E10" s="6">
        <v>1.070198501E7</v>
      </c>
      <c r="F10" s="6">
        <f t="shared" si="1"/>
        <v>741062587.6</v>
      </c>
      <c r="G10" s="6">
        <v>6.5827755754E8</v>
      </c>
      <c r="H10" s="5">
        <v>4246.0</v>
      </c>
      <c r="I10" s="6">
        <v>6861635.229999999</v>
      </c>
      <c r="J10" s="4">
        <v>1684779.5899999996</v>
      </c>
      <c r="K10" s="4">
        <f t="shared" si="2"/>
        <v>5176855.64</v>
      </c>
      <c r="L10" s="4">
        <f>I10+Nov!L10</f>
        <v>223934610</v>
      </c>
      <c r="M10" s="4">
        <f>J10+Nov!M10</f>
        <v>147709737.9</v>
      </c>
      <c r="N10" s="4">
        <f t="shared" si="3"/>
        <v>76224872.13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255</v>
      </c>
      <c r="D11" s="6">
        <v>1.3645403506900003E9</v>
      </c>
      <c r="E11" s="6">
        <v>4.23436351E7</v>
      </c>
      <c r="F11" s="6">
        <f t="shared" si="1"/>
        <v>1322196716</v>
      </c>
      <c r="G11" s="6">
        <v>1.2549638589E9</v>
      </c>
      <c r="H11" s="5">
        <v>2896.0</v>
      </c>
      <c r="I11" s="6">
        <v>1.0715747650000002E7</v>
      </c>
      <c r="J11" s="4">
        <v>8835061.350000003</v>
      </c>
      <c r="K11" s="4">
        <f t="shared" si="2"/>
        <v>1880686.3</v>
      </c>
      <c r="L11" s="4">
        <f>I11+Nov!L11</f>
        <v>395876022.5</v>
      </c>
      <c r="M11" s="4">
        <f>J11+Nov!M11</f>
        <v>155079419.2</v>
      </c>
      <c r="N11" s="4">
        <f t="shared" si="3"/>
        <v>240796603.3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6">
        <v>3.4985192449E8</v>
      </c>
      <c r="E12" s="6">
        <v>7995340.36</v>
      </c>
      <c r="F12" s="6">
        <f t="shared" si="1"/>
        <v>341856584.1</v>
      </c>
      <c r="G12" s="6">
        <v>1.7271484254E8</v>
      </c>
      <c r="H12" s="5">
        <v>1713.0</v>
      </c>
      <c r="I12" s="6">
        <v>648182.86</v>
      </c>
      <c r="J12" s="4">
        <v>167233.85</v>
      </c>
      <c r="K12" s="4">
        <f t="shared" si="2"/>
        <v>480949.01</v>
      </c>
      <c r="L12" s="4">
        <f>I12+Nov!L12</f>
        <v>28966480.41</v>
      </c>
      <c r="M12" s="4">
        <f>J12+Nov!M12</f>
        <v>11520914.91</v>
      </c>
      <c r="N12" s="4">
        <f t="shared" si="3"/>
        <v>17445565.5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232</v>
      </c>
      <c r="D13" s="6">
        <v>5.0944520641E8</v>
      </c>
      <c r="E13" s="6">
        <v>1196777.61</v>
      </c>
      <c r="F13" s="6">
        <f t="shared" si="1"/>
        <v>508248428.8</v>
      </c>
      <c r="G13" s="6">
        <v>4.8828683099E8</v>
      </c>
      <c r="H13" s="5">
        <v>1444.0</v>
      </c>
      <c r="I13" s="6">
        <v>431912.92</v>
      </c>
      <c r="J13" s="4">
        <v>698651.45</v>
      </c>
      <c r="K13" s="4">
        <f t="shared" si="2"/>
        <v>-266738.53</v>
      </c>
      <c r="L13" s="4">
        <f>I13+Nov!L13</f>
        <v>30302741.47</v>
      </c>
      <c r="M13" s="4">
        <f>J13+Nov!M13</f>
        <v>16810907.52</v>
      </c>
      <c r="N13" s="4">
        <f t="shared" si="3"/>
        <v>13491833.95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6">
        <v>4.26469316303E9</v>
      </c>
      <c r="E14" s="6">
        <v>2.141758822E7</v>
      </c>
      <c r="F14" s="6">
        <f t="shared" si="1"/>
        <v>4243275575</v>
      </c>
      <c r="G14" s="6">
        <v>4.06331923903E9</v>
      </c>
      <c r="H14" s="5">
        <v>16329.0</v>
      </c>
      <c r="I14" s="6">
        <v>6.138737137E7</v>
      </c>
      <c r="J14" s="4">
        <v>5.711767606E7</v>
      </c>
      <c r="K14" s="4">
        <f t="shared" si="2"/>
        <v>4269695.31</v>
      </c>
      <c r="L14" s="4">
        <f>I14+Nov!L14</f>
        <v>700125773.3</v>
      </c>
      <c r="M14" s="4">
        <f>J14+Nov!M14</f>
        <v>434569952</v>
      </c>
      <c r="N14" s="4">
        <f t="shared" si="3"/>
        <v>265555821.3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256</v>
      </c>
      <c r="D15" s="6">
        <v>1.0242672048E8</v>
      </c>
      <c r="E15" s="6">
        <v>1178136.98</v>
      </c>
      <c r="F15" s="6">
        <f t="shared" si="1"/>
        <v>101248583.5</v>
      </c>
      <c r="G15" s="6">
        <v>9.996198062E7</v>
      </c>
      <c r="H15" s="5">
        <v>560.0</v>
      </c>
      <c r="I15" s="6">
        <v>1500282.79</v>
      </c>
      <c r="J15" s="4">
        <v>294702.83</v>
      </c>
      <c r="K15" s="4">
        <f t="shared" si="2"/>
        <v>1205579.96</v>
      </c>
      <c r="L15" s="4">
        <f>I15+Nov!L15</f>
        <v>25563952.91</v>
      </c>
      <c r="M15" s="4">
        <f>J15+Nov!M15</f>
        <v>8482440.121</v>
      </c>
      <c r="N15" s="4">
        <f t="shared" si="3"/>
        <v>17081512.79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6">
        <v>1.1711823875E8</v>
      </c>
      <c r="E16" s="6">
        <v>1981639.94</v>
      </c>
      <c r="F16" s="6">
        <f t="shared" si="1"/>
        <v>115136598.8</v>
      </c>
      <c r="G16" s="6">
        <v>7.7010589E7</v>
      </c>
      <c r="H16" s="5">
        <v>51.0</v>
      </c>
      <c r="I16" s="50">
        <v>0.0</v>
      </c>
      <c r="J16" s="51">
        <v>0.0</v>
      </c>
      <c r="K16" s="4">
        <f t="shared" si="2"/>
        <v>0</v>
      </c>
      <c r="L16" s="4">
        <f>I16+Nov!L16</f>
        <v>1800100</v>
      </c>
      <c r="M16" s="4">
        <f>J16+Nov!M16</f>
        <v>9705511.39</v>
      </c>
      <c r="N16" s="4">
        <f t="shared" si="3"/>
        <v>-7905411.39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6">
        <v>1.38948025176E9</v>
      </c>
      <c r="E17" s="6">
        <v>7.436452625E7</v>
      </c>
      <c r="F17" s="6">
        <f t="shared" si="1"/>
        <v>1315115726</v>
      </c>
      <c r="G17" s="6">
        <v>1.33376555293E9</v>
      </c>
      <c r="H17" s="5">
        <v>12318.0</v>
      </c>
      <c r="I17" s="6">
        <v>0.0</v>
      </c>
      <c r="J17" s="4">
        <v>1.350270388E7</v>
      </c>
      <c r="K17" s="4">
        <f t="shared" si="2"/>
        <v>-13502703.88</v>
      </c>
      <c r="L17" s="4">
        <f>I17+Nov!L17</f>
        <v>1345993612</v>
      </c>
      <c r="M17" s="4">
        <f>J17+Nov!M17</f>
        <v>14735861508</v>
      </c>
      <c r="N17" s="4">
        <f t="shared" si="3"/>
        <v>-13389867896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6">
        <v>3.99932770948E9</v>
      </c>
      <c r="E18" s="6">
        <v>2.0027273427E8</v>
      </c>
      <c r="F18" s="6">
        <f t="shared" si="1"/>
        <v>3799054975</v>
      </c>
      <c r="G18" s="6">
        <v>3.4500780034E9</v>
      </c>
      <c r="H18" s="5">
        <v>12280.0</v>
      </c>
      <c r="I18" s="6">
        <v>2186366.67</v>
      </c>
      <c r="J18" s="4">
        <v>2.463365738E7</v>
      </c>
      <c r="K18" s="4">
        <f t="shared" si="2"/>
        <v>-22447290.71</v>
      </c>
      <c r="L18" s="4">
        <f>I18+Nov!L18</f>
        <v>697426812</v>
      </c>
      <c r="M18" s="4">
        <f>J18+Nov!M18</f>
        <v>27870556884</v>
      </c>
      <c r="N18" s="4">
        <f t="shared" si="3"/>
        <v>-27173130072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6">
        <v>2.10769730086255E9</v>
      </c>
      <c r="E19" s="6">
        <v>9672654.14399999</v>
      </c>
      <c r="F19" s="6">
        <f t="shared" si="1"/>
        <v>2098024647</v>
      </c>
      <c r="G19" s="6">
        <v>1.79714684892196E9</v>
      </c>
      <c r="H19" s="5">
        <v>5678.0</v>
      </c>
      <c r="I19" s="6">
        <v>7.203678725E7</v>
      </c>
      <c r="J19" s="4">
        <v>2726676.11</v>
      </c>
      <c r="K19" s="4">
        <f t="shared" si="2"/>
        <v>69310111.14</v>
      </c>
      <c r="L19" s="4">
        <f>I19+Nov!L19</f>
        <v>189463768.1</v>
      </c>
      <c r="M19" s="4">
        <f>J19+Nov!M19</f>
        <v>297665021.7</v>
      </c>
      <c r="N19" s="4">
        <f t="shared" si="3"/>
        <v>-108201253.6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6">
        <v>9.81417043685771E9</v>
      </c>
      <c r="E20" s="6">
        <v>5.45437646695E7</v>
      </c>
      <c r="F20" s="6">
        <f t="shared" si="1"/>
        <v>9759626672</v>
      </c>
      <c r="G20" s="6">
        <v>8.84343366168E9</v>
      </c>
      <c r="H20" s="5">
        <v>36381.0</v>
      </c>
      <c r="I20" s="6">
        <v>9470343.37</v>
      </c>
      <c r="J20" s="4">
        <v>6.07434404E7</v>
      </c>
      <c r="K20" s="4">
        <f t="shared" si="2"/>
        <v>-51273097.03</v>
      </c>
      <c r="L20" s="4">
        <f>I20+Nov!L20</f>
        <v>279924467.9</v>
      </c>
      <c r="M20" s="4">
        <f>J20+Nov!M20</f>
        <v>576823344.8</v>
      </c>
      <c r="N20" s="4">
        <f t="shared" si="3"/>
        <v>-296898876.9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6">
        <v>3.12887131187189E8</v>
      </c>
      <c r="E21" s="6">
        <v>741570.470000111</v>
      </c>
      <c r="F21" s="6">
        <f t="shared" si="1"/>
        <v>312145560.7</v>
      </c>
      <c r="G21" s="6">
        <v>3.1041162352E8</v>
      </c>
      <c r="H21" s="5">
        <v>1028.0</v>
      </c>
      <c r="I21" s="6">
        <v>275207.69</v>
      </c>
      <c r="J21" s="4">
        <v>5645812.74</v>
      </c>
      <c r="K21" s="4">
        <f t="shared" si="2"/>
        <v>-5370605.05</v>
      </c>
      <c r="L21" s="4">
        <f>I21+Nov!L21</f>
        <v>7471257.22</v>
      </c>
      <c r="M21" s="4">
        <f>J21+Nov!M21</f>
        <v>11035152.74</v>
      </c>
      <c r="N21" s="4">
        <f t="shared" si="3"/>
        <v>-3563895.52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6">
        <v>3.7839419661836E9</v>
      </c>
      <c r="E22" s="6">
        <v>1.26147089367998E7</v>
      </c>
      <c r="F22" s="6">
        <f t="shared" si="1"/>
        <v>3771327257</v>
      </c>
      <c r="G22" s="6">
        <v>3.71106459952869E9</v>
      </c>
      <c r="H22" s="5">
        <v>27440.0</v>
      </c>
      <c r="I22" s="6">
        <v>1.1329009433E8</v>
      </c>
      <c r="J22" s="4">
        <v>4.355110003E7</v>
      </c>
      <c r="K22" s="4">
        <f t="shared" si="2"/>
        <v>69738994.3</v>
      </c>
      <c r="L22" s="4">
        <f>I22+Nov!L22</f>
        <v>512458247.3</v>
      </c>
      <c r="M22" s="4">
        <f>J22+Nov!M22</f>
        <v>401648504.2</v>
      </c>
      <c r="N22" s="4">
        <f t="shared" si="3"/>
        <v>110809743.2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6">
        <v>9.1075313555E9</v>
      </c>
      <c r="E23" s="6">
        <v>1.349989537E7</v>
      </c>
      <c r="F23" s="6">
        <f t="shared" si="1"/>
        <v>9094031460</v>
      </c>
      <c r="G23" s="6">
        <v>9.05753096942E9</v>
      </c>
      <c r="H23" s="5">
        <v>14453.0</v>
      </c>
      <c r="I23" s="6">
        <v>6485209.59</v>
      </c>
      <c r="J23" s="4">
        <v>5.631102222E7</v>
      </c>
      <c r="K23" s="4">
        <f t="shared" si="2"/>
        <v>-49825812.63</v>
      </c>
      <c r="L23" s="4">
        <f>I23+Nov!L23</f>
        <v>57217487.69</v>
      </c>
      <c r="M23" s="4">
        <f>J23+Nov!M23</f>
        <v>1187216005</v>
      </c>
      <c r="N23" s="4">
        <f t="shared" si="3"/>
        <v>-1129998518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19" t="s">
        <v>36</v>
      </c>
      <c r="D24" s="6">
        <v>3.1602243776000004E9</v>
      </c>
      <c r="E24" s="6">
        <v>8.091276024E7</v>
      </c>
      <c r="F24" s="6">
        <f t="shared" si="1"/>
        <v>3079311617</v>
      </c>
      <c r="G24" s="6">
        <v>2.9326896746E9</v>
      </c>
      <c r="H24" s="5">
        <v>12465.0</v>
      </c>
      <c r="I24" s="6">
        <v>2.6783694809999995E7</v>
      </c>
      <c r="J24" s="4">
        <v>2474433.960000001</v>
      </c>
      <c r="K24" s="4">
        <f t="shared" si="2"/>
        <v>24309260.85</v>
      </c>
      <c r="L24" s="4">
        <f>I24+Nov!L24</f>
        <v>830111591.6</v>
      </c>
      <c r="M24" s="4">
        <f>J24+Nov!M24</f>
        <v>24190867.49</v>
      </c>
      <c r="N24" s="4">
        <f t="shared" si="3"/>
        <v>805920724.1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v>17.0</v>
      </c>
      <c r="C25" s="21" t="s">
        <v>37</v>
      </c>
      <c r="D25" s="6">
        <v>7.30846632627E9</v>
      </c>
      <c r="E25" s="6">
        <v>7.828118117E7</v>
      </c>
      <c r="F25" s="6">
        <f t="shared" si="1"/>
        <v>7230185145</v>
      </c>
      <c r="G25" s="6">
        <v>7.0712413407E9</v>
      </c>
      <c r="H25" s="5">
        <v>66398.0</v>
      </c>
      <c r="I25" s="6">
        <v>4.086352513E7</v>
      </c>
      <c r="J25" s="4">
        <v>4.822571204E7</v>
      </c>
      <c r="K25" s="4">
        <f t="shared" si="2"/>
        <v>-7362186.91</v>
      </c>
      <c r="L25" s="4">
        <f>I25+Nov!L25</f>
        <v>962755044.6</v>
      </c>
      <c r="M25" s="4">
        <f>J25+Nov!M25</f>
        <v>900593746.2</v>
      </c>
      <c r="N25" s="4">
        <f t="shared" si="3"/>
        <v>62161298.4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v>18.0</v>
      </c>
      <c r="C26" s="21" t="s">
        <v>38</v>
      </c>
      <c r="D26" s="6">
        <v>1.190053851628E10</v>
      </c>
      <c r="E26" s="6">
        <v>7.622456685E7</v>
      </c>
      <c r="F26" s="6">
        <f t="shared" si="1"/>
        <v>11824313949</v>
      </c>
      <c r="G26" s="6">
        <v>1.178387031884E10</v>
      </c>
      <c r="H26" s="5">
        <v>56970.0</v>
      </c>
      <c r="I26" s="6">
        <v>4.226553569E8</v>
      </c>
      <c r="J26" s="4">
        <v>1.0801979256E8</v>
      </c>
      <c r="K26" s="4">
        <f t="shared" si="2"/>
        <v>314635564.3</v>
      </c>
      <c r="L26" s="4">
        <f>I26+Nov!L26</f>
        <v>2807327757</v>
      </c>
      <c r="M26" s="4">
        <f>J26+Nov!M26</f>
        <v>1907094230</v>
      </c>
      <c r="N26" s="4">
        <f t="shared" si="3"/>
        <v>900233527.5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6">
        <v>5.932412053580004E8</v>
      </c>
      <c r="E27" s="6">
        <v>1680230.4499999965</v>
      </c>
      <c r="F27" s="6">
        <f t="shared" si="1"/>
        <v>591560974.9</v>
      </c>
      <c r="G27" s="6">
        <v>5.737100953400004E8</v>
      </c>
      <c r="H27" s="5">
        <v>1306.0</v>
      </c>
      <c r="I27" s="6">
        <v>418544.91</v>
      </c>
      <c r="J27" s="4">
        <v>2445764.88</v>
      </c>
      <c r="K27" s="4">
        <f t="shared" si="2"/>
        <v>-2027219.97</v>
      </c>
      <c r="L27" s="4">
        <f>I27+Nov!L27</f>
        <v>17799970.28</v>
      </c>
      <c r="M27" s="4">
        <f>J27+Nov!M27</f>
        <v>12262580.01</v>
      </c>
      <c r="N27" s="4">
        <f t="shared" si="3"/>
        <v>5537390.27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5"/>
      <c r="I28" s="6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v>20.0</v>
      </c>
      <c r="C29" s="3" t="s">
        <v>246</v>
      </c>
      <c r="D29" s="6">
        <v>1.13084841514509E8</v>
      </c>
      <c r="E29" s="6">
        <v>1331873.65189593</v>
      </c>
      <c r="F29" s="6">
        <f t="shared" ref="F29:F31" si="4">D29-E29</f>
        <v>111752967.9</v>
      </c>
      <c r="G29" s="6">
        <v>1.0958952744E8</v>
      </c>
      <c r="H29" s="5">
        <v>1014.0</v>
      </c>
      <c r="I29" s="6">
        <v>1.746814132E7</v>
      </c>
      <c r="J29" s="4">
        <v>435274.25</v>
      </c>
      <c r="K29" s="4">
        <f t="shared" ref="K29:K31" si="5">I29-J29</f>
        <v>17032867.07</v>
      </c>
      <c r="L29" s="4">
        <f>I29+Nov!L29</f>
        <v>107525190.1</v>
      </c>
      <c r="M29" s="4">
        <f>J29+Nov!M29</f>
        <v>709465.18</v>
      </c>
      <c r="N29" s="4">
        <f t="shared" ref="N29:N31" si="6">L29-M29</f>
        <v>106815725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41</v>
      </c>
      <c r="D30" s="6">
        <v>3.4213338064E8</v>
      </c>
      <c r="E30" s="6">
        <v>4253493.739</v>
      </c>
      <c r="F30" s="6">
        <f t="shared" si="4"/>
        <v>337879886.9</v>
      </c>
      <c r="G30" s="6">
        <v>3.1494800255E8</v>
      </c>
      <c r="H30" s="5">
        <v>1429.0</v>
      </c>
      <c r="I30" s="6">
        <v>739637.1</v>
      </c>
      <c r="J30" s="4">
        <v>8747302.76</v>
      </c>
      <c r="K30" s="4">
        <f t="shared" si="5"/>
        <v>-8007665.66</v>
      </c>
      <c r="L30" s="4">
        <f>I30+Nov!L30</f>
        <v>88712977.21</v>
      </c>
      <c r="M30" s="4">
        <f>J30+Nov!M30</f>
        <v>47292055.63</v>
      </c>
      <c r="N30" s="4">
        <f t="shared" si="6"/>
        <v>41420921.58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v>22.0</v>
      </c>
      <c r="C31" s="3" t="s">
        <v>35</v>
      </c>
      <c r="D31" s="6">
        <v>4.820668945E8</v>
      </c>
      <c r="E31" s="6">
        <v>5068331.07</v>
      </c>
      <c r="F31" s="6">
        <f t="shared" si="4"/>
        <v>476998563.4</v>
      </c>
      <c r="G31" s="6">
        <v>4.758235449E8</v>
      </c>
      <c r="H31" s="5">
        <v>304649.0</v>
      </c>
      <c r="I31" s="6">
        <v>4.158084745E7</v>
      </c>
      <c r="J31" s="4">
        <v>4.371324768E7</v>
      </c>
      <c r="K31" s="4">
        <f t="shared" si="5"/>
        <v>-2132400.23</v>
      </c>
      <c r="L31" s="4">
        <f>I31+Nov!L31</f>
        <v>704291582</v>
      </c>
      <c r="M31" s="4">
        <f>J31+Nov!M31</f>
        <v>203740877.5</v>
      </c>
      <c r="N31" s="4">
        <f t="shared" si="6"/>
        <v>500550704.5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18" t="s">
        <v>42</v>
      </c>
      <c r="B32" s="2"/>
      <c r="C32" s="3"/>
      <c r="D32" s="6"/>
      <c r="E32" s="6"/>
      <c r="F32" s="6"/>
      <c r="G32" s="6"/>
      <c r="H32" s="5"/>
      <c r="I32" s="6"/>
      <c r="J32" s="4"/>
      <c r="K32" s="4"/>
      <c r="L32" s="4"/>
      <c r="M32" s="4"/>
      <c r="N32" s="4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3"/>
      <c r="B33" s="2">
        <v>23.0</v>
      </c>
      <c r="C33" s="3" t="s">
        <v>43</v>
      </c>
      <c r="D33" s="6">
        <v>2.20668986934E9</v>
      </c>
      <c r="E33" s="6">
        <v>2151666.17</v>
      </c>
      <c r="F33" s="6">
        <f>D33-E33</f>
        <v>2204538203</v>
      </c>
      <c r="G33" s="6">
        <v>2.20028670281E9</v>
      </c>
      <c r="H33" s="5">
        <v>3288.0</v>
      </c>
      <c r="I33" s="6">
        <v>5021585.0</v>
      </c>
      <c r="J33" s="4">
        <v>8157204.0</v>
      </c>
      <c r="K33" s="4">
        <f>I33-J33</f>
        <v>-3135619</v>
      </c>
      <c r="L33" s="4">
        <f>I33+Nov!L33</f>
        <v>364053458</v>
      </c>
      <c r="M33" s="4">
        <f>J33+Nov!M33</f>
        <v>216857856</v>
      </c>
      <c r="N33" s="4">
        <f>L33-M33</f>
        <v>147195602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22" t="s">
        <v>44</v>
      </c>
      <c r="B34" s="23"/>
      <c r="C34" s="1"/>
      <c r="D34" s="24">
        <f t="shared" ref="D34:N34" si="7">SUM(D9:D33)</f>
        <v>68873611490</v>
      </c>
      <c r="E34" s="24">
        <f t="shared" si="7"/>
        <v>777641812.3</v>
      </c>
      <c r="F34" s="24">
        <f t="shared" si="7"/>
        <v>68095969678</v>
      </c>
      <c r="G34" s="24">
        <f t="shared" si="7"/>
        <v>65101015303</v>
      </c>
      <c r="H34" s="24">
        <f t="shared" si="7"/>
        <v>591662</v>
      </c>
      <c r="I34" s="24">
        <f t="shared" si="7"/>
        <v>847915429.1</v>
      </c>
      <c r="J34" s="24">
        <f t="shared" si="7"/>
        <v>519581487.1</v>
      </c>
      <c r="K34" s="24">
        <f t="shared" si="7"/>
        <v>328333942</v>
      </c>
      <c r="L34" s="24">
        <f t="shared" si="7"/>
        <v>10550370479</v>
      </c>
      <c r="M34" s="24">
        <f t="shared" si="7"/>
        <v>49584542055</v>
      </c>
      <c r="N34" s="24">
        <f t="shared" si="7"/>
        <v>-39034171576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2.0" customHeight="1">
      <c r="A35" s="18" t="s">
        <v>45</v>
      </c>
      <c r="B35" s="2"/>
      <c r="C35" s="3"/>
      <c r="D35" s="6"/>
      <c r="E35" s="6"/>
      <c r="F35" s="6"/>
      <c r="G35" s="6"/>
      <c r="H35" s="5"/>
      <c r="I35" s="6"/>
      <c r="J35" s="4"/>
      <c r="K35" s="4"/>
      <c r="L35" s="4"/>
      <c r="M35" s="4"/>
      <c r="N35" s="4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257</v>
      </c>
      <c r="D36" s="6">
        <v>3.643369073505E7</v>
      </c>
      <c r="E36" s="6">
        <v>931493.2095000001</v>
      </c>
      <c r="F36" s="6">
        <f t="shared" ref="F36:F37" si="8">D36-E36</f>
        <v>35502197.53</v>
      </c>
      <c r="G36" s="27">
        <v>0.0</v>
      </c>
      <c r="H36" s="5">
        <v>55.0</v>
      </c>
      <c r="I36" s="6">
        <v>0.0</v>
      </c>
      <c r="J36" s="4">
        <v>26042.6</v>
      </c>
      <c r="K36" s="4">
        <f t="shared" ref="K36:K37" si="9">I36-J36</f>
        <v>-26042.6</v>
      </c>
      <c r="L36" s="4">
        <f>I36+Nov!L36</f>
        <v>1401288.018</v>
      </c>
      <c r="M36" s="4">
        <f>J36+Nov!M36</f>
        <v>7726008.59</v>
      </c>
      <c r="N36" s="4">
        <f t="shared" ref="N36:N37" si="10">L36-M36</f>
        <v>-6324720.572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v>25.0</v>
      </c>
      <c r="C37" s="3" t="s">
        <v>47</v>
      </c>
      <c r="D37" s="6">
        <f>55.755*32430714.33</f>
        <v>1808174477</v>
      </c>
      <c r="E37" s="6">
        <f>55.755*150584.54</f>
        <v>8395841.028</v>
      </c>
      <c r="F37" s="6">
        <f t="shared" si="8"/>
        <v>1799778636</v>
      </c>
      <c r="G37" s="6">
        <v>0.0</v>
      </c>
      <c r="H37" s="5">
        <v>2866.0</v>
      </c>
      <c r="I37" s="6">
        <f>55.755*273161.97</f>
        <v>15230145.64</v>
      </c>
      <c r="J37" s="6">
        <f>55.755*46245.15</f>
        <v>2578398.338</v>
      </c>
      <c r="K37" s="4">
        <f t="shared" si="9"/>
        <v>12651747.3</v>
      </c>
      <c r="L37" s="4">
        <f>I37+Nov!L37</f>
        <v>311844012.2</v>
      </c>
      <c r="M37" s="4">
        <f>J37+Nov!M37</f>
        <v>343564563.1</v>
      </c>
      <c r="N37" s="4">
        <f t="shared" si="10"/>
        <v>-31720550.85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22" t="s">
        <v>48</v>
      </c>
      <c r="B38" s="23"/>
      <c r="C38" s="1"/>
      <c r="D38" s="24">
        <f t="shared" ref="D38:N38" si="11">SUM(D36:D37)</f>
        <v>1844608168</v>
      </c>
      <c r="E38" s="24">
        <f t="shared" si="11"/>
        <v>9327334.237</v>
      </c>
      <c r="F38" s="24">
        <f t="shared" si="11"/>
        <v>1835280834</v>
      </c>
      <c r="G38" s="24">
        <f t="shared" si="11"/>
        <v>0</v>
      </c>
      <c r="H38" s="24">
        <f t="shared" si="11"/>
        <v>2921</v>
      </c>
      <c r="I38" s="24">
        <f t="shared" si="11"/>
        <v>15230145.64</v>
      </c>
      <c r="J38" s="24">
        <f t="shared" si="11"/>
        <v>2604440.938</v>
      </c>
      <c r="K38" s="24">
        <f t="shared" si="11"/>
        <v>12625704.7</v>
      </c>
      <c r="L38" s="24">
        <f t="shared" si="11"/>
        <v>313245300.2</v>
      </c>
      <c r="M38" s="24">
        <f t="shared" si="11"/>
        <v>351290571.6</v>
      </c>
      <c r="N38" s="24">
        <f t="shared" si="11"/>
        <v>-38045271.43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49</v>
      </c>
      <c r="B39" s="23"/>
      <c r="C39" s="1"/>
      <c r="D39" s="24">
        <f t="shared" ref="D39:N39" si="12">D34+D38</f>
        <v>70718219659</v>
      </c>
      <c r="E39" s="24">
        <f t="shared" si="12"/>
        <v>786969146.6</v>
      </c>
      <c r="F39" s="24">
        <f t="shared" si="12"/>
        <v>69931250512</v>
      </c>
      <c r="G39" s="24">
        <f t="shared" si="12"/>
        <v>65101015303</v>
      </c>
      <c r="H39" s="24">
        <f t="shared" si="12"/>
        <v>594583</v>
      </c>
      <c r="I39" s="24">
        <f t="shared" si="12"/>
        <v>863145574.7</v>
      </c>
      <c r="J39" s="24">
        <f t="shared" si="12"/>
        <v>522185928</v>
      </c>
      <c r="K39" s="24">
        <f t="shared" si="12"/>
        <v>340959646.7</v>
      </c>
      <c r="L39" s="24">
        <f t="shared" si="12"/>
        <v>10863615779</v>
      </c>
      <c r="M39" s="24">
        <f t="shared" si="12"/>
        <v>49935832626</v>
      </c>
      <c r="N39" s="24">
        <f t="shared" si="12"/>
        <v>-39072216847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50</v>
      </c>
      <c r="B40" s="2"/>
      <c r="C40" s="3"/>
      <c r="D40" s="6"/>
      <c r="E40" s="6"/>
      <c r="F40" s="6"/>
      <c r="G40" s="6"/>
      <c r="H40" s="5"/>
      <c r="I40" s="6"/>
      <c r="J40" s="4"/>
      <c r="K40" s="4"/>
      <c r="L40" s="4"/>
      <c r="M40" s="4"/>
      <c r="N40" s="4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 t="s">
        <v>20</v>
      </c>
      <c r="B41" s="2"/>
      <c r="C41" s="3"/>
      <c r="D41" s="6"/>
      <c r="E41" s="6"/>
      <c r="F41" s="6"/>
      <c r="G41" s="6"/>
      <c r="H41" s="5"/>
      <c r="I41" s="6"/>
      <c r="J41" s="4"/>
      <c r="K41" s="4"/>
      <c r="L41" s="4"/>
      <c r="M41" s="4"/>
      <c r="N41" s="4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/>
      <c r="B42" s="2">
        <v>26.0</v>
      </c>
      <c r="C42" s="3" t="s">
        <v>258</v>
      </c>
      <c r="D42" s="6">
        <v>1.1821426188E8</v>
      </c>
      <c r="E42" s="6">
        <v>856773.27</v>
      </c>
      <c r="F42" s="6">
        <f t="shared" ref="F42:F51" si="13">D42-E42</f>
        <v>117357488.6</v>
      </c>
      <c r="G42" s="6">
        <v>3.046679E7</v>
      </c>
      <c r="H42" s="5">
        <v>720.0</v>
      </c>
      <c r="I42" s="6">
        <v>358059.97</v>
      </c>
      <c r="J42" s="4">
        <v>90581.32000000002</v>
      </c>
      <c r="K42" s="4">
        <f t="shared" ref="K42:K51" si="14">I42-J42</f>
        <v>267478.65</v>
      </c>
      <c r="L42" s="4">
        <f>I42+Nov!L42</f>
        <v>12702033.93</v>
      </c>
      <c r="M42" s="4">
        <f>J42+Nov!M42</f>
        <v>5744669.26</v>
      </c>
      <c r="N42" s="4">
        <f t="shared" ref="N42:N51" si="15">L42-M42</f>
        <v>6957364.67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259</v>
      </c>
      <c r="D43" s="6">
        <v>5.8612048808E8</v>
      </c>
      <c r="E43" s="6">
        <v>2647972.85</v>
      </c>
      <c r="F43" s="6">
        <f t="shared" si="13"/>
        <v>583472515.2</v>
      </c>
      <c r="G43" s="6">
        <v>2.407754378E8</v>
      </c>
      <c r="H43" s="5">
        <v>2446.0</v>
      </c>
      <c r="I43" s="6">
        <v>614687.26</v>
      </c>
      <c r="J43" s="4">
        <v>807009.71</v>
      </c>
      <c r="K43" s="4">
        <f t="shared" si="14"/>
        <v>-192322.45</v>
      </c>
      <c r="L43" s="4">
        <f>I43+Nov!L43</f>
        <v>15721999.41</v>
      </c>
      <c r="M43" s="4">
        <f>J43+Nov!M43</f>
        <v>78548312.29</v>
      </c>
      <c r="N43" s="4">
        <f t="shared" si="15"/>
        <v>-62826312.88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53</v>
      </c>
      <c r="D44" s="6">
        <v>1.06688622374E9</v>
      </c>
      <c r="E44" s="6">
        <v>6084921.69</v>
      </c>
      <c r="F44" s="6">
        <f t="shared" si="13"/>
        <v>1060801302</v>
      </c>
      <c r="G44" s="6">
        <v>6.6841291379E8</v>
      </c>
      <c r="H44" s="5">
        <v>4739.0</v>
      </c>
      <c r="I44" s="6">
        <v>1139953.22</v>
      </c>
      <c r="J44" s="4">
        <v>5646453.8</v>
      </c>
      <c r="K44" s="4">
        <f t="shared" si="14"/>
        <v>-4506500.58</v>
      </c>
      <c r="L44" s="4">
        <f>I44+Nov!L44</f>
        <v>43297711.54</v>
      </c>
      <c r="M44" s="4">
        <f>J44+Nov!M44</f>
        <v>213913647.7</v>
      </c>
      <c r="N44" s="4">
        <f t="shared" si="15"/>
        <v>-170615936.2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54</v>
      </c>
      <c r="D45" s="6">
        <v>2.9853838449E8</v>
      </c>
      <c r="E45" s="6">
        <v>1143936.78</v>
      </c>
      <c r="F45" s="6">
        <f t="shared" si="13"/>
        <v>297394447.7</v>
      </c>
      <c r="G45" s="6">
        <v>2.3894076212E8</v>
      </c>
      <c r="H45" s="5">
        <v>237.0</v>
      </c>
      <c r="I45" s="6">
        <v>2351165.0</v>
      </c>
      <c r="J45" s="4">
        <v>3136035.82</v>
      </c>
      <c r="K45" s="4">
        <f t="shared" si="14"/>
        <v>-784870.82</v>
      </c>
      <c r="L45" s="4">
        <f>I45+Nov!L45</f>
        <v>320952729.4</v>
      </c>
      <c r="M45" s="4">
        <f>J45+Nov!M45</f>
        <v>29952356.65</v>
      </c>
      <c r="N45" s="4">
        <f t="shared" si="15"/>
        <v>291000372.8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55</v>
      </c>
      <c r="D46" s="6">
        <v>3.4949882475E8</v>
      </c>
      <c r="E46" s="6">
        <v>4294050.11</v>
      </c>
      <c r="F46" s="6">
        <f t="shared" si="13"/>
        <v>345204774.6</v>
      </c>
      <c r="G46" s="6">
        <v>1.5677622811E8</v>
      </c>
      <c r="H46" s="5">
        <v>56.0</v>
      </c>
      <c r="I46" s="6">
        <v>0.0</v>
      </c>
      <c r="J46" s="4">
        <v>0.0</v>
      </c>
      <c r="K46" s="4">
        <f t="shared" si="14"/>
        <v>0</v>
      </c>
      <c r="L46" s="4">
        <f>I46+Nov!L46</f>
        <v>0</v>
      </c>
      <c r="M46" s="4">
        <f>J46+Nov!M46</f>
        <v>2789770.37</v>
      </c>
      <c r="N46" s="4">
        <f t="shared" si="15"/>
        <v>-2789770.37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56</v>
      </c>
      <c r="D47" s="6">
        <v>5.6732314979E8</v>
      </c>
      <c r="E47" s="6">
        <v>1.983242398E7</v>
      </c>
      <c r="F47" s="6">
        <f t="shared" si="13"/>
        <v>547490725.8</v>
      </c>
      <c r="G47" s="6">
        <v>3.0721350926E8</v>
      </c>
      <c r="H47" s="5">
        <v>10126.0</v>
      </c>
      <c r="I47" s="6">
        <v>247871.27</v>
      </c>
      <c r="J47" s="4">
        <v>3138014.04</v>
      </c>
      <c r="K47" s="4">
        <f t="shared" si="14"/>
        <v>-2890142.77</v>
      </c>
      <c r="L47" s="4">
        <f>I47+Nov!L47</f>
        <v>5898607.85</v>
      </c>
      <c r="M47" s="4">
        <f>J47+Nov!M47</f>
        <v>50493055.47</v>
      </c>
      <c r="N47" s="4">
        <f t="shared" si="15"/>
        <v>-44594447.62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v>32.0</v>
      </c>
      <c r="C48" s="3" t="s">
        <v>57</v>
      </c>
      <c r="D48" s="6">
        <v>2.2733747901E9</v>
      </c>
      <c r="E48" s="6">
        <v>2.0699758437E8</v>
      </c>
      <c r="F48" s="6">
        <f t="shared" si="13"/>
        <v>2066377206</v>
      </c>
      <c r="G48" s="6">
        <v>1.091454651E9</v>
      </c>
      <c r="H48" s="5">
        <v>8220.0</v>
      </c>
      <c r="I48" s="6">
        <v>1144009.19</v>
      </c>
      <c r="J48" s="4">
        <v>1.088567692E7</v>
      </c>
      <c r="K48" s="4">
        <f t="shared" si="14"/>
        <v>-9741667.73</v>
      </c>
      <c r="L48" s="4">
        <f>I48+Nov!L48</f>
        <v>201804805.4</v>
      </c>
      <c r="M48" s="4">
        <f>J48+Nov!M48</f>
        <v>8281078304</v>
      </c>
      <c r="N48" s="4">
        <f t="shared" si="15"/>
        <v>-8079273499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1.25" customHeight="1">
      <c r="A49" s="18"/>
      <c r="B49" s="2">
        <v>33.0</v>
      </c>
      <c r="C49" s="3" t="s">
        <v>260</v>
      </c>
      <c r="D49" s="6">
        <v>1.3960853845E8</v>
      </c>
      <c r="E49" s="6">
        <v>2069977.14</v>
      </c>
      <c r="F49" s="6">
        <f t="shared" si="13"/>
        <v>137538561.3</v>
      </c>
      <c r="G49" s="6">
        <v>8.25469628E7</v>
      </c>
      <c r="H49" s="5">
        <v>197.0</v>
      </c>
      <c r="I49" s="6">
        <v>0.0</v>
      </c>
      <c r="J49" s="4">
        <v>864154.94</v>
      </c>
      <c r="K49" s="4">
        <f t="shared" si="14"/>
        <v>-864154.94</v>
      </c>
      <c r="L49" s="4">
        <f>I49+Nov!L49</f>
        <v>3708346.55</v>
      </c>
      <c r="M49" s="4">
        <f>J49+Nov!M49</f>
        <v>7605198.32</v>
      </c>
      <c r="N49" s="4">
        <f t="shared" si="15"/>
        <v>-3896851.77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59</v>
      </c>
      <c r="D50" s="6">
        <v>7.29842169495E9</v>
      </c>
      <c r="E50" s="6">
        <v>5.976267859E7</v>
      </c>
      <c r="F50" s="6">
        <f t="shared" si="13"/>
        <v>7238659016</v>
      </c>
      <c r="G50" s="6">
        <v>4.22096166228E9</v>
      </c>
      <c r="H50" s="5">
        <v>53601.0</v>
      </c>
      <c r="I50" s="6">
        <v>1.009390055E7</v>
      </c>
      <c r="J50" s="4">
        <v>6.971040904E7</v>
      </c>
      <c r="K50" s="4">
        <f t="shared" si="14"/>
        <v>-59616508.49</v>
      </c>
      <c r="L50" s="4">
        <f>I50+Nov!L50</f>
        <v>171935512.6</v>
      </c>
      <c r="M50" s="4">
        <f>J50+Nov!M50</f>
        <v>543781843.4</v>
      </c>
      <c r="N50" s="4">
        <f t="shared" si="15"/>
        <v>-371846330.7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v>35.0</v>
      </c>
      <c r="C51" s="3" t="s">
        <v>60</v>
      </c>
      <c r="D51" s="6">
        <v>1.15917957079E9</v>
      </c>
      <c r="E51" s="6">
        <v>3896781.8</v>
      </c>
      <c r="F51" s="6">
        <f t="shared" si="13"/>
        <v>1155282789</v>
      </c>
      <c r="G51" s="6">
        <v>6.863389706E8</v>
      </c>
      <c r="H51" s="5">
        <v>4998.0</v>
      </c>
      <c r="I51" s="6">
        <v>0.0</v>
      </c>
      <c r="J51" s="4">
        <v>3765409.35</v>
      </c>
      <c r="K51" s="4">
        <f t="shared" si="14"/>
        <v>-3765409.35</v>
      </c>
      <c r="L51" s="4">
        <f>I51+Nov!L51</f>
        <v>0</v>
      </c>
      <c r="M51" s="4">
        <f>J51+Nov!M51</f>
        <v>77392379.27</v>
      </c>
      <c r="N51" s="4">
        <f t="shared" si="15"/>
        <v>-77392379.27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18" t="s">
        <v>40</v>
      </c>
      <c r="B52" s="2"/>
      <c r="C52" s="3"/>
      <c r="D52" s="6"/>
      <c r="E52" s="6"/>
      <c r="F52" s="6"/>
      <c r="G52" s="6"/>
      <c r="H52" s="5"/>
      <c r="I52" s="6"/>
      <c r="J52" s="4"/>
      <c r="K52" s="4"/>
      <c r="L52" s="4"/>
      <c r="M52" s="4"/>
      <c r="N52" s="4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61</v>
      </c>
      <c r="D53" s="6">
        <v>7.524480915E7</v>
      </c>
      <c r="E53" s="6">
        <v>926868.76</v>
      </c>
      <c r="F53" s="6">
        <f t="shared" ref="F53:F55" si="16">D53-E53</f>
        <v>74317940.39</v>
      </c>
      <c r="G53" s="6">
        <v>2.71779715E7</v>
      </c>
      <c r="H53" s="5">
        <v>1043.0</v>
      </c>
      <c r="I53" s="6">
        <v>342131.96</v>
      </c>
      <c r="J53" s="4">
        <v>79203.44</v>
      </c>
      <c r="K53" s="4">
        <f t="shared" ref="K53:K55" si="17">I53-J53</f>
        <v>262928.52</v>
      </c>
      <c r="L53" s="4">
        <f>I53+Nov!L53</f>
        <v>9002328.44</v>
      </c>
      <c r="M53" s="4">
        <f>J53+Nov!M53</f>
        <v>2493309.79</v>
      </c>
      <c r="N53" s="4">
        <f t="shared" ref="N53:N55" si="18">L53-M53</f>
        <v>6509018.65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62</v>
      </c>
      <c r="D54" s="6">
        <v>5.553515539E7</v>
      </c>
      <c r="E54" s="6">
        <v>654936.01</v>
      </c>
      <c r="F54" s="6">
        <f t="shared" si="16"/>
        <v>54880219.38</v>
      </c>
      <c r="G54" s="6">
        <v>4.31481524E7</v>
      </c>
      <c r="H54" s="5">
        <v>406.0</v>
      </c>
      <c r="I54" s="6">
        <v>170252.69</v>
      </c>
      <c r="J54" s="4">
        <v>52195.97</v>
      </c>
      <c r="K54" s="4">
        <f t="shared" si="17"/>
        <v>118056.72</v>
      </c>
      <c r="L54" s="4">
        <f>I54+Nov!L54</f>
        <v>6165788.81</v>
      </c>
      <c r="M54" s="4">
        <f>J54+Nov!M54</f>
        <v>1014202.4</v>
      </c>
      <c r="N54" s="4">
        <f t="shared" si="18"/>
        <v>5151586.41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v>38.0</v>
      </c>
      <c r="C55" s="3" t="s">
        <v>63</v>
      </c>
      <c r="D55" s="6">
        <v>4.718555943E7</v>
      </c>
      <c r="E55" s="6">
        <v>769283.91</v>
      </c>
      <c r="F55" s="6">
        <f t="shared" si="16"/>
        <v>46416275.52</v>
      </c>
      <c r="G55" s="6">
        <v>3.94128242E7</v>
      </c>
      <c r="H55" s="5">
        <v>190.0</v>
      </c>
      <c r="I55" s="6">
        <v>149501.86</v>
      </c>
      <c r="J55" s="4">
        <v>26426.37</v>
      </c>
      <c r="K55" s="4">
        <f t="shared" si="17"/>
        <v>123075.49</v>
      </c>
      <c r="L55" s="4">
        <f>I55+Nov!L55</f>
        <v>2497331.51</v>
      </c>
      <c r="M55" s="4">
        <f>J55+Nov!M55</f>
        <v>303754.62</v>
      </c>
      <c r="N55" s="4">
        <f t="shared" si="18"/>
        <v>2193576.89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22" t="s">
        <v>44</v>
      </c>
      <c r="B56" s="22"/>
      <c r="C56" s="1"/>
      <c r="D56" s="24">
        <f t="shared" ref="D56:N56" si="19">SUM(D42:D55)</f>
        <v>14035131451</v>
      </c>
      <c r="E56" s="24">
        <f t="shared" si="19"/>
        <v>309938189.3</v>
      </c>
      <c r="F56" s="24">
        <f t="shared" si="19"/>
        <v>13725193262</v>
      </c>
      <c r="G56" s="24">
        <f t="shared" si="19"/>
        <v>7833626836</v>
      </c>
      <c r="H56" s="24">
        <f t="shared" si="19"/>
        <v>86979</v>
      </c>
      <c r="I56" s="24">
        <f t="shared" si="19"/>
        <v>16611532.97</v>
      </c>
      <c r="J56" s="24">
        <f t="shared" si="19"/>
        <v>98201570.72</v>
      </c>
      <c r="K56" s="24">
        <f t="shared" si="19"/>
        <v>-81590037.75</v>
      </c>
      <c r="L56" s="24">
        <f t="shared" si="19"/>
        <v>793687195.5</v>
      </c>
      <c r="M56" s="24">
        <f t="shared" si="19"/>
        <v>9295110804</v>
      </c>
      <c r="N56" s="24">
        <f t="shared" si="19"/>
        <v>-8501423609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2.0" customHeight="1">
      <c r="A57" s="18" t="s">
        <v>45</v>
      </c>
      <c r="B57" s="2"/>
      <c r="C57" s="3"/>
      <c r="D57" s="6"/>
      <c r="E57" s="6"/>
      <c r="F57" s="6"/>
      <c r="G57" s="6"/>
      <c r="H57" s="5"/>
      <c r="I57" s="6"/>
      <c r="J57" s="4"/>
      <c r="K57" s="4"/>
      <c r="L57" s="4"/>
      <c r="M57" s="4"/>
      <c r="N57" s="4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64</v>
      </c>
      <c r="D58" s="6">
        <f>55.755*1290984.15</f>
        <v>71978821.28</v>
      </c>
      <c r="E58" s="6">
        <f>55.755*8695.28</f>
        <v>484805.3364</v>
      </c>
      <c r="F58" s="6">
        <f t="shared" ref="F58:F61" si="20">D58-E58</f>
        <v>71494015.95</v>
      </c>
      <c r="G58" s="6">
        <v>0.0</v>
      </c>
      <c r="H58" s="5">
        <v>54.0</v>
      </c>
      <c r="I58" s="6">
        <v>0.0</v>
      </c>
      <c r="J58" s="6">
        <v>0.0</v>
      </c>
      <c r="K58" s="4">
        <f t="shared" ref="K58:K61" si="21">I58-J58</f>
        <v>0</v>
      </c>
      <c r="L58" s="4">
        <f>I58+Nov!L58</f>
        <v>5269785.849</v>
      </c>
      <c r="M58" s="4">
        <f>J58+Nov!M58</f>
        <v>4146587.404</v>
      </c>
      <c r="N58" s="4">
        <f t="shared" ref="N58:N61" si="22">L58-M58</f>
        <v>1123198.446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v>40.0</v>
      </c>
      <c r="C59" s="3" t="s">
        <v>65</v>
      </c>
      <c r="D59" s="6">
        <f>55.755*6301548.13</f>
        <v>351342816</v>
      </c>
      <c r="E59" s="6">
        <f>55.755*414600.1</f>
        <v>23116028.58</v>
      </c>
      <c r="F59" s="6">
        <f t="shared" si="20"/>
        <v>328226787.4</v>
      </c>
      <c r="G59" s="6">
        <f>55.755*3153631.87</f>
        <v>175830744.9</v>
      </c>
      <c r="H59" s="5">
        <v>268.0</v>
      </c>
      <c r="I59" s="6">
        <v>0.0</v>
      </c>
      <c r="J59" s="6">
        <f>55.755*2424.52</f>
        <v>135179.1126</v>
      </c>
      <c r="K59" s="4">
        <f t="shared" si="21"/>
        <v>-135179.1126</v>
      </c>
      <c r="L59" s="4">
        <f>I59+Nov!L59</f>
        <v>602209.6245</v>
      </c>
      <c r="M59" s="4">
        <f>J59+Nov!M59</f>
        <v>18735074.34</v>
      </c>
      <c r="N59" s="4">
        <f t="shared" si="22"/>
        <v>-18132864.72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66</v>
      </c>
      <c r="D60" s="6">
        <f>55.755*27411291.78</f>
        <v>1528316573</v>
      </c>
      <c r="E60" s="6">
        <f>55.755*91578.36</f>
        <v>5105951.462</v>
      </c>
      <c r="F60" s="6">
        <f t="shared" si="20"/>
        <v>1523210622</v>
      </c>
      <c r="G60" s="6">
        <v>0.0</v>
      </c>
      <c r="H60" s="5">
        <v>4131.0</v>
      </c>
      <c r="I60" s="6">
        <f>55.755*9920</f>
        <v>553089.6</v>
      </c>
      <c r="J60" s="6">
        <f>55.755*102685.18</f>
        <v>5725212.211</v>
      </c>
      <c r="K60" s="4">
        <f t="shared" si="21"/>
        <v>-5172122.611</v>
      </c>
      <c r="L60" s="4">
        <f>I60+Nov!L60</f>
        <v>68272861.94</v>
      </c>
      <c r="M60" s="4">
        <f>J60+Nov!M60</f>
        <v>219290841.5</v>
      </c>
      <c r="N60" s="4">
        <f t="shared" si="22"/>
        <v>-151017979.6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v>42.0</v>
      </c>
      <c r="C61" s="3" t="s">
        <v>67</v>
      </c>
      <c r="D61" s="6">
        <f>55.755*5263374.62</f>
        <v>293459451.9</v>
      </c>
      <c r="E61" s="6">
        <f>55.755*12983.7</f>
        <v>723906.1935</v>
      </c>
      <c r="F61" s="6">
        <f t="shared" si="20"/>
        <v>292735545.7</v>
      </c>
      <c r="G61" s="6">
        <v>0.0</v>
      </c>
      <c r="H61" s="5">
        <v>714.0</v>
      </c>
      <c r="I61" s="6">
        <f>55.755*1700</f>
        <v>94783.5</v>
      </c>
      <c r="J61" s="6">
        <f>55.755*139870.32</f>
        <v>7798469.692</v>
      </c>
      <c r="K61" s="4">
        <f t="shared" si="21"/>
        <v>-7703686.192</v>
      </c>
      <c r="L61" s="4">
        <f>I61+Nov!L61</f>
        <v>16560908.23</v>
      </c>
      <c r="M61" s="4">
        <f>J61+Nov!M61</f>
        <v>53448131.14</v>
      </c>
      <c r="N61" s="4">
        <f t="shared" si="22"/>
        <v>-36887222.91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22" t="s">
        <v>48</v>
      </c>
      <c r="B62" s="23"/>
      <c r="C62" s="1"/>
      <c r="D62" s="24">
        <f t="shared" ref="D62:N62" si="23">SUM(D58:D61)</f>
        <v>2245097662</v>
      </c>
      <c r="E62" s="24">
        <f t="shared" si="23"/>
        <v>29430691.57</v>
      </c>
      <c r="F62" s="24">
        <f t="shared" si="23"/>
        <v>2215666971</v>
      </c>
      <c r="G62" s="24">
        <f t="shared" si="23"/>
        <v>175830744.9</v>
      </c>
      <c r="H62" s="24">
        <f t="shared" si="23"/>
        <v>5167</v>
      </c>
      <c r="I62" s="24">
        <f t="shared" si="23"/>
        <v>647873.1</v>
      </c>
      <c r="J62" s="24">
        <f t="shared" si="23"/>
        <v>13658861.02</v>
      </c>
      <c r="K62" s="24">
        <f t="shared" si="23"/>
        <v>-13010987.92</v>
      </c>
      <c r="L62" s="24">
        <f t="shared" si="23"/>
        <v>90705765.64</v>
      </c>
      <c r="M62" s="24">
        <f t="shared" si="23"/>
        <v>295620634.4</v>
      </c>
      <c r="N62" s="24">
        <f t="shared" si="23"/>
        <v>-204914868.7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68</v>
      </c>
      <c r="B63" s="23"/>
      <c r="C63" s="1"/>
      <c r="D63" s="24">
        <f t="shared" ref="D63:N63" si="24">D56+D62</f>
        <v>16280229113</v>
      </c>
      <c r="E63" s="24">
        <f t="shared" si="24"/>
        <v>339368880.8</v>
      </c>
      <c r="F63" s="24">
        <f t="shared" si="24"/>
        <v>15940860233</v>
      </c>
      <c r="G63" s="24">
        <f t="shared" si="24"/>
        <v>8009457581</v>
      </c>
      <c r="H63" s="24">
        <f t="shared" si="24"/>
        <v>92146</v>
      </c>
      <c r="I63" s="24">
        <f t="shared" si="24"/>
        <v>17259406.07</v>
      </c>
      <c r="J63" s="24">
        <f t="shared" si="24"/>
        <v>111860431.7</v>
      </c>
      <c r="K63" s="24">
        <f t="shared" si="24"/>
        <v>-94601025.67</v>
      </c>
      <c r="L63" s="24">
        <f t="shared" si="24"/>
        <v>884392961.1</v>
      </c>
      <c r="M63" s="24">
        <f t="shared" si="24"/>
        <v>9590731438</v>
      </c>
      <c r="N63" s="24">
        <f t="shared" si="24"/>
        <v>-8706338477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69</v>
      </c>
      <c r="B64" s="2"/>
      <c r="C64" s="3"/>
      <c r="D64" s="6"/>
      <c r="E64" s="6"/>
      <c r="F64" s="6"/>
      <c r="G64" s="6"/>
      <c r="H64" s="5"/>
      <c r="I64" s="6"/>
      <c r="J64" s="4"/>
      <c r="K64" s="4"/>
      <c r="L64" s="4"/>
      <c r="M64" s="4"/>
      <c r="N64" s="4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18" t="s">
        <v>20</v>
      </c>
      <c r="B65" s="2"/>
      <c r="C65" s="3"/>
      <c r="D65" s="6"/>
      <c r="E65" s="6"/>
      <c r="F65" s="6"/>
      <c r="G65" s="6"/>
      <c r="H65" s="5"/>
      <c r="I65" s="6"/>
      <c r="J65" s="4"/>
      <c r="K65" s="4"/>
      <c r="L65" s="4"/>
      <c r="M65" s="4"/>
      <c r="N65" s="4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70</v>
      </c>
      <c r="D66" s="6">
        <v>3.996425462353E10</v>
      </c>
      <c r="E66" s="6">
        <v>2.0614424182E8</v>
      </c>
      <c r="F66" s="6">
        <f t="shared" ref="F66:F76" si="25">D66-E66</f>
        <v>39758110382</v>
      </c>
      <c r="G66" s="6">
        <v>8.9619616E8</v>
      </c>
      <c r="H66" s="5">
        <v>25213.0</v>
      </c>
      <c r="I66" s="6">
        <v>3.2600596881E8</v>
      </c>
      <c r="J66" s="4">
        <v>7.9974422844E8</v>
      </c>
      <c r="K66" s="4">
        <f t="shared" ref="K66:K76" si="26">I66-J66</f>
        <v>-473738259.6</v>
      </c>
      <c r="L66" s="4">
        <f>I66+Nov!L66</f>
        <v>3208222634</v>
      </c>
      <c r="M66" s="4">
        <f>J66+Nov!M66</f>
        <v>7907952844</v>
      </c>
      <c r="N66" s="4">
        <f t="shared" ref="N66:N76" si="27">L66-M66</f>
        <v>-4699730211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261</v>
      </c>
      <c r="D67" s="6">
        <v>4.6311693779E8</v>
      </c>
      <c r="E67" s="6">
        <v>884405.85</v>
      </c>
      <c r="F67" s="6">
        <f t="shared" si="25"/>
        <v>462232531.9</v>
      </c>
      <c r="G67" s="6">
        <v>0.0</v>
      </c>
      <c r="H67" s="5">
        <v>1076.0</v>
      </c>
      <c r="I67" s="6">
        <v>2.233541604E7</v>
      </c>
      <c r="J67" s="4">
        <v>5871223.730000001</v>
      </c>
      <c r="K67" s="4">
        <f t="shared" si="26"/>
        <v>16464192.31</v>
      </c>
      <c r="L67" s="4">
        <f>I67+Nov!L67</f>
        <v>211839209.1</v>
      </c>
      <c r="M67" s="4">
        <f>J67+Nov!M67</f>
        <v>41007136.36</v>
      </c>
      <c r="N67" s="4">
        <f t="shared" si="27"/>
        <v>170832072.7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v>45.0</v>
      </c>
      <c r="C68" s="3" t="s">
        <v>72</v>
      </c>
      <c r="D68" s="6">
        <v>1.0067315808000002E9</v>
      </c>
      <c r="E68" s="6">
        <v>1.7203887290000003E7</v>
      </c>
      <c r="F68" s="6">
        <f t="shared" si="25"/>
        <v>989527693.5</v>
      </c>
      <c r="G68" s="6">
        <v>0.0</v>
      </c>
      <c r="H68" s="5">
        <v>1997.0</v>
      </c>
      <c r="I68" s="6">
        <v>2129005.840000006</v>
      </c>
      <c r="J68" s="4">
        <v>9.752270769999996E7</v>
      </c>
      <c r="K68" s="4">
        <f t="shared" si="26"/>
        <v>-95393701.86</v>
      </c>
      <c r="L68" s="4">
        <f>I68+Nov!L68</f>
        <v>137594669</v>
      </c>
      <c r="M68" s="4">
        <f>J68+Nov!M68</f>
        <v>362073970.5</v>
      </c>
      <c r="N68" s="4">
        <f t="shared" si="27"/>
        <v>-224479301.4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1"/>
      <c r="B69" s="2">
        <v>46.0</v>
      </c>
      <c r="C69" s="3" t="s">
        <v>73</v>
      </c>
      <c r="D69" s="6">
        <v>1.9308226057E8</v>
      </c>
      <c r="E69" s="6">
        <v>293823.89</v>
      </c>
      <c r="F69" s="6">
        <f t="shared" si="25"/>
        <v>192788436.7</v>
      </c>
      <c r="G69" s="6">
        <v>4750000.0</v>
      </c>
      <c r="H69" s="5">
        <v>169.0</v>
      </c>
      <c r="I69" s="6">
        <v>634986.85</v>
      </c>
      <c r="J69" s="4">
        <v>4843.47</v>
      </c>
      <c r="K69" s="4">
        <f t="shared" si="26"/>
        <v>630143.38</v>
      </c>
      <c r="L69" s="4">
        <f>I69+Nov!L69</f>
        <v>5938138.97</v>
      </c>
      <c r="M69" s="4">
        <f>J69+Nov!M69</f>
        <v>9876823.53</v>
      </c>
      <c r="N69" s="4">
        <f t="shared" si="27"/>
        <v>-3938684.56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74</v>
      </c>
      <c r="D70" s="6">
        <v>1.28665002012E9</v>
      </c>
      <c r="E70" s="6">
        <v>2867103.14</v>
      </c>
      <c r="F70" s="6">
        <f t="shared" si="25"/>
        <v>1283782917</v>
      </c>
      <c r="G70" s="6">
        <v>0.0</v>
      </c>
      <c r="H70" s="5">
        <v>1816.0</v>
      </c>
      <c r="I70" s="6">
        <v>798036.28</v>
      </c>
      <c r="J70" s="4">
        <v>2169155.67</v>
      </c>
      <c r="K70" s="4">
        <f t="shared" si="26"/>
        <v>-1371119.39</v>
      </c>
      <c r="L70" s="4">
        <f>I70+Nov!L70</f>
        <v>32622136.21</v>
      </c>
      <c r="M70" s="4">
        <f>J70+Nov!M70</f>
        <v>256787142.7</v>
      </c>
      <c r="N70" s="4">
        <f t="shared" si="27"/>
        <v>-224165006.5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75</v>
      </c>
      <c r="D71" s="6">
        <v>8.5074748411E8</v>
      </c>
      <c r="E71" s="6">
        <v>3.691906371E7</v>
      </c>
      <c r="F71" s="6">
        <f t="shared" si="25"/>
        <v>813828420.4</v>
      </c>
      <c r="G71" s="6">
        <v>0.0</v>
      </c>
      <c r="H71" s="5">
        <v>503.0</v>
      </c>
      <c r="I71" s="6">
        <v>1992331.47</v>
      </c>
      <c r="J71" s="4">
        <v>5.034570308E7</v>
      </c>
      <c r="K71" s="4">
        <f t="shared" si="26"/>
        <v>-48353371.61</v>
      </c>
      <c r="L71" s="4">
        <f>I71+Nov!L71</f>
        <v>28037744.7</v>
      </c>
      <c r="M71" s="4">
        <f>J71+Nov!M71</f>
        <v>205381073.7</v>
      </c>
      <c r="N71" s="4">
        <f t="shared" si="27"/>
        <v>-177343329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76</v>
      </c>
      <c r="D72" s="6">
        <v>1.71576862891E9</v>
      </c>
      <c r="E72" s="6">
        <v>2.495316771E7</v>
      </c>
      <c r="F72" s="6">
        <f t="shared" si="25"/>
        <v>1690815461</v>
      </c>
      <c r="G72" s="6">
        <v>0.0</v>
      </c>
      <c r="H72" s="5">
        <v>5049.0</v>
      </c>
      <c r="I72" s="6">
        <v>1908829.9</v>
      </c>
      <c r="J72" s="4">
        <v>6341078.76</v>
      </c>
      <c r="K72" s="4">
        <f t="shared" si="26"/>
        <v>-4432248.86</v>
      </c>
      <c r="L72" s="4">
        <f>I72+Nov!L72</f>
        <v>228018618.9</v>
      </c>
      <c r="M72" s="4">
        <f>J72+Nov!M72</f>
        <v>4974648388</v>
      </c>
      <c r="N72" s="4">
        <f t="shared" si="27"/>
        <v>-4746629769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77</v>
      </c>
      <c r="D73" s="6">
        <v>3.04275208694344E8</v>
      </c>
      <c r="E73" s="6">
        <v>532267.786300097</v>
      </c>
      <c r="F73" s="6">
        <f t="shared" si="25"/>
        <v>303742940.9</v>
      </c>
      <c r="G73" s="6">
        <v>0.0</v>
      </c>
      <c r="H73" s="5">
        <v>4173.0</v>
      </c>
      <c r="I73" s="6">
        <v>620845.38</v>
      </c>
      <c r="J73" s="4">
        <v>1150585.63</v>
      </c>
      <c r="K73" s="4">
        <f t="shared" si="26"/>
        <v>-529740.25</v>
      </c>
      <c r="L73" s="4">
        <f>I73+Nov!L73</f>
        <v>33584779.05</v>
      </c>
      <c r="M73" s="4">
        <f>J73+Nov!M73</f>
        <v>34513580.84</v>
      </c>
      <c r="N73" s="4">
        <f t="shared" si="27"/>
        <v>-928801.79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78</v>
      </c>
      <c r="D74" s="6">
        <v>1.22368884769E9</v>
      </c>
      <c r="E74" s="28">
        <v>2956208.26</v>
      </c>
      <c r="F74" s="6">
        <f t="shared" si="25"/>
        <v>1220732639</v>
      </c>
      <c r="G74" s="6">
        <v>0.0</v>
      </c>
      <c r="H74" s="5">
        <v>754.0</v>
      </c>
      <c r="I74" s="6">
        <v>2.5116391699999996E7</v>
      </c>
      <c r="J74" s="4">
        <v>869427.3200000001</v>
      </c>
      <c r="K74" s="4">
        <f t="shared" si="26"/>
        <v>24246964.38</v>
      </c>
      <c r="L74" s="4">
        <f>I74+Nov!L74</f>
        <v>327709706.5</v>
      </c>
      <c r="M74" s="4">
        <f>J74+Nov!M74</f>
        <v>14401858.23</v>
      </c>
      <c r="N74" s="4">
        <f t="shared" si="27"/>
        <v>313307848.3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79</v>
      </c>
      <c r="D75" s="6">
        <v>4.47524202615E9</v>
      </c>
      <c r="E75" s="6">
        <v>7787453.79</v>
      </c>
      <c r="F75" s="6">
        <f t="shared" si="25"/>
        <v>4467454572</v>
      </c>
      <c r="G75" s="6">
        <v>0.0</v>
      </c>
      <c r="H75" s="5">
        <v>16580.0</v>
      </c>
      <c r="I75" s="6">
        <v>2.2823840067E8</v>
      </c>
      <c r="J75" s="4">
        <v>9.139037578E7</v>
      </c>
      <c r="K75" s="4">
        <f t="shared" si="26"/>
        <v>136848024.9</v>
      </c>
      <c r="L75" s="4">
        <f>I75+Nov!L75</f>
        <v>743604800.7</v>
      </c>
      <c r="M75" s="4">
        <f>J75+Nov!M75</f>
        <v>908764170.4</v>
      </c>
      <c r="N75" s="4">
        <f t="shared" si="27"/>
        <v>-165159369.7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v>53.0</v>
      </c>
      <c r="C76" s="3" t="s">
        <v>80</v>
      </c>
      <c r="D76" s="6">
        <v>1.3814635219E8</v>
      </c>
      <c r="E76" s="6">
        <v>338426.01</v>
      </c>
      <c r="F76" s="6">
        <f t="shared" si="25"/>
        <v>137807926.2</v>
      </c>
      <c r="G76" s="6">
        <v>0.0</v>
      </c>
      <c r="H76" s="5">
        <v>2635.0</v>
      </c>
      <c r="I76" s="6">
        <v>567692.34</v>
      </c>
      <c r="J76" s="4">
        <v>154752.31</v>
      </c>
      <c r="K76" s="4">
        <f t="shared" si="26"/>
        <v>412940.03</v>
      </c>
      <c r="L76" s="4">
        <f>I76+Nov!L76</f>
        <v>8297173.75</v>
      </c>
      <c r="M76" s="4">
        <f>J76+Nov!M76</f>
        <v>29498137.83</v>
      </c>
      <c r="N76" s="4">
        <f t="shared" si="27"/>
        <v>-21200964.08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22" t="s">
        <v>44</v>
      </c>
      <c r="B77" s="1"/>
      <c r="C77" s="1"/>
      <c r="D77" s="24">
        <f t="shared" ref="D77:N77" si="28">SUM(D66:D76)</f>
        <v>51621703971</v>
      </c>
      <c r="E77" s="24">
        <f t="shared" si="28"/>
        <v>300880049.3</v>
      </c>
      <c r="F77" s="24">
        <f t="shared" si="28"/>
        <v>51320823921</v>
      </c>
      <c r="G77" s="24">
        <f t="shared" si="28"/>
        <v>900946160</v>
      </c>
      <c r="H77" s="24">
        <f t="shared" si="28"/>
        <v>59965</v>
      </c>
      <c r="I77" s="24">
        <f t="shared" si="28"/>
        <v>610347905.3</v>
      </c>
      <c r="J77" s="24">
        <f t="shared" si="28"/>
        <v>1055564082</v>
      </c>
      <c r="K77" s="24">
        <f t="shared" si="28"/>
        <v>-445216176.6</v>
      </c>
      <c r="L77" s="24">
        <f t="shared" si="28"/>
        <v>4965469611</v>
      </c>
      <c r="M77" s="24">
        <f t="shared" si="28"/>
        <v>14744905126</v>
      </c>
      <c r="N77" s="24">
        <f t="shared" si="28"/>
        <v>-9779435515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45</v>
      </c>
      <c r="B78" s="2"/>
      <c r="C78" s="3"/>
      <c r="D78" s="6"/>
      <c r="E78" s="6"/>
      <c r="F78" s="6"/>
      <c r="G78" s="6"/>
      <c r="H78" s="5"/>
      <c r="I78" s="6"/>
      <c r="J78" s="4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81</v>
      </c>
      <c r="D79" s="6">
        <f>55.755*249518542.55</f>
        <v>13911906340</v>
      </c>
      <c r="E79" s="6">
        <f>55.755*1859334.28</f>
        <v>103667182.8</v>
      </c>
      <c r="F79" s="6">
        <f t="shared" ref="F79:F85" si="29">D79-E79</f>
        <v>13808239157</v>
      </c>
      <c r="G79" s="6">
        <v>0.0</v>
      </c>
      <c r="H79" s="5">
        <v>8809.0</v>
      </c>
      <c r="I79" s="6">
        <f>55.755*1285462.51</f>
        <v>71670962.25</v>
      </c>
      <c r="J79" s="4">
        <f>55.755*3877119.22</f>
        <v>216168782.1</v>
      </c>
      <c r="K79" s="4">
        <f t="shared" ref="K79:K85" si="30">I79-J79</f>
        <v>-144497819.9</v>
      </c>
      <c r="L79" s="4">
        <f>I79+Nov!L79</f>
        <v>1043886538</v>
      </c>
      <c r="M79" s="4">
        <f>J79+Nov!M79</f>
        <v>5836999534</v>
      </c>
      <c r="N79" s="4">
        <f t="shared" ref="N79:N85" si="31">L79-M79</f>
        <v>-4793112996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262</v>
      </c>
      <c r="D80" s="6">
        <v>2.5977816420569998E8</v>
      </c>
      <c r="E80" s="6">
        <v>2267141.0328</v>
      </c>
      <c r="F80" s="6">
        <f t="shared" si="29"/>
        <v>257511023.2</v>
      </c>
      <c r="G80" s="6">
        <v>0.0</v>
      </c>
      <c r="H80" s="5">
        <v>176.0</v>
      </c>
      <c r="I80" s="6">
        <v>0.0</v>
      </c>
      <c r="J80" s="4">
        <v>6054196.26</v>
      </c>
      <c r="K80" s="4">
        <f t="shared" si="30"/>
        <v>-6054196.26</v>
      </c>
      <c r="L80" s="4">
        <f>I80+Nov!L80</f>
        <v>21058598.65</v>
      </c>
      <c r="M80" s="4">
        <f>J80+Nov!M80</f>
        <v>519495826.8</v>
      </c>
      <c r="N80" s="4">
        <f t="shared" si="31"/>
        <v>-498437228.1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3"/>
      <c r="B81" s="2">
        <v>56.0</v>
      </c>
      <c r="C81" s="3" t="s">
        <v>83</v>
      </c>
      <c r="D81" s="6">
        <v>4.3172054872695E8</v>
      </c>
      <c r="E81" s="6">
        <v>3072689.2728</v>
      </c>
      <c r="F81" s="6">
        <f t="shared" si="29"/>
        <v>428647859.5</v>
      </c>
      <c r="G81" s="6">
        <v>0.0</v>
      </c>
      <c r="H81" s="5">
        <v>146.0</v>
      </c>
      <c r="I81" s="6">
        <v>134701.8719735366</v>
      </c>
      <c r="J81" s="4">
        <v>0.0</v>
      </c>
      <c r="K81" s="4">
        <f t="shared" si="30"/>
        <v>134701.872</v>
      </c>
      <c r="L81" s="4">
        <f>I81+Nov!L81</f>
        <v>16032296.26</v>
      </c>
      <c r="M81" s="4">
        <f>J81+Nov!M81</f>
        <v>319735234</v>
      </c>
      <c r="N81" s="4">
        <f t="shared" si="31"/>
        <v>-303702937.7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1.25" customHeight="1">
      <c r="A82" s="18"/>
      <c r="B82" s="2">
        <v>57.0</v>
      </c>
      <c r="C82" s="3" t="s">
        <v>84</v>
      </c>
      <c r="D82" s="6">
        <f>55.755*1159533.42</f>
        <v>64649785.83</v>
      </c>
      <c r="E82" s="6">
        <f>55.755*247714.14</f>
        <v>13811301.88</v>
      </c>
      <c r="F82" s="6">
        <f t="shared" si="29"/>
        <v>50838483.96</v>
      </c>
      <c r="G82" s="6">
        <v>0.0</v>
      </c>
      <c r="H82" s="5">
        <v>26.0</v>
      </c>
      <c r="I82" s="6">
        <v>0.0</v>
      </c>
      <c r="J82" s="6">
        <v>0.0</v>
      </c>
      <c r="K82" s="4">
        <f t="shared" si="30"/>
        <v>0</v>
      </c>
      <c r="L82" s="4">
        <f>I82+Nov!L82</f>
        <v>684910.0473</v>
      </c>
      <c r="M82" s="4">
        <f>J82+Nov!M82</f>
        <v>1188416.954</v>
      </c>
      <c r="N82" s="4">
        <f t="shared" si="31"/>
        <v>-503506.9064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85</v>
      </c>
      <c r="D83" s="6">
        <f>55.755*36412129.38</f>
        <v>2030158274</v>
      </c>
      <c r="E83" s="6">
        <f>55.755*420096.6</f>
        <v>23422485.93</v>
      </c>
      <c r="F83" s="6">
        <f t="shared" si="29"/>
        <v>2006735788</v>
      </c>
      <c r="G83" s="6">
        <v>0.0</v>
      </c>
      <c r="H83" s="5">
        <v>1933.0</v>
      </c>
      <c r="I83" s="6">
        <f>55.755*787.65</f>
        <v>43915.42575</v>
      </c>
      <c r="J83" s="6">
        <f>55.755*243530.01</f>
        <v>13578015.71</v>
      </c>
      <c r="K83" s="4">
        <f t="shared" si="30"/>
        <v>-13534100.28</v>
      </c>
      <c r="L83" s="4">
        <f>I83+Nov!L83</f>
        <v>269332891.8</v>
      </c>
      <c r="M83" s="4">
        <f>J83+Nov!M83</f>
        <v>672248031.4</v>
      </c>
      <c r="N83" s="4">
        <f t="shared" si="31"/>
        <v>-402915139.6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86</v>
      </c>
      <c r="D84" s="6">
        <v>4201996.27792398</v>
      </c>
      <c r="E84" s="6">
        <v>22726.3842112201</v>
      </c>
      <c r="F84" s="6">
        <f t="shared" si="29"/>
        <v>4179269.894</v>
      </c>
      <c r="G84" s="6">
        <v>0.0</v>
      </c>
      <c r="H84" s="5">
        <v>122.0</v>
      </c>
      <c r="I84" s="6">
        <v>563125.5</v>
      </c>
      <c r="J84" s="4">
        <v>0.0</v>
      </c>
      <c r="K84" s="4">
        <f t="shared" si="30"/>
        <v>563125.5</v>
      </c>
      <c r="L84" s="4">
        <f>I84+Nov!L84</f>
        <v>2285856.88</v>
      </c>
      <c r="M84" s="4">
        <f>J84+Nov!M84</f>
        <v>5158483.33</v>
      </c>
      <c r="N84" s="4">
        <f t="shared" si="31"/>
        <v>-2872626.45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3"/>
      <c r="B85" s="2">
        <v>60.0</v>
      </c>
      <c r="C85" s="3" t="s">
        <v>87</v>
      </c>
      <c r="D85" s="6">
        <f>55.755*8087665.23</f>
        <v>450927774.9</v>
      </c>
      <c r="E85" s="6">
        <f>55.755*51401.93</f>
        <v>2865914.607</v>
      </c>
      <c r="F85" s="6">
        <f t="shared" si="29"/>
        <v>448061860.3</v>
      </c>
      <c r="G85" s="6">
        <v>0.0</v>
      </c>
      <c r="H85" s="5">
        <v>2530.0</v>
      </c>
      <c r="I85" s="6">
        <f>55.755*798.72</f>
        <v>44532.6336</v>
      </c>
      <c r="J85" s="4">
        <f>55.755*8869.45</f>
        <v>494516.1848</v>
      </c>
      <c r="K85" s="4">
        <f t="shared" si="30"/>
        <v>-449983.5512</v>
      </c>
      <c r="L85" s="4">
        <f>I85+Nov!L85</f>
        <v>25678548.91</v>
      </c>
      <c r="M85" s="4">
        <f>J85+Nov!M85</f>
        <v>76783965.62</v>
      </c>
      <c r="N85" s="4">
        <f t="shared" si="31"/>
        <v>-51105416.7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22" t="s">
        <v>88</v>
      </c>
      <c r="B86" s="23"/>
      <c r="C86" s="29"/>
      <c r="D86" s="24">
        <f t="shared" ref="D86:N86" si="32">SUM(D79:D85)</f>
        <v>17153342883</v>
      </c>
      <c r="E86" s="24">
        <f t="shared" si="32"/>
        <v>149129441.9</v>
      </c>
      <c r="F86" s="24">
        <f t="shared" si="32"/>
        <v>17004213442</v>
      </c>
      <c r="G86" s="24">
        <f t="shared" si="32"/>
        <v>0</v>
      </c>
      <c r="H86" s="24">
        <f t="shared" si="32"/>
        <v>13742</v>
      </c>
      <c r="I86" s="24">
        <f t="shared" si="32"/>
        <v>72457237.68</v>
      </c>
      <c r="J86" s="24">
        <f t="shared" si="32"/>
        <v>236295510.3</v>
      </c>
      <c r="K86" s="24">
        <f t="shared" si="32"/>
        <v>-163838272.6</v>
      </c>
      <c r="L86" s="24">
        <f t="shared" si="32"/>
        <v>1378959641</v>
      </c>
      <c r="M86" s="24">
        <f t="shared" si="32"/>
        <v>7431609492</v>
      </c>
      <c r="N86" s="24">
        <f t="shared" si="32"/>
        <v>-6052649851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v>61.0</v>
      </c>
      <c r="C87" s="3" t="s">
        <v>89</v>
      </c>
      <c r="D87" s="6">
        <f>59.3177445*15528968.74</f>
        <v>921143400.1</v>
      </c>
      <c r="E87" s="6">
        <f>59.3177445*168830.76</f>
        <v>10014659.89</v>
      </c>
      <c r="F87" s="6">
        <f>D87-E87</f>
        <v>911128740.2</v>
      </c>
      <c r="G87" s="6">
        <v>0.0</v>
      </c>
      <c r="H87" s="5">
        <v>658.0</v>
      </c>
      <c r="I87" s="6">
        <f>59.3177445*35683.3</f>
        <v>2116652.872</v>
      </c>
      <c r="J87" s="4">
        <f>59.3177445*99905.07</f>
        <v>5926143.417</v>
      </c>
      <c r="K87" s="4">
        <f>I87-J87</f>
        <v>-3809490.544</v>
      </c>
      <c r="L87" s="4">
        <f>I87+Nov!L87</f>
        <v>38870553</v>
      </c>
      <c r="M87" s="4">
        <f>J87+Nov!M87</f>
        <v>97546464.94</v>
      </c>
      <c r="N87" s="4">
        <f>L87-M87</f>
        <v>-58675911.94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22" t="s">
        <v>90</v>
      </c>
      <c r="B88" s="29"/>
      <c r="C88" s="1"/>
      <c r="D88" s="24">
        <f t="shared" ref="D88:N88" si="33">SUM(D87)</f>
        <v>921143400.1</v>
      </c>
      <c r="E88" s="24">
        <f t="shared" si="33"/>
        <v>10014659.89</v>
      </c>
      <c r="F88" s="24">
        <f t="shared" si="33"/>
        <v>911128740.2</v>
      </c>
      <c r="G88" s="24">
        <f t="shared" si="33"/>
        <v>0</v>
      </c>
      <c r="H88" s="24">
        <f t="shared" si="33"/>
        <v>658</v>
      </c>
      <c r="I88" s="24">
        <f t="shared" si="33"/>
        <v>2116652.872</v>
      </c>
      <c r="J88" s="24">
        <f t="shared" si="33"/>
        <v>5926143.417</v>
      </c>
      <c r="K88" s="24">
        <f t="shared" si="33"/>
        <v>-3809490.544</v>
      </c>
      <c r="L88" s="24">
        <f t="shared" si="33"/>
        <v>38870553</v>
      </c>
      <c r="M88" s="24">
        <f t="shared" si="33"/>
        <v>97546464.94</v>
      </c>
      <c r="N88" s="24">
        <f t="shared" si="33"/>
        <v>-58675911.94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91</v>
      </c>
      <c r="B89" s="23"/>
      <c r="C89" s="29"/>
      <c r="D89" s="24">
        <f t="shared" ref="D89:N89" si="34">D77+D86+D88</f>
        <v>69696190254</v>
      </c>
      <c r="E89" s="24">
        <f t="shared" si="34"/>
        <v>460024151</v>
      </c>
      <c r="F89" s="24">
        <f t="shared" si="34"/>
        <v>69236166103</v>
      </c>
      <c r="G89" s="24">
        <f t="shared" si="34"/>
        <v>900946160</v>
      </c>
      <c r="H89" s="24">
        <f t="shared" si="34"/>
        <v>74365</v>
      </c>
      <c r="I89" s="24">
        <f t="shared" si="34"/>
        <v>684921795.8</v>
      </c>
      <c r="J89" s="24">
        <f t="shared" si="34"/>
        <v>1297785736</v>
      </c>
      <c r="K89" s="24">
        <f t="shared" si="34"/>
        <v>-612863939.7</v>
      </c>
      <c r="L89" s="24">
        <f t="shared" si="34"/>
        <v>6383299804</v>
      </c>
      <c r="M89" s="24">
        <f t="shared" si="34"/>
        <v>22274061083</v>
      </c>
      <c r="N89" s="24">
        <f t="shared" si="34"/>
        <v>-15890761279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" t="s">
        <v>92</v>
      </c>
      <c r="B90" s="2"/>
      <c r="C90" s="30"/>
      <c r="D90" s="6"/>
      <c r="E90" s="6"/>
      <c r="F90" s="6"/>
      <c r="G90" s="6"/>
      <c r="H90" s="5"/>
      <c r="I90" s="6"/>
      <c r="J90" s="4"/>
      <c r="K90" s="4"/>
      <c r="L90" s="4"/>
      <c r="M90" s="4"/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 t="s">
        <v>20</v>
      </c>
      <c r="B91" s="2"/>
      <c r="C91" s="30"/>
      <c r="D91" s="6"/>
      <c r="E91" s="6"/>
      <c r="F91" s="6"/>
      <c r="G91" s="6"/>
      <c r="H91" s="5"/>
      <c r="I91" s="6"/>
      <c r="J91" s="4"/>
      <c r="K91" s="4"/>
      <c r="L91" s="4"/>
      <c r="M91" s="4"/>
      <c r="N91" s="4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93</v>
      </c>
      <c r="D92" s="6">
        <v>4.317050674846E10</v>
      </c>
      <c r="E92" s="6">
        <v>2.529465975E7</v>
      </c>
      <c r="F92" s="6">
        <f t="shared" ref="F92:F94" si="35">D92-E92</f>
        <v>43145212089</v>
      </c>
      <c r="G92" s="6">
        <v>0.0</v>
      </c>
      <c r="H92" s="5">
        <v>31456.0</v>
      </c>
      <c r="I92" s="6">
        <v>2.55117517134E9</v>
      </c>
      <c r="J92" s="4">
        <v>3.05467464355E9</v>
      </c>
      <c r="K92" s="4">
        <f t="shared" ref="K92:K94" si="36">I92-J92</f>
        <v>-503499472.2</v>
      </c>
      <c r="L92" s="4">
        <f>I92+Nov!L92</f>
        <v>44312296551</v>
      </c>
      <c r="M92" s="4">
        <f>J92+Nov!M92</f>
        <v>43060979884</v>
      </c>
      <c r="N92" s="4">
        <f t="shared" ref="N92:N96" si="37">L92-M92</f>
        <v>1251316667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8"/>
      <c r="B93" s="2">
        <v>63.0</v>
      </c>
      <c r="C93" s="3" t="s">
        <v>94</v>
      </c>
      <c r="D93" s="6">
        <v>2.83689054605E9</v>
      </c>
      <c r="E93" s="6">
        <v>1.01789658E7</v>
      </c>
      <c r="F93" s="6">
        <f t="shared" si="35"/>
        <v>2826711580</v>
      </c>
      <c r="G93" s="6">
        <v>0.0</v>
      </c>
      <c r="H93" s="5">
        <v>714.0</v>
      </c>
      <c r="I93" s="6">
        <v>1.2182025122E8</v>
      </c>
      <c r="J93" s="4">
        <v>6.895827121E7</v>
      </c>
      <c r="K93" s="4">
        <f t="shared" si="36"/>
        <v>52861980.01</v>
      </c>
      <c r="L93" s="4">
        <f>I93+Nov!L93</f>
        <v>2757339270</v>
      </c>
      <c r="M93" s="4">
        <f>J93+Nov!M93</f>
        <v>2744466939</v>
      </c>
      <c r="N93" s="4">
        <f t="shared" si="37"/>
        <v>12872331.29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"/>
      <c r="B94" s="2">
        <v>64.0</v>
      </c>
      <c r="C94" s="3" t="s">
        <v>95</v>
      </c>
      <c r="D94" s="6">
        <v>5.247228331782E10</v>
      </c>
      <c r="E94" s="6">
        <v>2.4196296487E8</v>
      </c>
      <c r="F94" s="6">
        <f t="shared" si="35"/>
        <v>52230320353</v>
      </c>
      <c r="G94" s="6">
        <v>0.0</v>
      </c>
      <c r="H94" s="5">
        <v>65621.0</v>
      </c>
      <c r="I94" s="6">
        <v>3.43750749552E9</v>
      </c>
      <c r="J94" s="4">
        <v>1.20689446377E10</v>
      </c>
      <c r="K94" s="4">
        <f t="shared" si="36"/>
        <v>-8631437142</v>
      </c>
      <c r="L94" s="4">
        <f>I94+Nov!L94</f>
        <v>145097290043</v>
      </c>
      <c r="M94" s="4">
        <f>J94+Nov!M94</f>
        <v>221772155124</v>
      </c>
      <c r="N94" s="4">
        <f t="shared" si="37"/>
        <v>-76674865081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40</v>
      </c>
      <c r="B95" s="2"/>
      <c r="C95" s="3"/>
      <c r="D95" s="6"/>
      <c r="E95" s="6"/>
      <c r="F95" s="6"/>
      <c r="G95" s="6"/>
      <c r="H95" s="5"/>
      <c r="I95" s="6"/>
      <c r="J95" s="4"/>
      <c r="K95" s="4"/>
      <c r="L95" s="4"/>
      <c r="M95" s="4"/>
      <c r="N95" s="4">
        <f t="shared" si="37"/>
        <v>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65.0</v>
      </c>
      <c r="C96" s="3" t="s">
        <v>93</v>
      </c>
      <c r="D96" s="6">
        <v>3.52095551094E9</v>
      </c>
      <c r="E96" s="6">
        <v>2169943.9</v>
      </c>
      <c r="F96" s="6">
        <f>D96-E96</f>
        <v>3518785567</v>
      </c>
      <c r="G96" s="6">
        <v>0.0</v>
      </c>
      <c r="H96" s="5">
        <v>3551.0</v>
      </c>
      <c r="I96" s="6">
        <v>8.7481855534E8</v>
      </c>
      <c r="J96" s="4">
        <v>4.4753345084E8</v>
      </c>
      <c r="K96" s="4">
        <f>I96-J96</f>
        <v>427285104.5</v>
      </c>
      <c r="L96" s="4">
        <f>I96+Nov!L96</f>
        <v>4774593757</v>
      </c>
      <c r="M96" s="4">
        <f>J96+Nov!M96</f>
        <v>1273231458</v>
      </c>
      <c r="N96" s="4">
        <f t="shared" si="37"/>
        <v>3501362299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2" t="s">
        <v>44</v>
      </c>
      <c r="B97" s="2"/>
      <c r="C97" s="3"/>
      <c r="D97" s="24">
        <f t="shared" ref="D97:N97" si="38">SUM(D92:D94)+D96</f>
        <v>102000636123</v>
      </c>
      <c r="E97" s="24">
        <f t="shared" si="38"/>
        <v>279606534.3</v>
      </c>
      <c r="F97" s="24">
        <f t="shared" si="38"/>
        <v>101721029589</v>
      </c>
      <c r="G97" s="24">
        <f t="shared" si="38"/>
        <v>0</v>
      </c>
      <c r="H97" s="24">
        <f t="shared" si="38"/>
        <v>101342</v>
      </c>
      <c r="I97" s="24">
        <f t="shared" si="38"/>
        <v>6985321473</v>
      </c>
      <c r="J97" s="24">
        <f t="shared" si="38"/>
        <v>15640111003</v>
      </c>
      <c r="K97" s="24">
        <f t="shared" si="38"/>
        <v>-8654789530</v>
      </c>
      <c r="L97" s="24">
        <f t="shared" si="38"/>
        <v>196941519621</v>
      </c>
      <c r="M97" s="24">
        <f t="shared" si="38"/>
        <v>268850833405</v>
      </c>
      <c r="N97" s="24">
        <f t="shared" si="38"/>
        <v>-71909313783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8" t="s">
        <v>45</v>
      </c>
      <c r="B98" s="2"/>
      <c r="C98" s="3"/>
      <c r="D98" s="6"/>
      <c r="E98" s="6"/>
      <c r="F98" s="6"/>
      <c r="G98" s="6"/>
      <c r="H98" s="5"/>
      <c r="I98" s="6"/>
      <c r="J98" s="4"/>
      <c r="K98" s="4"/>
      <c r="L98" s="4"/>
      <c r="M98" s="4"/>
      <c r="N98" s="4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/>
      <c r="B99" s="2">
        <v>66.0</v>
      </c>
      <c r="C99" s="3" t="s">
        <v>96</v>
      </c>
      <c r="D99" s="6">
        <f>55.755*103210602.39</f>
        <v>5754507136</v>
      </c>
      <c r="E99" s="6">
        <f>55.755*156420.24</f>
        <v>8721210.481</v>
      </c>
      <c r="F99" s="6">
        <f>D99-E99</f>
        <v>5745785926</v>
      </c>
      <c r="G99" s="6">
        <v>0.0</v>
      </c>
      <c r="H99" s="5">
        <v>3375.0</v>
      </c>
      <c r="I99" s="6">
        <f>55.755*12163111.86</f>
        <v>678154301.8</v>
      </c>
      <c r="J99" s="6">
        <f>55.755*21247704.26</f>
        <v>1184665751</v>
      </c>
      <c r="K99" s="4">
        <f>I99-J99</f>
        <v>-506511449.3</v>
      </c>
      <c r="L99" s="4">
        <f>I99+Nov!L99</f>
        <v>24124166049</v>
      </c>
      <c r="M99" s="4">
        <f>J99+Nov!M99</f>
        <v>29224895901</v>
      </c>
      <c r="N99" s="4">
        <f>L99-M99</f>
        <v>-5100729853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2" t="s">
        <v>88</v>
      </c>
      <c r="B100" s="2"/>
      <c r="C100" s="3"/>
      <c r="D100" s="24">
        <f t="shared" ref="D100:N100" si="39">SUM(D99)</f>
        <v>5754507136</v>
      </c>
      <c r="E100" s="24">
        <f t="shared" si="39"/>
        <v>8721210.481</v>
      </c>
      <c r="F100" s="24">
        <f t="shared" si="39"/>
        <v>5745785926</v>
      </c>
      <c r="G100" s="24">
        <f t="shared" si="39"/>
        <v>0</v>
      </c>
      <c r="H100" s="24">
        <f t="shared" si="39"/>
        <v>3375</v>
      </c>
      <c r="I100" s="24">
        <f t="shared" si="39"/>
        <v>678154301.8</v>
      </c>
      <c r="J100" s="24">
        <f t="shared" si="39"/>
        <v>1184665751</v>
      </c>
      <c r="K100" s="24">
        <f t="shared" si="39"/>
        <v>-506511449.3</v>
      </c>
      <c r="L100" s="24">
        <f t="shared" si="39"/>
        <v>24124166049</v>
      </c>
      <c r="M100" s="24">
        <f t="shared" si="39"/>
        <v>29224895901</v>
      </c>
      <c r="N100" s="24">
        <f t="shared" si="39"/>
        <v>-5100729853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" t="s">
        <v>97</v>
      </c>
      <c r="B101" s="2"/>
      <c r="C101" s="3"/>
      <c r="D101" s="24">
        <f t="shared" ref="D101:N101" si="40">D97+D100</f>
        <v>107755143260</v>
      </c>
      <c r="E101" s="24">
        <f t="shared" si="40"/>
        <v>288327744.8</v>
      </c>
      <c r="F101" s="24">
        <f t="shared" si="40"/>
        <v>107466815515</v>
      </c>
      <c r="G101" s="24">
        <f t="shared" si="40"/>
        <v>0</v>
      </c>
      <c r="H101" s="24">
        <f t="shared" si="40"/>
        <v>104717</v>
      </c>
      <c r="I101" s="24">
        <f t="shared" si="40"/>
        <v>7663475775</v>
      </c>
      <c r="J101" s="24">
        <f t="shared" si="40"/>
        <v>16824776754</v>
      </c>
      <c r="K101" s="24">
        <f t="shared" si="40"/>
        <v>-9161300979</v>
      </c>
      <c r="L101" s="24">
        <f t="shared" si="40"/>
        <v>221065685670</v>
      </c>
      <c r="M101" s="24">
        <f t="shared" si="40"/>
        <v>298075729306</v>
      </c>
      <c r="N101" s="24">
        <f t="shared" si="40"/>
        <v>-77010043636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 t="s">
        <v>98</v>
      </c>
      <c r="B102" s="2"/>
      <c r="C102" s="3"/>
      <c r="D102" s="6"/>
      <c r="E102" s="6"/>
      <c r="F102" s="6"/>
      <c r="G102" s="6"/>
      <c r="H102" s="5"/>
      <c r="I102" s="6"/>
      <c r="J102" s="6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8" t="s">
        <v>99</v>
      </c>
      <c r="B103" s="2"/>
      <c r="C103" s="3"/>
      <c r="D103" s="6"/>
      <c r="E103" s="6"/>
      <c r="F103" s="6"/>
      <c r="G103" s="6"/>
      <c r="H103" s="5"/>
      <c r="I103" s="6"/>
      <c r="J103" s="6"/>
      <c r="K103" s="4"/>
      <c r="L103" s="4"/>
      <c r="M103" s="4"/>
      <c r="N103" s="4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/>
      <c r="B104" s="2">
        <v>67.0</v>
      </c>
      <c r="C104" s="3" t="s">
        <v>100</v>
      </c>
      <c r="D104" s="6">
        <v>9.14088371153E9</v>
      </c>
      <c r="E104" s="6">
        <v>2.030475959E7</v>
      </c>
      <c r="F104" s="6">
        <f t="shared" ref="F104:F105" si="41">D104-E104</f>
        <v>9120578952</v>
      </c>
      <c r="G104" s="6">
        <v>0.0</v>
      </c>
      <c r="H104" s="5">
        <v>61232.0</v>
      </c>
      <c r="I104" s="6">
        <v>9.022025829E7</v>
      </c>
      <c r="J104" s="6">
        <v>8.888316654E7</v>
      </c>
      <c r="K104" s="4">
        <f t="shared" ref="K104:K105" si="42">I104-J104</f>
        <v>1337091.75</v>
      </c>
      <c r="L104" s="4">
        <f>I104+Nov!L104</f>
        <v>3475774346</v>
      </c>
      <c r="M104" s="4">
        <f>J104+Nov!M104</f>
        <v>1153728960</v>
      </c>
      <c r="N104" s="4">
        <f t="shared" ref="N104:N105" si="43">L104-M104</f>
        <v>2322045386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68.0</v>
      </c>
      <c r="C105" s="3" t="s">
        <v>101</v>
      </c>
      <c r="D105" s="6">
        <v>3.2597116127E9</v>
      </c>
      <c r="E105" s="6">
        <v>8876187.94</v>
      </c>
      <c r="F105" s="6">
        <f t="shared" si="41"/>
        <v>3250835425</v>
      </c>
      <c r="G105" s="6">
        <v>0.0</v>
      </c>
      <c r="H105" s="5">
        <v>5938.0</v>
      </c>
      <c r="I105" s="6">
        <v>6.45506273E7</v>
      </c>
      <c r="J105" s="6">
        <v>4.180086463E7</v>
      </c>
      <c r="K105" s="4">
        <f t="shared" si="42"/>
        <v>22749762.67</v>
      </c>
      <c r="L105" s="4">
        <f>I105+Nov!L105</f>
        <v>1198415525</v>
      </c>
      <c r="M105" s="4">
        <f>J105+Nov!M105</f>
        <v>1285086400</v>
      </c>
      <c r="N105" s="4">
        <f t="shared" si="43"/>
        <v>-86670874.84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2" t="s">
        <v>44</v>
      </c>
      <c r="B106" s="2"/>
      <c r="C106" s="3"/>
      <c r="D106" s="24">
        <f t="shared" ref="D106:N106" si="44">D104+D105</f>
        <v>12400595324</v>
      </c>
      <c r="E106" s="24">
        <f t="shared" si="44"/>
        <v>29180947.53</v>
      </c>
      <c r="F106" s="24">
        <f t="shared" si="44"/>
        <v>12371414377</v>
      </c>
      <c r="G106" s="24">
        <f t="shared" si="44"/>
        <v>0</v>
      </c>
      <c r="H106" s="24">
        <f t="shared" si="44"/>
        <v>67170</v>
      </c>
      <c r="I106" s="24">
        <f t="shared" si="44"/>
        <v>154770885.6</v>
      </c>
      <c r="J106" s="24">
        <f t="shared" si="44"/>
        <v>130684031.2</v>
      </c>
      <c r="K106" s="24">
        <f t="shared" si="44"/>
        <v>24086854.42</v>
      </c>
      <c r="L106" s="24">
        <f t="shared" si="44"/>
        <v>4674189871</v>
      </c>
      <c r="M106" s="24">
        <f t="shared" si="44"/>
        <v>2438815360</v>
      </c>
      <c r="N106" s="24">
        <f t="shared" si="44"/>
        <v>2235374511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102</v>
      </c>
      <c r="B107" s="2"/>
      <c r="C107" s="3"/>
      <c r="D107" s="6"/>
      <c r="E107" s="6"/>
      <c r="F107" s="6"/>
      <c r="G107" s="6"/>
      <c r="H107" s="5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"/>
      <c r="B108" s="2">
        <v>69.0</v>
      </c>
      <c r="C108" s="3" t="s">
        <v>103</v>
      </c>
      <c r="D108" s="6">
        <f>55.755*176665048.52</f>
        <v>9849959780</v>
      </c>
      <c r="E108" s="6">
        <f>55.755*211271.41</f>
        <v>11779437.46</v>
      </c>
      <c r="F108" s="6">
        <f>D108-E108</f>
        <v>9838180343</v>
      </c>
      <c r="G108" s="6">
        <v>0.0</v>
      </c>
      <c r="H108" s="5">
        <v>8326.0</v>
      </c>
      <c r="I108" s="6">
        <f>55.755*711643.46</f>
        <v>39677681.11</v>
      </c>
      <c r="J108" s="6">
        <f>55.755*1363429.55</f>
        <v>76018014.56</v>
      </c>
      <c r="K108" s="4">
        <f>I108-J108</f>
        <v>-36340333.45</v>
      </c>
      <c r="L108" s="4">
        <f>I108+Nov!L108</f>
        <v>1705196095</v>
      </c>
      <c r="M108" s="4">
        <f>J108+Nov!M108</f>
        <v>1442281767</v>
      </c>
      <c r="N108" s="4">
        <f>L108-M108</f>
        <v>262914328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22" t="s">
        <v>88</v>
      </c>
      <c r="B109" s="23"/>
      <c r="C109" s="1"/>
      <c r="D109" s="24">
        <f t="shared" ref="D109:N109" si="45">SUM(D108)</f>
        <v>9849959780</v>
      </c>
      <c r="E109" s="24">
        <f t="shared" si="45"/>
        <v>11779437.46</v>
      </c>
      <c r="F109" s="24">
        <f t="shared" si="45"/>
        <v>9838180343</v>
      </c>
      <c r="G109" s="24">
        <f t="shared" si="45"/>
        <v>0</v>
      </c>
      <c r="H109" s="24">
        <f t="shared" si="45"/>
        <v>8326</v>
      </c>
      <c r="I109" s="24">
        <f t="shared" si="45"/>
        <v>39677681.11</v>
      </c>
      <c r="J109" s="24">
        <f t="shared" si="45"/>
        <v>76018014.56</v>
      </c>
      <c r="K109" s="24">
        <f t="shared" si="45"/>
        <v>-36340333.45</v>
      </c>
      <c r="L109" s="24">
        <f t="shared" si="45"/>
        <v>1705196095</v>
      </c>
      <c r="M109" s="24">
        <f t="shared" si="45"/>
        <v>1442281767</v>
      </c>
      <c r="N109" s="24">
        <f t="shared" si="45"/>
        <v>262914328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 t="s">
        <v>104</v>
      </c>
      <c r="B110" s="31"/>
      <c r="C110" s="29"/>
      <c r="D110" s="24">
        <f t="shared" ref="D110:N110" si="46">SUM(D106+D109)</f>
        <v>22250555104</v>
      </c>
      <c r="E110" s="24">
        <f t="shared" si="46"/>
        <v>40960384.99</v>
      </c>
      <c r="F110" s="24">
        <f t="shared" si="46"/>
        <v>22209594719</v>
      </c>
      <c r="G110" s="24">
        <f t="shared" si="46"/>
        <v>0</v>
      </c>
      <c r="H110" s="24">
        <f t="shared" si="46"/>
        <v>75496</v>
      </c>
      <c r="I110" s="24">
        <f t="shared" si="46"/>
        <v>194448566.7</v>
      </c>
      <c r="J110" s="24">
        <f t="shared" si="46"/>
        <v>206702045.7</v>
      </c>
      <c r="K110" s="24">
        <f t="shared" si="46"/>
        <v>-12253479.03</v>
      </c>
      <c r="L110" s="24">
        <f t="shared" si="46"/>
        <v>6379385966</v>
      </c>
      <c r="M110" s="24">
        <f t="shared" si="46"/>
        <v>3881097127</v>
      </c>
      <c r="N110" s="24">
        <f t="shared" si="46"/>
        <v>2498288839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2" t="s">
        <v>105</v>
      </c>
      <c r="B111" s="33"/>
      <c r="C111" s="34"/>
      <c r="D111" s="35">
        <f t="shared" ref="D111:N111" si="47">D39+D63+D89+D101+D110</f>
        <v>286700337390</v>
      </c>
      <c r="E111" s="35">
        <f t="shared" si="47"/>
        <v>1915650308</v>
      </c>
      <c r="F111" s="35">
        <f t="shared" si="47"/>
        <v>284784687082</v>
      </c>
      <c r="G111" s="35">
        <f t="shared" si="47"/>
        <v>74011419044</v>
      </c>
      <c r="H111" s="35">
        <f t="shared" si="47"/>
        <v>941307</v>
      </c>
      <c r="I111" s="35">
        <f t="shared" si="47"/>
        <v>9423251118</v>
      </c>
      <c r="J111" s="35">
        <f t="shared" si="47"/>
        <v>18963310895</v>
      </c>
      <c r="K111" s="35">
        <f t="shared" si="47"/>
        <v>-9540059777</v>
      </c>
      <c r="L111" s="35">
        <f t="shared" si="47"/>
        <v>245576380180</v>
      </c>
      <c r="M111" s="35">
        <f t="shared" si="47"/>
        <v>383757451580</v>
      </c>
      <c r="N111" s="35">
        <f t="shared" si="47"/>
        <v>-138181071400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2.0" customHeight="1">
      <c r="A112" s="3"/>
      <c r="B112" s="2"/>
      <c r="C112" s="36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0"/>
      <c r="B113" s="30"/>
      <c r="C113" s="30"/>
      <c r="D113" s="4"/>
      <c r="E113" s="4"/>
      <c r="F113" s="4"/>
      <c r="G113" s="4"/>
      <c r="H113" s="5"/>
      <c r="I113" s="4"/>
      <c r="J113" s="4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0"/>
      <c r="B114" s="30"/>
      <c r="C114" s="30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6"/>
      <c r="B115" s="36"/>
      <c r="C115" s="36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6"/>
      <c r="B116" s="36"/>
      <c r="C116" s="36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6"/>
      <c r="B117" s="36"/>
      <c r="C117" s="36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6"/>
      <c r="B118" s="36"/>
      <c r="C118" s="36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6"/>
      <c r="B119" s="36"/>
      <c r="C119" s="36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5.75"/>
    <col customWidth="1" min="5" max="5" width="14.5"/>
    <col customWidth="1" min="6" max="6" width="16.88"/>
    <col customWidth="1" min="7" max="7" width="17.13"/>
    <col customWidth="1" min="8" max="27" width="9.13"/>
  </cols>
  <sheetData>
    <row r="1" ht="12.0" customHeight="1">
      <c r="A1" s="1" t="s">
        <v>0</v>
      </c>
      <c r="B1" s="2"/>
      <c r="C1" s="3"/>
      <c r="D1" s="37"/>
      <c r="E1" s="38"/>
      <c r="F1" s="37"/>
      <c r="G1" s="39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0" customHeight="1">
      <c r="A2" s="1" t="s">
        <v>1</v>
      </c>
      <c r="B2" s="2"/>
      <c r="C2" s="3"/>
      <c r="D2" s="37"/>
      <c r="E2" s="38"/>
      <c r="F2" s="40"/>
      <c r="G2" s="4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0" customHeight="1">
      <c r="A3" s="1" t="s">
        <v>263</v>
      </c>
      <c r="B3" s="2"/>
      <c r="C3" s="1"/>
      <c r="D3" s="42"/>
      <c r="E3" s="43"/>
      <c r="F3" s="44"/>
      <c r="G3" s="3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0" customHeight="1">
      <c r="A4" s="1" t="s">
        <v>3</v>
      </c>
      <c r="B4" s="2"/>
      <c r="C4" s="1"/>
      <c r="D4" s="42"/>
      <c r="E4" s="43"/>
      <c r="F4" s="44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0" customHeight="1">
      <c r="A5" s="1"/>
      <c r="B5" s="2"/>
      <c r="C5" s="3"/>
      <c r="D5" s="37"/>
      <c r="E5" s="4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0" customHeight="1">
      <c r="A6" s="45" t="s">
        <v>6</v>
      </c>
      <c r="B6" s="46"/>
      <c r="C6" s="47" t="s">
        <v>7</v>
      </c>
      <c r="D6" s="48" t="s">
        <v>10</v>
      </c>
      <c r="E6" s="48" t="s">
        <v>16</v>
      </c>
      <c r="F6" s="48" t="s">
        <v>17</v>
      </c>
      <c r="G6" s="49" t="s">
        <v>15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0" customHeight="1">
      <c r="A9" s="18"/>
      <c r="B9" s="2">
        <v>1.0</v>
      </c>
      <c r="C9" s="3" t="s">
        <v>21</v>
      </c>
      <c r="D9" s="6">
        <f>Dec!F9</f>
        <v>4717076999</v>
      </c>
      <c r="E9" s="4">
        <f>Oct!I9+Nov!I9+Dec!I9</f>
        <v>30654570.3</v>
      </c>
      <c r="F9" s="4">
        <f>Oct!J9+Nov!J9+Dec!J9</f>
        <v>60909627.54</v>
      </c>
      <c r="G9" s="4">
        <f t="shared" ref="G9:G27" si="1">E9-F9</f>
        <v>-30255057.24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0" customHeight="1">
      <c r="A10" s="18"/>
      <c r="B10" s="2">
        <v>2.0</v>
      </c>
      <c r="C10" s="3" t="s">
        <v>264</v>
      </c>
      <c r="D10" s="6">
        <f>Dec!F10</f>
        <v>741062587.6</v>
      </c>
      <c r="E10" s="4">
        <f>Oct!I10+Nov!I10+Dec!I10</f>
        <v>17401136.66</v>
      </c>
      <c r="F10" s="4">
        <f>Oct!J10+Nov!J10+Dec!J10</f>
        <v>7032764.77</v>
      </c>
      <c r="G10" s="4">
        <f t="shared" si="1"/>
        <v>10368371.89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0" customHeight="1">
      <c r="A11" s="18"/>
      <c r="B11" s="2">
        <v>3.0</v>
      </c>
      <c r="C11" s="3" t="s">
        <v>265</v>
      </c>
      <c r="D11" s="6">
        <f>Dec!F11</f>
        <v>1322196716</v>
      </c>
      <c r="E11" s="4">
        <f>Oct!I11+Nov!I11+Dec!I11</f>
        <v>293448487.7</v>
      </c>
      <c r="F11" s="4">
        <f>Oct!J11+Nov!J11+Dec!J11</f>
        <v>24982161.1</v>
      </c>
      <c r="G11" s="4">
        <f t="shared" si="1"/>
        <v>268466326.6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0" customHeight="1">
      <c r="A12" s="18"/>
      <c r="B12" s="2">
        <v>4.0</v>
      </c>
      <c r="C12" s="3" t="s">
        <v>24</v>
      </c>
      <c r="D12" s="6">
        <f>Dec!F12</f>
        <v>341856584.1</v>
      </c>
      <c r="E12" s="4">
        <f>Oct!I12+Nov!I12+Dec!I12</f>
        <v>3815133.21</v>
      </c>
      <c r="F12" s="4">
        <f>Oct!J12+Nov!J12+Dec!J12</f>
        <v>558450.59</v>
      </c>
      <c r="G12" s="4">
        <f t="shared" si="1"/>
        <v>3256682.62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18"/>
      <c r="B13" s="2">
        <v>5.0</v>
      </c>
      <c r="C13" s="3" t="s">
        <v>208</v>
      </c>
      <c r="D13" s="6">
        <f>Dec!F13</f>
        <v>508248428.8</v>
      </c>
      <c r="E13" s="4">
        <f>Oct!I13+Nov!I13+Dec!I13</f>
        <v>1396980.5</v>
      </c>
      <c r="F13" s="4">
        <f>Oct!J13+Nov!J13+Dec!J13</f>
        <v>1089484.6</v>
      </c>
      <c r="G13" s="4">
        <f t="shared" si="1"/>
        <v>307495.9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3"/>
      <c r="B14" s="2">
        <v>6.0</v>
      </c>
      <c r="C14" s="3" t="s">
        <v>26</v>
      </c>
      <c r="D14" s="6">
        <f>Dec!F14</f>
        <v>4243275575</v>
      </c>
      <c r="E14" s="4">
        <f>Oct!I14+Nov!I14+Dec!I14</f>
        <v>96150935.69</v>
      </c>
      <c r="F14" s="4">
        <f>Oct!J14+Nov!J14+Dec!J14</f>
        <v>91002224.47</v>
      </c>
      <c r="G14" s="4">
        <f t="shared" si="1"/>
        <v>5148711.22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3"/>
      <c r="B15" s="2">
        <v>7.0</v>
      </c>
      <c r="C15" s="3" t="s">
        <v>266</v>
      </c>
      <c r="D15" s="6">
        <f>Dec!F15</f>
        <v>101248583.5</v>
      </c>
      <c r="E15" s="4">
        <f>Oct!I15+Nov!I15+Dec!I15</f>
        <v>6205786.79</v>
      </c>
      <c r="F15" s="4">
        <f>Oct!J15+Nov!J15+Dec!J15</f>
        <v>1220898.82</v>
      </c>
      <c r="G15" s="4">
        <f t="shared" si="1"/>
        <v>4984887.97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3"/>
      <c r="B16" s="2">
        <v>8.0</v>
      </c>
      <c r="C16" s="3" t="s">
        <v>28</v>
      </c>
      <c r="D16" s="6">
        <f>Dec!F16</f>
        <v>115136598.8</v>
      </c>
      <c r="E16" s="4">
        <f>Oct!I16+Nov!I16+Dec!I16</f>
        <v>0</v>
      </c>
      <c r="F16" s="4">
        <f>Oct!J16+Nov!J16+Dec!J16</f>
        <v>0</v>
      </c>
      <c r="G16" s="4">
        <f t="shared" si="1"/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3"/>
      <c r="B17" s="2">
        <v>9.0</v>
      </c>
      <c r="C17" s="3" t="s">
        <v>29</v>
      </c>
      <c r="D17" s="6">
        <f>Dec!F17</f>
        <v>1315115726</v>
      </c>
      <c r="E17" s="4">
        <f>Oct!I17+Nov!I17+Dec!I17</f>
        <v>0</v>
      </c>
      <c r="F17" s="4">
        <f>Oct!J17+Nov!J17+Dec!J17</f>
        <v>24242569.49</v>
      </c>
      <c r="G17" s="4">
        <f t="shared" si="1"/>
        <v>-24242569.49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2">
        <v>10.0</v>
      </c>
      <c r="C18" s="3" t="s">
        <v>30</v>
      </c>
      <c r="D18" s="6">
        <f>Dec!F18</f>
        <v>3799054975</v>
      </c>
      <c r="E18" s="4">
        <f>Oct!I18+Nov!I18+Dec!I18</f>
        <v>6936732.77</v>
      </c>
      <c r="F18" s="4">
        <f>Oct!J18+Nov!J18+Dec!J18</f>
        <v>43902839.99</v>
      </c>
      <c r="G18" s="4">
        <f t="shared" si="1"/>
        <v>-36966107.22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3"/>
      <c r="B19" s="2">
        <v>11.0</v>
      </c>
      <c r="C19" s="3" t="s">
        <v>31</v>
      </c>
      <c r="D19" s="6">
        <f>Dec!F19</f>
        <v>2098024647</v>
      </c>
      <c r="E19" s="4">
        <f>Oct!I19+Nov!I19+Dec!I19</f>
        <v>76401984.93</v>
      </c>
      <c r="F19" s="4">
        <f>Oct!J19+Nov!J19+Dec!J19</f>
        <v>12672642.52</v>
      </c>
      <c r="G19" s="4">
        <f t="shared" si="1"/>
        <v>63729342.41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2">
        <v>12.0</v>
      </c>
      <c r="C20" s="3" t="s">
        <v>32</v>
      </c>
      <c r="D20" s="6">
        <f>Dec!F20</f>
        <v>9759626672</v>
      </c>
      <c r="E20" s="4">
        <f>Oct!I20+Nov!I20+Dec!I20</f>
        <v>43984962.79</v>
      </c>
      <c r="F20" s="4">
        <f>Oct!J20+Nov!J20+Dec!J20</f>
        <v>105912760.4</v>
      </c>
      <c r="G20" s="4">
        <f t="shared" si="1"/>
        <v>-61927797.6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2">
        <v>13.0</v>
      </c>
      <c r="C21" s="3" t="s">
        <v>33</v>
      </c>
      <c r="D21" s="6">
        <f>Dec!F21</f>
        <v>312145560.7</v>
      </c>
      <c r="E21" s="4">
        <f>Oct!I21+Nov!I21+Dec!I21</f>
        <v>1304396.06</v>
      </c>
      <c r="F21" s="4">
        <f>Oct!J21+Nov!J21+Dec!J21</f>
        <v>6748257.38</v>
      </c>
      <c r="G21" s="4">
        <f t="shared" si="1"/>
        <v>-5443861.32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1"/>
      <c r="B22" s="2">
        <v>14.0</v>
      </c>
      <c r="C22" s="3" t="s">
        <v>34</v>
      </c>
      <c r="D22" s="6">
        <f>Dec!F22</f>
        <v>3771327257</v>
      </c>
      <c r="E22" s="4">
        <f>Oct!I22+Nov!I22+Dec!I22</f>
        <v>141605466.5</v>
      </c>
      <c r="F22" s="4">
        <f>Oct!J22+Nov!J22+Dec!J22</f>
        <v>100538795.1</v>
      </c>
      <c r="G22" s="4">
        <f t="shared" si="1"/>
        <v>41066671.37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2">
        <v>15.0</v>
      </c>
      <c r="C23" s="3" t="s">
        <v>35</v>
      </c>
      <c r="D23" s="6">
        <f>Dec!F23</f>
        <v>9094031460</v>
      </c>
      <c r="E23" s="4">
        <f>Oct!I23+Nov!I23+Dec!I23</f>
        <v>13569903.66</v>
      </c>
      <c r="F23" s="4">
        <f>Oct!J23+Nov!J23+Dec!J23</f>
        <v>182847627.8</v>
      </c>
      <c r="G23" s="4">
        <f t="shared" si="1"/>
        <v>-169277724.1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2">
        <v>16.0</v>
      </c>
      <c r="C24" s="19" t="s">
        <v>36</v>
      </c>
      <c r="D24" s="6">
        <f>Dec!F24</f>
        <v>3079311617</v>
      </c>
      <c r="E24" s="4">
        <f>Oct!I24+Nov!I24+Dec!I24</f>
        <v>192022507.6</v>
      </c>
      <c r="F24" s="4">
        <f>Oct!J24+Nov!J24+Dec!J24</f>
        <v>4892505.48</v>
      </c>
      <c r="G24" s="4">
        <f t="shared" si="1"/>
        <v>187130002.2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20"/>
      <c r="B25" s="2">
        <v>17.0</v>
      </c>
      <c r="C25" s="21" t="s">
        <v>37</v>
      </c>
      <c r="D25" s="6">
        <f>Dec!F25</f>
        <v>7230185145</v>
      </c>
      <c r="E25" s="4">
        <f>Oct!I25+Nov!I25+Dec!I25</f>
        <v>107354839.7</v>
      </c>
      <c r="F25" s="4">
        <f>Oct!J25+Nov!J25+Dec!J25</f>
        <v>274293321.1</v>
      </c>
      <c r="G25" s="4">
        <f t="shared" si="1"/>
        <v>-166938481.4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20"/>
      <c r="B26" s="2">
        <v>18.0</v>
      </c>
      <c r="C26" s="21" t="s">
        <v>38</v>
      </c>
      <c r="D26" s="6">
        <f>Dec!F26</f>
        <v>11824313949</v>
      </c>
      <c r="E26" s="4">
        <f>Oct!I26+Nov!I26+Dec!I26</f>
        <v>569987500.2</v>
      </c>
      <c r="F26" s="4">
        <f>Oct!J26+Nov!J26+Dec!J26</f>
        <v>307838316.7</v>
      </c>
      <c r="G26" s="4">
        <f t="shared" si="1"/>
        <v>262149183.5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2">
        <v>19.0</v>
      </c>
      <c r="C27" s="3" t="s">
        <v>39</v>
      </c>
      <c r="D27" s="6">
        <f>Dec!F27</f>
        <v>591560974.9</v>
      </c>
      <c r="E27" s="4">
        <f>Oct!I27+Nov!I27+Dec!I27</f>
        <v>2286085.85</v>
      </c>
      <c r="F27" s="4">
        <f>Oct!J27+Nov!J27+Dec!J27</f>
        <v>3793078.59</v>
      </c>
      <c r="G27" s="4">
        <f t="shared" si="1"/>
        <v>-1506992.74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18" t="s">
        <v>40</v>
      </c>
      <c r="B28" s="2"/>
      <c r="C28" s="3"/>
      <c r="D28" s="6"/>
      <c r="E28" s="4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18"/>
      <c r="B29" s="2">
        <v>20.0</v>
      </c>
      <c r="C29" s="3" t="s">
        <v>246</v>
      </c>
      <c r="D29" s="6">
        <f>Dec!F29</f>
        <v>111752967.9</v>
      </c>
      <c r="E29" s="4">
        <f>Oct!I29+Nov!I29+Dec!I29</f>
        <v>107525190.1</v>
      </c>
      <c r="F29" s="4">
        <f>Oct!J29+Nov!J29+Dec!J29</f>
        <v>709465.18</v>
      </c>
      <c r="G29" s="4">
        <f t="shared" ref="G29:G31" si="2">E29-F29</f>
        <v>106815725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3"/>
      <c r="B30" s="2">
        <v>21.0</v>
      </c>
      <c r="C30" s="3" t="s">
        <v>41</v>
      </c>
      <c r="D30" s="6">
        <f>Dec!F30</f>
        <v>337879886.9</v>
      </c>
      <c r="E30" s="4">
        <f>Oct!I30+Nov!I30+Dec!I30</f>
        <v>2475778.34</v>
      </c>
      <c r="F30" s="4">
        <f>Oct!J30+Nov!J30+Dec!J30</f>
        <v>18491252.43</v>
      </c>
      <c r="G30" s="4">
        <f t="shared" si="2"/>
        <v>-16015474.09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3"/>
      <c r="B31" s="2">
        <v>22.0</v>
      </c>
      <c r="C31" s="3" t="s">
        <v>35</v>
      </c>
      <c r="D31" s="6">
        <f>Dec!F31</f>
        <v>476998563.4</v>
      </c>
      <c r="E31" s="4">
        <f>Oct!I31+Nov!I31+Dec!I31</f>
        <v>107944186.5</v>
      </c>
      <c r="F31" s="4">
        <f>Oct!J31+Nov!J31+Dec!J31</f>
        <v>75684850.2</v>
      </c>
      <c r="G31" s="4">
        <f t="shared" si="2"/>
        <v>32259336.34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18" t="s">
        <v>42</v>
      </c>
      <c r="B32" s="2"/>
      <c r="C32" s="3"/>
      <c r="D32" s="6"/>
      <c r="E32" s="4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1.25" customHeight="1">
      <c r="A33" s="3"/>
      <c r="B33" s="2">
        <v>23.0</v>
      </c>
      <c r="C33" s="3" t="s">
        <v>43</v>
      </c>
      <c r="D33" s="6">
        <f>Dec!F33</f>
        <v>2204538203</v>
      </c>
      <c r="E33" s="4">
        <f>Oct!I33+Nov!I33+Dec!I33</f>
        <v>17172768</v>
      </c>
      <c r="F33" s="4">
        <f>Oct!J33+Nov!J33+Dec!J33</f>
        <v>13825906</v>
      </c>
      <c r="G33" s="4">
        <f>E33-F33</f>
        <v>3346862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1.25" customHeight="1">
      <c r="A34" s="22" t="s">
        <v>44</v>
      </c>
      <c r="B34" s="23"/>
      <c r="C34" s="1"/>
      <c r="D34" s="24">
        <f t="shared" ref="D34:G34" si="3">SUM(D9:D33)</f>
        <v>68095969678</v>
      </c>
      <c r="E34" s="24">
        <f t="shared" si="3"/>
        <v>1839645334</v>
      </c>
      <c r="F34" s="24">
        <f t="shared" si="3"/>
        <v>1363189800</v>
      </c>
      <c r="G34" s="24">
        <f t="shared" si="3"/>
        <v>476455533.8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2.0" customHeight="1">
      <c r="A35" s="18" t="s">
        <v>45</v>
      </c>
      <c r="B35" s="2"/>
      <c r="C35" s="3"/>
      <c r="D35" s="6"/>
      <c r="E35" s="4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0" customHeight="1">
      <c r="A36" s="3"/>
      <c r="B36" s="2">
        <v>24.0</v>
      </c>
      <c r="C36" s="3" t="s">
        <v>267</v>
      </c>
      <c r="D36" s="6">
        <f>Dec!F36</f>
        <v>35502197.53</v>
      </c>
      <c r="E36" s="4">
        <f>Oct!I36+Nov!I36+Dec!I36</f>
        <v>227669.5776</v>
      </c>
      <c r="F36" s="4">
        <f>Oct!J36+Nov!J36+Dec!J36</f>
        <v>2155657.51</v>
      </c>
      <c r="G36" s="4">
        <f t="shared" ref="G36:G37" si="4">E36-F36</f>
        <v>-1927987.932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3"/>
      <c r="B37" s="2">
        <v>25.0</v>
      </c>
      <c r="C37" s="3" t="s">
        <v>47</v>
      </c>
      <c r="D37" s="6">
        <f>Dec!F37</f>
        <v>1799778636</v>
      </c>
      <c r="E37" s="4">
        <f>Oct!I37+Nov!I37+Dec!I37</f>
        <v>33415685.2</v>
      </c>
      <c r="F37" s="4">
        <f>Oct!J37+Nov!J37+Dec!J37</f>
        <v>25083298.96</v>
      </c>
      <c r="G37" s="4">
        <f t="shared" si="4"/>
        <v>8332386.238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0" customHeight="1">
      <c r="A38" s="22" t="s">
        <v>48</v>
      </c>
      <c r="B38" s="23"/>
      <c r="C38" s="1"/>
      <c r="D38" s="24">
        <f t="shared" ref="D38:G38" si="5">SUM(D36:D37)</f>
        <v>1835280834</v>
      </c>
      <c r="E38" s="24">
        <f t="shared" si="5"/>
        <v>33643354.78</v>
      </c>
      <c r="F38" s="24">
        <f t="shared" si="5"/>
        <v>27238956.47</v>
      </c>
      <c r="G38" s="24">
        <f t="shared" si="5"/>
        <v>6404398.305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0" customHeight="1">
      <c r="A39" s="1" t="s">
        <v>49</v>
      </c>
      <c r="B39" s="23"/>
      <c r="C39" s="1"/>
      <c r="D39" s="24">
        <f t="shared" ref="D39:G39" si="6">D34+D38</f>
        <v>69931250512</v>
      </c>
      <c r="E39" s="24">
        <f t="shared" si="6"/>
        <v>1873288689</v>
      </c>
      <c r="F39" s="24">
        <f t="shared" si="6"/>
        <v>1390428757</v>
      </c>
      <c r="G39" s="24">
        <f t="shared" si="6"/>
        <v>482859932.1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0" customHeight="1">
      <c r="A40" s="1" t="s">
        <v>50</v>
      </c>
      <c r="B40" s="2"/>
      <c r="C40" s="3"/>
      <c r="D40" s="6"/>
      <c r="E40" s="4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0" customHeight="1">
      <c r="A41" s="18" t="s">
        <v>20</v>
      </c>
      <c r="B41" s="2"/>
      <c r="C41" s="3"/>
      <c r="D41" s="6"/>
      <c r="E41" s="4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18"/>
      <c r="B42" s="2">
        <v>26.0</v>
      </c>
      <c r="C42" s="3" t="s">
        <v>268</v>
      </c>
      <c r="D42" s="6">
        <f>Dec!F42</f>
        <v>117357488.6</v>
      </c>
      <c r="E42" s="4">
        <f>Oct!I42+Nov!I42+Dec!I42</f>
        <v>2121254.1</v>
      </c>
      <c r="F42" s="4">
        <f>Oct!J42+Nov!J42+Dec!J42</f>
        <v>1535804.66</v>
      </c>
      <c r="G42" s="4">
        <f t="shared" ref="G42:G51" si="7">E42-F42</f>
        <v>585449.44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/>
      <c r="B43" s="2">
        <v>27.0</v>
      </c>
      <c r="C43" s="3" t="s">
        <v>269</v>
      </c>
      <c r="D43" s="6">
        <f>Dec!F43</f>
        <v>583472515.2</v>
      </c>
      <c r="E43" s="4">
        <f>Oct!I43+Nov!I43+Dec!I43</f>
        <v>2340741.14</v>
      </c>
      <c r="F43" s="4">
        <f>Oct!J43+Nov!J43+Dec!J43</f>
        <v>19376838.78</v>
      </c>
      <c r="G43" s="4">
        <f t="shared" si="7"/>
        <v>-17036097.64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2">
        <v>28.0</v>
      </c>
      <c r="C44" s="3" t="s">
        <v>53</v>
      </c>
      <c r="D44" s="6">
        <f>Dec!F44</f>
        <v>1060801302</v>
      </c>
      <c r="E44" s="4">
        <f>Oct!I44+Nov!I44+Dec!I44</f>
        <v>5066176.583</v>
      </c>
      <c r="F44" s="4">
        <f>Oct!J44+Nov!J44+Dec!J44</f>
        <v>17292061.1</v>
      </c>
      <c r="G44" s="4">
        <f t="shared" si="7"/>
        <v>-12225884.52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2">
        <v>29.0</v>
      </c>
      <c r="C45" s="3" t="s">
        <v>54</v>
      </c>
      <c r="D45" s="6">
        <f>Dec!F45</f>
        <v>297394447.7</v>
      </c>
      <c r="E45" s="4">
        <f>Oct!I45+Nov!I45+Dec!I45</f>
        <v>9621792</v>
      </c>
      <c r="F45" s="4">
        <f>Oct!J45+Nov!J45+Dec!J45</f>
        <v>3250546.58</v>
      </c>
      <c r="G45" s="4">
        <f t="shared" si="7"/>
        <v>6371245.42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2">
        <v>30.0</v>
      </c>
      <c r="C46" s="3" t="s">
        <v>55</v>
      </c>
      <c r="D46" s="6">
        <f>Dec!F46</f>
        <v>345204774.6</v>
      </c>
      <c r="E46" s="4">
        <f>Oct!I46+Nov!I46+Dec!I46</f>
        <v>0</v>
      </c>
      <c r="F46" s="4">
        <f>Oct!J46+Nov!J46+Dec!J46</f>
        <v>0</v>
      </c>
      <c r="G46" s="4">
        <f t="shared" si="7"/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2">
        <v>31.0</v>
      </c>
      <c r="C47" s="3" t="s">
        <v>56</v>
      </c>
      <c r="D47" s="6">
        <f>Dec!F47</f>
        <v>547490725.8</v>
      </c>
      <c r="E47" s="4">
        <f>Oct!I47+Nov!I47+Dec!I47</f>
        <v>680664.98</v>
      </c>
      <c r="F47" s="4">
        <f>Oct!J47+Nov!J47+Dec!J47</f>
        <v>4896195.95</v>
      </c>
      <c r="G47" s="4">
        <f t="shared" si="7"/>
        <v>-4215530.97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3"/>
      <c r="B48" s="2">
        <v>32.0</v>
      </c>
      <c r="C48" s="3" t="s">
        <v>57</v>
      </c>
      <c r="D48" s="6">
        <f>Dec!F48</f>
        <v>2066377206</v>
      </c>
      <c r="E48" s="4">
        <f>Oct!I48+Nov!I48+Dec!I48</f>
        <v>4716882.56</v>
      </c>
      <c r="F48" s="4">
        <f>Oct!J48+Nov!J48+Dec!J48</f>
        <v>25733777.21</v>
      </c>
      <c r="G48" s="4">
        <f t="shared" si="7"/>
        <v>-21016894.65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1.25" customHeight="1">
      <c r="A49" s="18"/>
      <c r="B49" s="2">
        <v>33.0</v>
      </c>
      <c r="C49" s="3" t="s">
        <v>270</v>
      </c>
      <c r="D49" s="6">
        <f>Dec!F49</f>
        <v>137538561.3</v>
      </c>
      <c r="E49" s="4">
        <f>Oct!I49+Nov!I49+Dec!I49</f>
        <v>9996.9</v>
      </c>
      <c r="F49" s="4">
        <f>Oct!J49+Nov!J49+Dec!J49</f>
        <v>864154.94</v>
      </c>
      <c r="G49" s="4">
        <f t="shared" si="7"/>
        <v>-854158.04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0" customHeight="1">
      <c r="A50" s="3"/>
      <c r="B50" s="2">
        <v>34.0</v>
      </c>
      <c r="C50" s="3" t="s">
        <v>59</v>
      </c>
      <c r="D50" s="6">
        <f>Dec!F50</f>
        <v>7238659016</v>
      </c>
      <c r="E50" s="4">
        <f>Oct!I50+Nov!I50+Dec!I50</f>
        <v>27167659.95</v>
      </c>
      <c r="F50" s="4">
        <f>Oct!J50+Nov!J50+Dec!J50</f>
        <v>161733184.1</v>
      </c>
      <c r="G50" s="4">
        <f t="shared" si="7"/>
        <v>-134565524.1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3"/>
      <c r="B51" s="2">
        <v>35.0</v>
      </c>
      <c r="C51" s="3" t="s">
        <v>60</v>
      </c>
      <c r="D51" s="6">
        <f>Dec!F51</f>
        <v>1155282789</v>
      </c>
      <c r="E51" s="4">
        <f>Oct!I51+Nov!I51+Dec!I51</f>
        <v>0</v>
      </c>
      <c r="F51" s="4">
        <f>Oct!J51+Nov!J51+Dec!J51</f>
        <v>20173604.74</v>
      </c>
      <c r="G51" s="4">
        <f t="shared" si="7"/>
        <v>-20173604.74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18" t="s">
        <v>40</v>
      </c>
      <c r="B52" s="2"/>
      <c r="C52" s="3"/>
      <c r="D52" s="6"/>
      <c r="E52" s="4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3"/>
      <c r="B53" s="2">
        <v>36.0</v>
      </c>
      <c r="C53" s="3" t="s">
        <v>61</v>
      </c>
      <c r="D53" s="6">
        <f>Dec!F53</f>
        <v>74317940.39</v>
      </c>
      <c r="E53" s="4">
        <f>Oct!I53+Nov!I53+Dec!I53</f>
        <v>934890.44</v>
      </c>
      <c r="F53" s="4">
        <f>Oct!J53+Nov!J53+Dec!J53</f>
        <v>309574.2</v>
      </c>
      <c r="G53" s="4">
        <f t="shared" ref="G53:G55" si="8">E53-F53</f>
        <v>625316.24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2">
        <v>37.0</v>
      </c>
      <c r="C54" s="3" t="s">
        <v>62</v>
      </c>
      <c r="D54" s="6">
        <f>Dec!F54</f>
        <v>54880219.38</v>
      </c>
      <c r="E54" s="4">
        <f>Oct!I54+Nov!I54+Dec!I54</f>
        <v>538312.24</v>
      </c>
      <c r="F54" s="4">
        <f>Oct!J54+Nov!J54+Dec!J54</f>
        <v>510262.01</v>
      </c>
      <c r="G54" s="4">
        <f t="shared" si="8"/>
        <v>28050.23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3"/>
      <c r="B55" s="2">
        <v>38.0</v>
      </c>
      <c r="C55" s="3" t="s">
        <v>63</v>
      </c>
      <c r="D55" s="6">
        <f>Dec!F55</f>
        <v>46416275.52</v>
      </c>
      <c r="E55" s="4">
        <f>Oct!I55+Nov!I55+Dec!I55</f>
        <v>300501.86</v>
      </c>
      <c r="F55" s="4">
        <f>Oct!J55+Nov!J55+Dec!J55</f>
        <v>36162.9</v>
      </c>
      <c r="G55" s="4">
        <f t="shared" si="8"/>
        <v>264338.96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0" customHeight="1">
      <c r="A56" s="22" t="s">
        <v>44</v>
      </c>
      <c r="B56" s="22"/>
      <c r="C56" s="1"/>
      <c r="D56" s="24">
        <f t="shared" ref="D56:G56" si="9">SUM(D42:D55)</f>
        <v>13725193262</v>
      </c>
      <c r="E56" s="24">
        <f t="shared" si="9"/>
        <v>53498872.75</v>
      </c>
      <c r="F56" s="24">
        <f t="shared" si="9"/>
        <v>255712167.2</v>
      </c>
      <c r="G56" s="24">
        <f t="shared" si="9"/>
        <v>-202213294.4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0" customHeight="1">
      <c r="A57" s="18" t="s">
        <v>45</v>
      </c>
      <c r="B57" s="2"/>
      <c r="C57" s="3"/>
      <c r="D57" s="6"/>
      <c r="E57" s="4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0" customHeight="1">
      <c r="A58" s="18"/>
      <c r="B58" s="2">
        <v>38.0</v>
      </c>
      <c r="C58" s="3" t="s">
        <v>64</v>
      </c>
      <c r="D58" s="6">
        <f>Dec!F58</f>
        <v>71494015.95</v>
      </c>
      <c r="E58" s="4">
        <f>Oct!I58+Nov!I58+Dec!I58</f>
        <v>67870.8688</v>
      </c>
      <c r="F58" s="4">
        <f>Oct!J58+Nov!J58+Dec!J58</f>
        <v>59194.5648</v>
      </c>
      <c r="G58" s="4">
        <f t="shared" ref="G58:G61" si="10">E58-F58</f>
        <v>8676.304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18"/>
      <c r="B59" s="2">
        <v>39.0</v>
      </c>
      <c r="C59" s="3" t="s">
        <v>65</v>
      </c>
      <c r="D59" s="6">
        <f>Dec!F59</f>
        <v>328226787.4</v>
      </c>
      <c r="E59" s="4">
        <f>Oct!I59+Nov!I59+Dec!I59</f>
        <v>0</v>
      </c>
      <c r="F59" s="4">
        <f>Oct!J59+Nov!J59+Dec!J59</f>
        <v>327844.4977</v>
      </c>
      <c r="G59" s="4">
        <f t="shared" si="10"/>
        <v>-327844.4977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3"/>
      <c r="B60" s="2">
        <v>40.0</v>
      </c>
      <c r="C60" s="3" t="s">
        <v>66</v>
      </c>
      <c r="D60" s="6">
        <f>Dec!F60</f>
        <v>1523210622</v>
      </c>
      <c r="E60" s="4">
        <f>Oct!I60+Nov!I60+Dec!I60</f>
        <v>5725543.412</v>
      </c>
      <c r="F60" s="4">
        <f>Oct!J60+Nov!J60+Dec!J60</f>
        <v>38456766.48</v>
      </c>
      <c r="G60" s="4">
        <f t="shared" si="10"/>
        <v>-32731223.07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3"/>
      <c r="B61" s="2">
        <v>41.0</v>
      </c>
      <c r="C61" s="3" t="s">
        <v>67</v>
      </c>
      <c r="D61" s="6">
        <f>Dec!F61</f>
        <v>292735545.7</v>
      </c>
      <c r="E61" s="4">
        <f>Oct!I61+Nov!I61+Dec!I61</f>
        <v>4149537.265</v>
      </c>
      <c r="F61" s="4">
        <f>Oct!J61+Nov!J61+Dec!J61</f>
        <v>17536285.72</v>
      </c>
      <c r="G61" s="4">
        <f t="shared" si="10"/>
        <v>-13386748.46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22" t="s">
        <v>48</v>
      </c>
      <c r="B62" s="23"/>
      <c r="C62" s="1"/>
      <c r="D62" s="24">
        <f t="shared" ref="D62:G62" si="11">SUM(D58:D61)</f>
        <v>2215666971</v>
      </c>
      <c r="E62" s="24">
        <f t="shared" si="11"/>
        <v>9942951.546</v>
      </c>
      <c r="F62" s="24">
        <f t="shared" si="11"/>
        <v>56380091.27</v>
      </c>
      <c r="G62" s="24">
        <f t="shared" si="11"/>
        <v>-46437139.72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0" customHeight="1">
      <c r="A63" s="1" t="s">
        <v>68</v>
      </c>
      <c r="B63" s="23"/>
      <c r="C63" s="1"/>
      <c r="D63" s="24">
        <f t="shared" ref="D63:G63" si="12">D56+D62</f>
        <v>15940860233</v>
      </c>
      <c r="E63" s="24">
        <f t="shared" si="12"/>
        <v>63441824.3</v>
      </c>
      <c r="F63" s="24">
        <f t="shared" si="12"/>
        <v>312092258.4</v>
      </c>
      <c r="G63" s="24">
        <f t="shared" si="12"/>
        <v>-248650434.1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0" customHeight="1">
      <c r="A64" s="1" t="s">
        <v>69</v>
      </c>
      <c r="B64" s="2"/>
      <c r="C64" s="3"/>
      <c r="D64" s="6"/>
      <c r="E64" s="4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2.0" customHeight="1">
      <c r="A65" s="18" t="s">
        <v>20</v>
      </c>
      <c r="B65" s="2"/>
      <c r="C65" s="3"/>
      <c r="D65" s="6"/>
      <c r="E65" s="4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3"/>
      <c r="B66" s="2">
        <v>42.0</v>
      </c>
      <c r="C66" s="3" t="s">
        <v>70</v>
      </c>
      <c r="D66" s="6">
        <f>Dec!F66</f>
        <v>39758110382</v>
      </c>
      <c r="E66" s="4">
        <f>Oct!I66+Nov!I66+Dec!I66</f>
        <v>737664393.1</v>
      </c>
      <c r="F66" s="4">
        <f>Oct!J66+Nov!J66+Dec!J66</f>
        <v>2079912154</v>
      </c>
      <c r="G66" s="4">
        <f t="shared" ref="G66:G76" si="13">E66-F66</f>
        <v>-1342247761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2">
        <v>43.0</v>
      </c>
      <c r="C67" s="3" t="s">
        <v>271</v>
      </c>
      <c r="D67" s="6">
        <f>Dec!F67</f>
        <v>462232531.9</v>
      </c>
      <c r="E67" s="4">
        <f>Oct!I67+Nov!I67+Dec!I67</f>
        <v>84455850.68</v>
      </c>
      <c r="F67" s="4">
        <f>Oct!J67+Nov!J67+Dec!J67</f>
        <v>12899779.21</v>
      </c>
      <c r="G67" s="4">
        <f t="shared" si="13"/>
        <v>71556071.47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3"/>
      <c r="B68" s="2">
        <v>44.0</v>
      </c>
      <c r="C68" s="3" t="s">
        <v>72</v>
      </c>
      <c r="D68" s="6">
        <f>Dec!F68</f>
        <v>989527693.5</v>
      </c>
      <c r="E68" s="4">
        <f>Oct!I68+Nov!I68+Dec!I68</f>
        <v>5611926.55</v>
      </c>
      <c r="F68" s="4">
        <f>Oct!J68+Nov!J68+Dec!J68</f>
        <v>154240418.8</v>
      </c>
      <c r="G68" s="4">
        <f t="shared" si="13"/>
        <v>-148628492.2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1"/>
      <c r="B69" s="2">
        <v>45.0</v>
      </c>
      <c r="C69" s="3" t="s">
        <v>73</v>
      </c>
      <c r="D69" s="6">
        <f>Dec!F69</f>
        <v>192788436.7</v>
      </c>
      <c r="E69" s="4">
        <f>Oct!I69+Nov!I69+Dec!I69</f>
        <v>1536555.69</v>
      </c>
      <c r="F69" s="4">
        <f>Oct!J69+Nov!J69+Dec!J69</f>
        <v>342692.77</v>
      </c>
      <c r="G69" s="4">
        <f t="shared" si="13"/>
        <v>1193862.92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3"/>
      <c r="B70" s="2">
        <v>46.0</v>
      </c>
      <c r="C70" s="3" t="s">
        <v>74</v>
      </c>
      <c r="D70" s="6">
        <f>Dec!F70</f>
        <v>1283782917</v>
      </c>
      <c r="E70" s="4">
        <f>Oct!I70+Nov!I70+Dec!I70</f>
        <v>3285605.8</v>
      </c>
      <c r="F70" s="4">
        <f>Oct!J70+Nov!J70+Dec!J70</f>
        <v>49798199.26</v>
      </c>
      <c r="G70" s="4">
        <f t="shared" si="13"/>
        <v>-46512593.46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2">
        <v>47.0</v>
      </c>
      <c r="C71" s="3" t="s">
        <v>75</v>
      </c>
      <c r="D71" s="6">
        <f>Dec!F71</f>
        <v>813828420.4</v>
      </c>
      <c r="E71" s="4">
        <f>Oct!I71+Nov!I71+Dec!I71</f>
        <v>4049317.05</v>
      </c>
      <c r="F71" s="4">
        <f>Oct!J71+Nov!J71+Dec!J71</f>
        <v>62220496.2</v>
      </c>
      <c r="G71" s="4">
        <f t="shared" si="13"/>
        <v>-58171179.15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2">
        <v>48.0</v>
      </c>
      <c r="C72" s="3" t="s">
        <v>76</v>
      </c>
      <c r="D72" s="6">
        <f>Dec!F72</f>
        <v>1690815461</v>
      </c>
      <c r="E72" s="4">
        <f>Oct!I72+Nov!I72+Dec!I72</f>
        <v>6993865.04</v>
      </c>
      <c r="F72" s="4">
        <f>Oct!J72+Nov!J72+Dec!J72</f>
        <v>42103718.03</v>
      </c>
      <c r="G72" s="4">
        <f t="shared" si="13"/>
        <v>-35109852.99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2">
        <v>49.0</v>
      </c>
      <c r="C73" s="3" t="s">
        <v>77</v>
      </c>
      <c r="D73" s="6">
        <f>Dec!F73</f>
        <v>303742940.9</v>
      </c>
      <c r="E73" s="4">
        <f>Oct!I73+Nov!I73+Dec!I73</f>
        <v>2320315.95</v>
      </c>
      <c r="F73" s="4">
        <f>Oct!J73+Nov!J73+Dec!J73</f>
        <v>2483122.73</v>
      </c>
      <c r="G73" s="4">
        <f t="shared" si="13"/>
        <v>-162806.78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2">
        <v>50.0</v>
      </c>
      <c r="C74" s="3" t="s">
        <v>78</v>
      </c>
      <c r="D74" s="6">
        <f>Dec!F74</f>
        <v>1220732639</v>
      </c>
      <c r="E74" s="4">
        <f>Oct!I74+Nov!I74+Dec!I74</f>
        <v>76277835.34</v>
      </c>
      <c r="F74" s="4">
        <f>Oct!J74+Nov!J74+Dec!J74</f>
        <v>3958005.1</v>
      </c>
      <c r="G74" s="4">
        <f t="shared" si="13"/>
        <v>72319830.24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2">
        <v>51.0</v>
      </c>
      <c r="C75" s="3" t="s">
        <v>79</v>
      </c>
      <c r="D75" s="6">
        <f>Dec!F75</f>
        <v>4467454572</v>
      </c>
      <c r="E75" s="4">
        <f>Oct!I75+Nov!I75+Dec!I75</f>
        <v>317398219.6</v>
      </c>
      <c r="F75" s="4">
        <f>Oct!J75+Nov!J75+Dec!J75</f>
        <v>304913518.5</v>
      </c>
      <c r="G75" s="4">
        <f t="shared" si="13"/>
        <v>12484701.12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3"/>
      <c r="B76" s="2">
        <v>52.0</v>
      </c>
      <c r="C76" s="3" t="s">
        <v>80</v>
      </c>
      <c r="D76" s="6">
        <f>Dec!F76</f>
        <v>137807926.2</v>
      </c>
      <c r="E76" s="4">
        <f>Oct!I76+Nov!I76+Dec!I76</f>
        <v>2413968.32</v>
      </c>
      <c r="F76" s="4">
        <f>Oct!J76+Nov!J76+Dec!J76</f>
        <v>1083745.98</v>
      </c>
      <c r="G76" s="4">
        <f t="shared" si="13"/>
        <v>1330222.34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22" t="s">
        <v>44</v>
      </c>
      <c r="B77" s="1"/>
      <c r="C77" s="1"/>
      <c r="D77" s="24">
        <f t="shared" ref="D77:G77" si="14">SUM(D66:D76)</f>
        <v>51320823921</v>
      </c>
      <c r="E77" s="24">
        <f t="shared" si="14"/>
        <v>1242007853</v>
      </c>
      <c r="F77" s="24">
        <f t="shared" si="14"/>
        <v>2713955851</v>
      </c>
      <c r="G77" s="24">
        <f t="shared" si="14"/>
        <v>-1471947998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18" t="s">
        <v>45</v>
      </c>
      <c r="B78" s="2"/>
      <c r="C78" s="3"/>
      <c r="D78" s="6"/>
      <c r="E78" s="4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2">
        <v>53.0</v>
      </c>
      <c r="C79" s="3" t="s">
        <v>81</v>
      </c>
      <c r="D79" s="6">
        <f>Dec!F79</f>
        <v>13808239157</v>
      </c>
      <c r="E79" s="4">
        <f>Oct!I79+Nov!I79+Dec!I79</f>
        <v>186183224.8</v>
      </c>
      <c r="F79" s="4">
        <f>Oct!J79+Nov!J79+Dec!J79</f>
        <v>915858560.1</v>
      </c>
      <c r="G79" s="4">
        <f t="shared" ref="G79:G85" si="15">E79-F79</f>
        <v>-729675335.3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3"/>
      <c r="B80" s="2">
        <v>54.0</v>
      </c>
      <c r="C80" s="3" t="s">
        <v>272</v>
      </c>
      <c r="D80" s="6">
        <f>Dec!F80</f>
        <v>257511023.2</v>
      </c>
      <c r="E80" s="4">
        <f>Oct!I80+Nov!I80+Dec!I80</f>
        <v>657826.48</v>
      </c>
      <c r="F80" s="4">
        <f>Oct!J80+Nov!J80+Dec!J80</f>
        <v>12497293.05</v>
      </c>
      <c r="G80" s="4">
        <f t="shared" si="15"/>
        <v>-11839466.57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0" customHeight="1">
      <c r="A81" s="3"/>
      <c r="B81" s="2">
        <v>55.0</v>
      </c>
      <c r="C81" s="3" t="s">
        <v>83</v>
      </c>
      <c r="D81" s="6">
        <f>Dec!F81</f>
        <v>428647859.5</v>
      </c>
      <c r="E81" s="4">
        <f>Oct!I81+Nov!I81+Dec!I81</f>
        <v>185475.6308</v>
      </c>
      <c r="F81" s="4">
        <f>Oct!J81+Nov!J81+Dec!J81</f>
        <v>743546.4234</v>
      </c>
      <c r="G81" s="4">
        <f t="shared" si="15"/>
        <v>-558070.7926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1.25" customHeight="1">
      <c r="A82" s="18"/>
      <c r="B82" s="2">
        <v>56.0</v>
      </c>
      <c r="C82" s="3" t="s">
        <v>84</v>
      </c>
      <c r="D82" s="6">
        <f>Dec!F82</f>
        <v>50838483.96</v>
      </c>
      <c r="E82" s="4">
        <f>Oct!I82+Nov!I82+Dec!I82</f>
        <v>0</v>
      </c>
      <c r="F82" s="4">
        <f>Oct!J82+Nov!J82+Dec!J82</f>
        <v>0</v>
      </c>
      <c r="G82" s="4">
        <f t="shared" si="15"/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2">
        <v>57.0</v>
      </c>
      <c r="C83" s="3" t="s">
        <v>85</v>
      </c>
      <c r="D83" s="6">
        <f>Dec!F83</f>
        <v>2006735788</v>
      </c>
      <c r="E83" s="4">
        <f>Oct!I83+Nov!I83+Dec!I83</f>
        <v>646231.54</v>
      </c>
      <c r="F83" s="4">
        <f>Oct!J83+Nov!J83+Dec!J83</f>
        <v>132678022.8</v>
      </c>
      <c r="G83" s="4">
        <f t="shared" si="15"/>
        <v>-132031791.3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2">
        <v>58.0</v>
      </c>
      <c r="C84" s="3" t="s">
        <v>86</v>
      </c>
      <c r="D84" s="6">
        <f>Dec!F84</f>
        <v>4179269.894</v>
      </c>
      <c r="E84" s="4">
        <f>Oct!I84+Nov!I84+Dec!I84</f>
        <v>987325.5</v>
      </c>
      <c r="F84" s="4">
        <f>Oct!J84+Nov!J84+Dec!J84</f>
        <v>3004256.54</v>
      </c>
      <c r="G84" s="4">
        <f t="shared" si="15"/>
        <v>-2016931.04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0" customHeight="1">
      <c r="A85" s="3"/>
      <c r="B85" s="2">
        <v>59.0</v>
      </c>
      <c r="C85" s="3" t="s">
        <v>87</v>
      </c>
      <c r="D85" s="6">
        <f>Dec!F85</f>
        <v>448061860.3</v>
      </c>
      <c r="E85" s="4">
        <f>Oct!I85+Nov!I85+Dec!I85</f>
        <v>381693.3746</v>
      </c>
      <c r="F85" s="4">
        <f>Oct!J85+Nov!J85+Dec!J85</f>
        <v>19510338.4</v>
      </c>
      <c r="G85" s="4">
        <f t="shared" si="15"/>
        <v>-19128645.03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22" t="s">
        <v>88</v>
      </c>
      <c r="B86" s="23"/>
      <c r="C86" s="29"/>
      <c r="D86" s="24">
        <f t="shared" ref="D86:G86" si="16">SUM(D79:D85)</f>
        <v>17004213442</v>
      </c>
      <c r="E86" s="24">
        <f t="shared" si="16"/>
        <v>189041777.3</v>
      </c>
      <c r="F86" s="24">
        <f t="shared" si="16"/>
        <v>1084292017</v>
      </c>
      <c r="G86" s="24">
        <f t="shared" si="16"/>
        <v>-895250240.1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2">
        <v>60.0</v>
      </c>
      <c r="C87" s="3" t="s">
        <v>89</v>
      </c>
      <c r="D87" s="6">
        <f>Dec!F87</f>
        <v>911128740.2</v>
      </c>
      <c r="E87" s="4">
        <f>Oct!I87+Nov!I87+Dec!I87</f>
        <v>5548487.497</v>
      </c>
      <c r="F87" s="4">
        <f>Oct!J87+Nov!J87+Dec!J87</f>
        <v>15737523.11</v>
      </c>
      <c r="G87" s="4">
        <f>E87-F87</f>
        <v>-10189035.61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22" t="s">
        <v>90</v>
      </c>
      <c r="B88" s="29"/>
      <c r="C88" s="1"/>
      <c r="D88" s="24">
        <f t="shared" ref="D88:G88" si="17">SUM(D87)</f>
        <v>911128740.2</v>
      </c>
      <c r="E88" s="24">
        <f t="shared" si="17"/>
        <v>5548487.497</v>
      </c>
      <c r="F88" s="24">
        <f t="shared" si="17"/>
        <v>15737523.11</v>
      </c>
      <c r="G88" s="24">
        <f t="shared" si="17"/>
        <v>-10189035.61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1" t="s">
        <v>91</v>
      </c>
      <c r="B89" s="23"/>
      <c r="C89" s="29"/>
      <c r="D89" s="24">
        <f t="shared" ref="D89:G89" si="18">D77+D86+D88</f>
        <v>69236166103</v>
      </c>
      <c r="E89" s="24">
        <f t="shared" si="18"/>
        <v>1436598118</v>
      </c>
      <c r="F89" s="24">
        <f t="shared" si="18"/>
        <v>3813985391</v>
      </c>
      <c r="G89" s="24">
        <f t="shared" si="18"/>
        <v>-2377387273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1" t="s">
        <v>92</v>
      </c>
      <c r="B90" s="2"/>
      <c r="C90" s="30"/>
      <c r="D90" s="6"/>
      <c r="E90" s="4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18" t="s">
        <v>20</v>
      </c>
      <c r="B91" s="2"/>
      <c r="C91" s="30"/>
      <c r="D91" s="6"/>
      <c r="E91" s="4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18"/>
      <c r="B92" s="2">
        <v>61.0</v>
      </c>
      <c r="C92" s="3" t="s">
        <v>93</v>
      </c>
      <c r="D92" s="6">
        <f>Dec!F92</f>
        <v>43145212089</v>
      </c>
      <c r="E92" s="4">
        <f>Oct!I92+Nov!I92+Dec!I92</f>
        <v>12035409310</v>
      </c>
      <c r="F92" s="4">
        <f>Oct!J92+Nov!J92+Dec!J92</f>
        <v>12728161705</v>
      </c>
      <c r="G92" s="4">
        <f t="shared" ref="G92:G94" si="19">E92-F92</f>
        <v>-692752395.2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18"/>
      <c r="B93" s="2">
        <v>62.0</v>
      </c>
      <c r="C93" s="3" t="s">
        <v>94</v>
      </c>
      <c r="D93" s="6">
        <f>Dec!F93</f>
        <v>2826711580</v>
      </c>
      <c r="E93" s="4">
        <f>Oct!I93+Nov!I93+Dec!I93</f>
        <v>235396724.3</v>
      </c>
      <c r="F93" s="4">
        <f>Oct!J93+Nov!J93+Dec!J93</f>
        <v>526092936.5</v>
      </c>
      <c r="G93" s="4">
        <f t="shared" si="19"/>
        <v>-290696212.2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1"/>
      <c r="B94" s="2">
        <v>63.0</v>
      </c>
      <c r="C94" s="3" t="s">
        <v>95</v>
      </c>
      <c r="D94" s="6">
        <f>Dec!F94</f>
        <v>52230320353</v>
      </c>
      <c r="E94" s="4">
        <f>Oct!I94+Nov!I94+Dec!I94</f>
        <v>9703404362</v>
      </c>
      <c r="F94" s="4">
        <f>Oct!J94+Nov!J94+Dec!J94</f>
        <v>47472498422</v>
      </c>
      <c r="G94" s="4">
        <f t="shared" si="19"/>
        <v>-37769094059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18" t="s">
        <v>40</v>
      </c>
      <c r="B95" s="2"/>
      <c r="C95" s="3"/>
      <c r="D95" s="6"/>
      <c r="E95" s="4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1"/>
      <c r="B96" s="2">
        <v>64.0</v>
      </c>
      <c r="C96" s="3" t="s">
        <v>93</v>
      </c>
      <c r="D96" s="6">
        <f>Dec!F96</f>
        <v>3518785567</v>
      </c>
      <c r="E96" s="4">
        <f>Oct!I96+Nov!I96+Dec!I96</f>
        <v>3352072059</v>
      </c>
      <c r="F96" s="4">
        <f>Oct!J96+Nov!J96+Dec!J96</f>
        <v>1174298256</v>
      </c>
      <c r="G96" s="4">
        <f>E96-F96</f>
        <v>2177773802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22" t="s">
        <v>44</v>
      </c>
      <c r="B97" s="2"/>
      <c r="C97" s="3"/>
      <c r="D97" s="24">
        <f t="shared" ref="D97:G97" si="20">SUM(D92:D96)</f>
        <v>101721029589</v>
      </c>
      <c r="E97" s="24">
        <f t="shared" si="20"/>
        <v>25326282455</v>
      </c>
      <c r="F97" s="24">
        <f t="shared" si="20"/>
        <v>61901051319</v>
      </c>
      <c r="G97" s="24">
        <f t="shared" si="20"/>
        <v>-36574768864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18" t="s">
        <v>45</v>
      </c>
      <c r="B98" s="2"/>
      <c r="C98" s="3"/>
      <c r="D98" s="6"/>
      <c r="E98" s="4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1"/>
      <c r="B99" s="2">
        <v>64.0</v>
      </c>
      <c r="C99" s="3" t="s">
        <v>96</v>
      </c>
      <c r="D99" s="6">
        <f>Dec!F99</f>
        <v>5745785926</v>
      </c>
      <c r="E99" s="4">
        <f>Oct!I99+Nov!I99+Dec!I99</f>
        <v>2457658324</v>
      </c>
      <c r="F99" s="4">
        <f>Oct!J99+Nov!J99+Dec!J99</f>
        <v>5283734013</v>
      </c>
      <c r="G99" s="4">
        <f>E99-F99</f>
        <v>-2826075689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22" t="s">
        <v>88</v>
      </c>
      <c r="B100" s="2"/>
      <c r="C100" s="3"/>
      <c r="D100" s="24">
        <f t="shared" ref="D100:G100" si="21">SUM(D99)</f>
        <v>5745785926</v>
      </c>
      <c r="E100" s="24">
        <f t="shared" si="21"/>
        <v>2457658324</v>
      </c>
      <c r="F100" s="24">
        <f t="shared" si="21"/>
        <v>5283734013</v>
      </c>
      <c r="G100" s="24">
        <f t="shared" si="21"/>
        <v>-2826075689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1" t="s">
        <v>97</v>
      </c>
      <c r="B101" s="2"/>
      <c r="C101" s="3"/>
      <c r="D101" s="24">
        <f t="shared" ref="D101:G101" si="22">D97+D100</f>
        <v>107466815515</v>
      </c>
      <c r="E101" s="24">
        <f t="shared" si="22"/>
        <v>27783940779</v>
      </c>
      <c r="F101" s="24">
        <f t="shared" si="22"/>
        <v>67184785332</v>
      </c>
      <c r="G101" s="24">
        <f t="shared" si="22"/>
        <v>-39400844553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1" t="s">
        <v>98</v>
      </c>
      <c r="B102" s="2"/>
      <c r="C102" s="3"/>
      <c r="D102" s="6"/>
      <c r="E102" s="4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18" t="s">
        <v>99</v>
      </c>
      <c r="B103" s="2"/>
      <c r="C103" s="3"/>
      <c r="D103" s="6"/>
      <c r="E103" s="4"/>
      <c r="F103" s="4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18"/>
      <c r="B104" s="2">
        <v>65.0</v>
      </c>
      <c r="C104" s="3" t="s">
        <v>100</v>
      </c>
      <c r="D104" s="6">
        <f>Dec!F104</f>
        <v>9120578952</v>
      </c>
      <c r="E104" s="4">
        <f>Oct!I104+Nov!I104+Dec!I104</f>
        <v>315769873.5</v>
      </c>
      <c r="F104" s="4">
        <f>Oct!J104+Nov!J104+Dec!J104</f>
        <v>403899152.5</v>
      </c>
      <c r="G104" s="4">
        <f t="shared" ref="G104:G105" si="23">E104-F104</f>
        <v>-88129279.05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1"/>
      <c r="B105" s="2">
        <v>66.0</v>
      </c>
      <c r="C105" s="3" t="s">
        <v>101</v>
      </c>
      <c r="D105" s="6">
        <f>Dec!F105</f>
        <v>3250835425</v>
      </c>
      <c r="E105" s="4">
        <f>Oct!I105+Nov!I105+Dec!I105</f>
        <v>112031491</v>
      </c>
      <c r="F105" s="4">
        <f>Oct!J105+Nov!J105+Dec!J105</f>
        <v>143176014.2</v>
      </c>
      <c r="G105" s="4">
        <f t="shared" si="23"/>
        <v>-31144523.24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22" t="s">
        <v>44</v>
      </c>
      <c r="B106" s="2"/>
      <c r="C106" s="3"/>
      <c r="D106" s="24">
        <f t="shared" ref="D106:G106" si="24">SUM(D104:D105)</f>
        <v>12371414377</v>
      </c>
      <c r="E106" s="24">
        <f t="shared" si="24"/>
        <v>427801364.4</v>
      </c>
      <c r="F106" s="24">
        <f t="shared" si="24"/>
        <v>547075166.7</v>
      </c>
      <c r="G106" s="24">
        <f t="shared" si="24"/>
        <v>-119273802.3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18" t="s">
        <v>102</v>
      </c>
      <c r="B107" s="2"/>
      <c r="C107" s="3"/>
      <c r="D107" s="6"/>
      <c r="E107" s="4"/>
      <c r="F107" s="4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1"/>
      <c r="B108" s="2">
        <v>67.0</v>
      </c>
      <c r="C108" s="3" t="s">
        <v>103</v>
      </c>
      <c r="D108" s="6">
        <f>Dec!F108</f>
        <v>9838180343</v>
      </c>
      <c r="E108" s="4">
        <f>Oct!I108+Nov!I108+Dec!I108</f>
        <v>143769316.3</v>
      </c>
      <c r="F108" s="4">
        <f>Oct!J108+Nov!J108+Dec!J108</f>
        <v>363143787.4</v>
      </c>
      <c r="G108" s="4">
        <f>E108-F108</f>
        <v>-219374471.1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22" t="s">
        <v>88</v>
      </c>
      <c r="B109" s="23"/>
      <c r="C109" s="1"/>
      <c r="D109" s="24">
        <f t="shared" ref="D109:G109" si="25">SUM(D108)</f>
        <v>9838180343</v>
      </c>
      <c r="E109" s="24">
        <f t="shared" si="25"/>
        <v>143769316.3</v>
      </c>
      <c r="F109" s="24">
        <f t="shared" si="25"/>
        <v>363143787.4</v>
      </c>
      <c r="G109" s="24">
        <f t="shared" si="25"/>
        <v>-219374471.1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1" t="s">
        <v>104</v>
      </c>
      <c r="B110" s="31"/>
      <c r="C110" s="29"/>
      <c r="D110" s="24">
        <f t="shared" ref="D110:G110" si="26">D106+D109</f>
        <v>22209594719</v>
      </c>
      <c r="E110" s="24">
        <f t="shared" si="26"/>
        <v>571570680.7</v>
      </c>
      <c r="F110" s="24">
        <f t="shared" si="26"/>
        <v>910218954.1</v>
      </c>
      <c r="G110" s="24">
        <f t="shared" si="26"/>
        <v>-338648273.4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32" t="s">
        <v>105</v>
      </c>
      <c r="B111" s="33"/>
      <c r="C111" s="34"/>
      <c r="D111" s="35">
        <f t="shared" ref="D111:G111" si="27">D39+D63+D89+D101+D110</f>
        <v>284784687082</v>
      </c>
      <c r="E111" s="35">
        <f t="shared" si="27"/>
        <v>31728840091</v>
      </c>
      <c r="F111" s="35">
        <f t="shared" si="27"/>
        <v>73611510693</v>
      </c>
      <c r="G111" s="35">
        <f t="shared" si="27"/>
        <v>-41882670602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0" customHeight="1">
      <c r="A112" s="3"/>
      <c r="B112" s="2"/>
      <c r="C112" s="36"/>
      <c r="D112" s="4"/>
      <c r="E112" s="4"/>
      <c r="F112" s="4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30"/>
      <c r="B113" s="30"/>
      <c r="C113" s="30"/>
      <c r="D113" s="4">
        <f>Dec!F111-'Q4'!D111</f>
        <v>0</v>
      </c>
      <c r="E113" s="4">
        <f>SUM(Oct!I111+Nov!I111+Dec!I111)-E111</f>
        <v>0</v>
      </c>
      <c r="F113" s="4">
        <f>SUM(Oct!J111+Nov!J111+Dec!J111)-F111</f>
        <v>0</v>
      </c>
      <c r="G113" s="4">
        <f>SUM(Oct!K111+Nov!K111+Dec!K111)-G111</f>
        <v>-0.000007629394531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30"/>
      <c r="B114" s="30"/>
      <c r="C114" s="30"/>
      <c r="D114" s="4"/>
      <c r="E114" s="4"/>
      <c r="F114" s="4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36"/>
      <c r="B115" s="36"/>
      <c r="C115" s="36"/>
      <c r="D115" s="4"/>
      <c r="E115" s="4"/>
      <c r="F115" s="4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6"/>
      <c r="B116" s="36"/>
      <c r="C116" s="36"/>
      <c r="D116" s="4"/>
      <c r="E116" s="4"/>
      <c r="F116" s="4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0" customHeight="1">
      <c r="A117" s="36"/>
      <c r="B117" s="36"/>
      <c r="C117" s="36"/>
      <c r="D117" s="4"/>
      <c r="E117" s="4"/>
      <c r="F117" s="4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36"/>
      <c r="B118" s="36"/>
      <c r="C118" s="36"/>
      <c r="D118" s="4"/>
      <c r="E118" s="4"/>
      <c r="F118" s="4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36"/>
      <c r="B119" s="36"/>
      <c r="C119" s="36"/>
      <c r="D119" s="4"/>
      <c r="E119" s="4"/>
      <c r="F119" s="4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36"/>
      <c r="B120" s="36"/>
      <c r="C120" s="36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36"/>
      <c r="B121" s="36"/>
      <c r="C121" s="36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36"/>
      <c r="B122" s="36"/>
      <c r="C122" s="36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36"/>
      <c r="B123" s="36"/>
      <c r="C123" s="36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36"/>
      <c r="B124" s="36"/>
      <c r="C124" s="36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36"/>
      <c r="B125" s="36"/>
      <c r="C125" s="36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36"/>
      <c r="B126" s="36"/>
      <c r="C126" s="36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36"/>
      <c r="B127" s="36"/>
      <c r="C127" s="36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36"/>
      <c r="B128" s="36"/>
      <c r="C128" s="36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36"/>
      <c r="B129" s="36"/>
      <c r="C129" s="36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36"/>
      <c r="B130" s="36"/>
      <c r="C130" s="36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36"/>
      <c r="B131" s="36"/>
      <c r="C131" s="36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36"/>
      <c r="B132" s="36"/>
      <c r="C132" s="36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36"/>
      <c r="B133" s="36"/>
      <c r="C133" s="36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36"/>
      <c r="B134" s="36"/>
      <c r="C134" s="36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36"/>
      <c r="B135" s="36"/>
      <c r="C135" s="36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36"/>
      <c r="B136" s="36"/>
      <c r="C136" s="36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36"/>
      <c r="B137" s="36"/>
      <c r="C137" s="36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36"/>
      <c r="B138" s="36"/>
      <c r="C138" s="36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36"/>
      <c r="B139" s="36"/>
      <c r="C139" s="36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36"/>
      <c r="B140" s="36"/>
      <c r="C140" s="36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36"/>
      <c r="B141" s="36"/>
      <c r="C141" s="36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36"/>
      <c r="B142" s="36"/>
      <c r="C142" s="36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36"/>
      <c r="B143" s="36"/>
      <c r="C143" s="36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36"/>
      <c r="B144" s="36"/>
      <c r="C144" s="36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36"/>
      <c r="B145" s="36"/>
      <c r="C145" s="36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36"/>
      <c r="B146" s="36"/>
      <c r="C146" s="36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36"/>
      <c r="B147" s="36"/>
      <c r="C147" s="36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36"/>
      <c r="B148" s="36"/>
      <c r="C148" s="36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36"/>
      <c r="B149" s="36"/>
      <c r="C149" s="36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36"/>
      <c r="B150" s="36"/>
      <c r="C150" s="36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36"/>
      <c r="B151" s="36"/>
      <c r="C151" s="36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36"/>
      <c r="B152" s="36"/>
      <c r="C152" s="36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36"/>
      <c r="B153" s="36"/>
      <c r="C153" s="36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36"/>
      <c r="B154" s="36"/>
      <c r="C154" s="36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36"/>
      <c r="B155" s="36"/>
      <c r="C155" s="36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36"/>
      <c r="B156" s="36"/>
      <c r="C156" s="36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36"/>
      <c r="B157" s="36"/>
      <c r="C157" s="36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36"/>
      <c r="B158" s="36"/>
      <c r="C158" s="36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36"/>
      <c r="B159" s="36"/>
      <c r="C159" s="36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36"/>
      <c r="B160" s="36"/>
      <c r="C160" s="36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36"/>
      <c r="B161" s="36"/>
      <c r="C161" s="36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36"/>
      <c r="B162" s="36"/>
      <c r="C162" s="36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36"/>
      <c r="B163" s="36"/>
      <c r="C163" s="36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36"/>
      <c r="B164" s="36"/>
      <c r="C164" s="36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36"/>
      <c r="B165" s="36"/>
      <c r="C165" s="36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36"/>
      <c r="B166" s="36"/>
      <c r="C166" s="36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36"/>
      <c r="B167" s="36"/>
      <c r="C167" s="36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36"/>
      <c r="B168" s="36"/>
      <c r="C168" s="36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36"/>
      <c r="B169" s="36"/>
      <c r="C169" s="36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36"/>
      <c r="B170" s="36"/>
      <c r="C170" s="36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36"/>
      <c r="B171" s="36"/>
      <c r="C171" s="36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36"/>
      <c r="B172" s="36"/>
      <c r="C172" s="36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36"/>
      <c r="B173" s="36"/>
      <c r="C173" s="36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36"/>
      <c r="B174" s="36"/>
      <c r="C174" s="36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36"/>
      <c r="B175" s="36"/>
      <c r="C175" s="36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36"/>
      <c r="B176" s="36"/>
      <c r="C176" s="36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36"/>
      <c r="B177" s="36"/>
      <c r="C177" s="36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36"/>
      <c r="B178" s="36"/>
      <c r="C178" s="36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36"/>
      <c r="B179" s="36"/>
      <c r="C179" s="36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36"/>
      <c r="B180" s="36"/>
      <c r="C180" s="36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36"/>
      <c r="B181" s="36"/>
      <c r="C181" s="36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36"/>
      <c r="B182" s="36"/>
      <c r="C182" s="36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36"/>
      <c r="B183" s="36"/>
      <c r="C183" s="36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36"/>
      <c r="B184" s="36"/>
      <c r="C184" s="36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36"/>
      <c r="B185" s="36"/>
      <c r="C185" s="36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36"/>
      <c r="B186" s="36"/>
      <c r="C186" s="36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36"/>
      <c r="B187" s="36"/>
      <c r="C187" s="36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36"/>
      <c r="B188" s="36"/>
      <c r="C188" s="36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36"/>
      <c r="B189" s="36"/>
      <c r="C189" s="36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36"/>
      <c r="B190" s="36"/>
      <c r="C190" s="36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36"/>
      <c r="B191" s="36"/>
      <c r="C191" s="36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36"/>
      <c r="B192" s="36"/>
      <c r="C192" s="36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36"/>
      <c r="B193" s="36"/>
      <c r="C193" s="36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36"/>
      <c r="B194" s="36"/>
      <c r="C194" s="36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36"/>
      <c r="B195" s="36"/>
      <c r="C195" s="36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36"/>
      <c r="B196" s="36"/>
      <c r="C196" s="36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36"/>
      <c r="B197" s="36"/>
      <c r="C197" s="36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36"/>
      <c r="B198" s="36"/>
      <c r="C198" s="36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36"/>
      <c r="B199" s="36"/>
      <c r="C199" s="36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36"/>
      <c r="B200" s="36"/>
      <c r="C200" s="36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36"/>
      <c r="B201" s="36"/>
      <c r="C201" s="36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36"/>
      <c r="B202" s="36"/>
      <c r="C202" s="36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36"/>
      <c r="B203" s="36"/>
      <c r="C203" s="36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36"/>
      <c r="B204" s="36"/>
      <c r="C204" s="36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36"/>
      <c r="B205" s="36"/>
      <c r="C205" s="36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6"/>
      <c r="B206" s="36"/>
      <c r="C206" s="36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6"/>
      <c r="B207" s="36"/>
      <c r="C207" s="36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6"/>
      <c r="B208" s="36"/>
      <c r="C208" s="36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6"/>
      <c r="B209" s="36"/>
      <c r="C209" s="36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6"/>
      <c r="B210" s="36"/>
      <c r="C210" s="36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6"/>
      <c r="B211" s="36"/>
      <c r="C211" s="36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6"/>
      <c r="B212" s="36"/>
      <c r="C212" s="36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6"/>
      <c r="B213" s="36"/>
      <c r="C213" s="36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6"/>
      <c r="B214" s="36"/>
      <c r="C214" s="36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6"/>
      <c r="B215" s="36"/>
      <c r="C215" s="36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6"/>
      <c r="B216" s="36"/>
      <c r="C216" s="36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6"/>
      <c r="B217" s="36"/>
      <c r="C217" s="36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6"/>
      <c r="B218" s="36"/>
      <c r="C218" s="36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6"/>
      <c r="B219" s="36"/>
      <c r="C219" s="36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6"/>
      <c r="B220" s="36"/>
      <c r="C220" s="36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6"/>
      <c r="B221" s="36"/>
      <c r="C221" s="36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6"/>
      <c r="B222" s="36"/>
      <c r="C222" s="36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6"/>
      <c r="B223" s="36"/>
      <c r="C223" s="36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6"/>
      <c r="B224" s="36"/>
      <c r="C224" s="36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6"/>
      <c r="B225" s="36"/>
      <c r="C225" s="36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6"/>
      <c r="B226" s="36"/>
      <c r="C226" s="36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6"/>
      <c r="B227" s="36"/>
      <c r="C227" s="36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6"/>
      <c r="B228" s="36"/>
      <c r="C228" s="36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6"/>
      <c r="B229" s="36"/>
      <c r="C229" s="36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6"/>
      <c r="B230" s="36"/>
      <c r="C230" s="36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6"/>
      <c r="B231" s="36"/>
      <c r="C231" s="36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6"/>
      <c r="B232" s="36"/>
      <c r="C232" s="36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6"/>
      <c r="B233" s="36"/>
      <c r="C233" s="36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6"/>
      <c r="B234" s="36"/>
      <c r="C234" s="36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6"/>
      <c r="B235" s="36"/>
      <c r="C235" s="36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6"/>
      <c r="B236" s="36"/>
      <c r="C236" s="36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6"/>
      <c r="B237" s="36"/>
      <c r="C237" s="36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6"/>
      <c r="B238" s="36"/>
      <c r="C238" s="36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6"/>
      <c r="B239" s="36"/>
      <c r="C239" s="36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6"/>
      <c r="B240" s="36"/>
      <c r="C240" s="36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6"/>
      <c r="B241" s="36"/>
      <c r="C241" s="36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6"/>
      <c r="B242" s="36"/>
      <c r="C242" s="36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6"/>
      <c r="B243" s="36"/>
      <c r="C243" s="36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6"/>
      <c r="B244" s="36"/>
      <c r="C244" s="36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6"/>
      <c r="B245" s="36"/>
      <c r="C245" s="36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6"/>
      <c r="B246" s="36"/>
      <c r="C246" s="36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6"/>
      <c r="B247" s="36"/>
      <c r="C247" s="36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6"/>
      <c r="B248" s="36"/>
      <c r="C248" s="36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6"/>
      <c r="B249" s="36"/>
      <c r="C249" s="36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6"/>
      <c r="B250" s="36"/>
      <c r="C250" s="36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6"/>
      <c r="B251" s="36"/>
      <c r="C251" s="36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6"/>
      <c r="B252" s="36"/>
      <c r="C252" s="36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6"/>
      <c r="B253" s="36"/>
      <c r="C253" s="36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6"/>
      <c r="B254" s="36"/>
      <c r="C254" s="36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6"/>
      <c r="B255" s="36"/>
      <c r="C255" s="36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6"/>
      <c r="B256" s="36"/>
      <c r="C256" s="36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6"/>
      <c r="B257" s="36"/>
      <c r="C257" s="36"/>
      <c r="D257" s="4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6"/>
      <c r="B258" s="36"/>
      <c r="C258" s="36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6"/>
      <c r="B259" s="36"/>
      <c r="C259" s="36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6"/>
      <c r="B260" s="36"/>
      <c r="C260" s="36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6"/>
      <c r="B261" s="36"/>
      <c r="C261" s="36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6"/>
      <c r="B262" s="36"/>
      <c r="C262" s="36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6"/>
      <c r="B263" s="36"/>
      <c r="C263" s="36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6"/>
      <c r="B264" s="36"/>
      <c r="C264" s="36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6"/>
      <c r="B265" s="36"/>
      <c r="C265" s="36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6"/>
      <c r="B266" s="36"/>
      <c r="C266" s="36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6"/>
      <c r="B267" s="36"/>
      <c r="C267" s="36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6"/>
      <c r="B268" s="36"/>
      <c r="C268" s="36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6"/>
      <c r="B269" s="36"/>
      <c r="C269" s="36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6"/>
      <c r="B270" s="36"/>
      <c r="C270" s="36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6"/>
      <c r="B271" s="36"/>
      <c r="C271" s="36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6"/>
      <c r="B272" s="36"/>
      <c r="C272" s="36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6"/>
      <c r="B273" s="36"/>
      <c r="C273" s="36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6"/>
      <c r="B274" s="36"/>
      <c r="C274" s="36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6"/>
      <c r="B275" s="36"/>
      <c r="C275" s="36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6"/>
      <c r="B276" s="36"/>
      <c r="C276" s="36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6"/>
      <c r="B277" s="36"/>
      <c r="C277" s="36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6"/>
      <c r="B278" s="36"/>
      <c r="C278" s="36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6"/>
      <c r="B279" s="36"/>
      <c r="C279" s="36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6"/>
      <c r="B280" s="36"/>
      <c r="C280" s="36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6"/>
      <c r="B281" s="36"/>
      <c r="C281" s="36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6"/>
      <c r="B282" s="36"/>
      <c r="C282" s="36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6"/>
      <c r="B283" s="36"/>
      <c r="C283" s="36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6"/>
      <c r="B284" s="36"/>
      <c r="C284" s="36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6"/>
      <c r="B285" s="36"/>
      <c r="C285" s="36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6"/>
      <c r="B286" s="36"/>
      <c r="C286" s="36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6"/>
      <c r="B287" s="36"/>
      <c r="C287" s="36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6"/>
      <c r="B288" s="36"/>
      <c r="C288" s="36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6"/>
      <c r="B289" s="36"/>
      <c r="C289" s="36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6"/>
      <c r="B290" s="36"/>
      <c r="C290" s="36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6"/>
      <c r="B291" s="36"/>
      <c r="C291" s="36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6"/>
      <c r="B292" s="36"/>
      <c r="C292" s="36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6"/>
      <c r="B293" s="36"/>
      <c r="C293" s="36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6"/>
      <c r="B294" s="36"/>
      <c r="C294" s="36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6"/>
      <c r="B295" s="36"/>
      <c r="C295" s="36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6"/>
      <c r="B296" s="36"/>
      <c r="C296" s="36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6"/>
      <c r="B297" s="36"/>
      <c r="C297" s="36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6"/>
      <c r="B298" s="36"/>
      <c r="C298" s="36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6"/>
      <c r="B299" s="36"/>
      <c r="C299" s="36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6"/>
      <c r="B300" s="36"/>
      <c r="C300" s="36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6"/>
      <c r="B301" s="36"/>
      <c r="C301" s="36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6"/>
      <c r="B302" s="36"/>
      <c r="C302" s="36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6"/>
      <c r="B303" s="36"/>
      <c r="C303" s="36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6"/>
      <c r="B304" s="36"/>
      <c r="C304" s="36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6"/>
      <c r="B305" s="36"/>
      <c r="C305" s="36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6"/>
      <c r="B306" s="36"/>
      <c r="C306" s="36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6"/>
      <c r="B307" s="36"/>
      <c r="C307" s="36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6"/>
      <c r="B308" s="36"/>
      <c r="C308" s="36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6"/>
      <c r="B309" s="36"/>
      <c r="C309" s="36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6"/>
      <c r="B310" s="36"/>
      <c r="C310" s="36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6"/>
      <c r="B311" s="36"/>
      <c r="C311" s="36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6"/>
      <c r="B312" s="36"/>
      <c r="C312" s="36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6"/>
      <c r="B313" s="36"/>
      <c r="C313" s="36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6"/>
      <c r="B314" s="36"/>
      <c r="C314" s="36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6"/>
      <c r="B315" s="36"/>
      <c r="C315" s="36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6"/>
      <c r="B316" s="36"/>
      <c r="C316" s="36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6"/>
      <c r="B317" s="36"/>
      <c r="C317" s="36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6"/>
      <c r="B318" s="36"/>
      <c r="C318" s="36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6"/>
      <c r="B319" s="36"/>
      <c r="C319" s="36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6"/>
      <c r="B320" s="36"/>
      <c r="C320" s="36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6"/>
      <c r="B321" s="36"/>
      <c r="C321" s="36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6"/>
      <c r="B322" s="36"/>
      <c r="C322" s="36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6"/>
      <c r="B323" s="36"/>
      <c r="C323" s="36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6"/>
      <c r="B324" s="36"/>
      <c r="C324" s="36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6"/>
      <c r="B325" s="36"/>
      <c r="C325" s="36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6"/>
      <c r="B326" s="36"/>
      <c r="C326" s="36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6"/>
      <c r="B327" s="36"/>
      <c r="C327" s="36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6"/>
      <c r="B328" s="36"/>
      <c r="C328" s="36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6"/>
      <c r="B329" s="36"/>
      <c r="C329" s="36"/>
      <c r="D329" s="4"/>
      <c r="E329" s="4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6"/>
      <c r="B330" s="36"/>
      <c r="C330" s="36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6"/>
      <c r="B331" s="36"/>
      <c r="C331" s="36"/>
      <c r="D331" s="4"/>
      <c r="E331" s="4"/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6"/>
      <c r="B332" s="36"/>
      <c r="C332" s="36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6"/>
      <c r="B333" s="36"/>
      <c r="C333" s="36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6"/>
      <c r="B334" s="36"/>
      <c r="C334" s="36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6"/>
      <c r="B335" s="36"/>
      <c r="C335" s="36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6"/>
      <c r="B336" s="36"/>
      <c r="C336" s="36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6"/>
      <c r="B337" s="36"/>
      <c r="C337" s="36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6"/>
      <c r="B338" s="36"/>
      <c r="C338" s="36"/>
      <c r="D338" s="4"/>
      <c r="E338" s="4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6"/>
      <c r="B339" s="36"/>
      <c r="C339" s="36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6"/>
      <c r="B340" s="36"/>
      <c r="C340" s="36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6"/>
      <c r="B341" s="36"/>
      <c r="C341" s="36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6"/>
      <c r="B342" s="36"/>
      <c r="C342" s="36"/>
      <c r="D342" s="4"/>
      <c r="E342" s="4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6"/>
      <c r="B343" s="36"/>
      <c r="C343" s="36"/>
      <c r="D343" s="4"/>
      <c r="E343" s="4"/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6"/>
      <c r="B344" s="36"/>
      <c r="C344" s="36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6"/>
      <c r="B345" s="36"/>
      <c r="C345" s="36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6"/>
      <c r="B346" s="36"/>
      <c r="C346" s="36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6"/>
      <c r="B347" s="36"/>
      <c r="C347" s="36"/>
      <c r="D347" s="4"/>
      <c r="E347" s="4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6"/>
      <c r="B348" s="36"/>
      <c r="C348" s="36"/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6"/>
      <c r="B349" s="36"/>
      <c r="C349" s="36"/>
      <c r="D349" s="4"/>
      <c r="E349" s="4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6"/>
      <c r="B350" s="36"/>
      <c r="C350" s="36"/>
      <c r="D350" s="4"/>
      <c r="E350" s="4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6"/>
      <c r="B351" s="36"/>
      <c r="C351" s="36"/>
      <c r="D351" s="4"/>
      <c r="E351" s="4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6"/>
      <c r="B352" s="36"/>
      <c r="C352" s="36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6"/>
      <c r="B353" s="36"/>
      <c r="C353" s="36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6"/>
      <c r="B354" s="36"/>
      <c r="C354" s="36"/>
      <c r="D354" s="4"/>
      <c r="E354" s="4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6"/>
      <c r="B355" s="36"/>
      <c r="C355" s="36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6"/>
      <c r="B356" s="36"/>
      <c r="C356" s="36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6"/>
      <c r="B357" s="36"/>
      <c r="C357" s="36"/>
      <c r="D357" s="4"/>
      <c r="E357" s="4"/>
      <c r="F357" s="4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6"/>
      <c r="B358" s="36"/>
      <c r="C358" s="36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6"/>
      <c r="B359" s="36"/>
      <c r="C359" s="36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6"/>
      <c r="B360" s="36"/>
      <c r="C360" s="36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6"/>
      <c r="B361" s="36"/>
      <c r="C361" s="36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6"/>
      <c r="B362" s="36"/>
      <c r="C362" s="36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6"/>
      <c r="B363" s="36"/>
      <c r="C363" s="36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6"/>
      <c r="B364" s="36"/>
      <c r="C364" s="36"/>
      <c r="D364" s="4"/>
      <c r="E364" s="4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6"/>
      <c r="B365" s="36"/>
      <c r="C365" s="36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6"/>
      <c r="B366" s="36"/>
      <c r="C366" s="36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6"/>
      <c r="B367" s="36"/>
      <c r="C367" s="36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6"/>
      <c r="B368" s="36"/>
      <c r="C368" s="36"/>
      <c r="D368" s="4"/>
      <c r="E368" s="4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6"/>
      <c r="B369" s="36"/>
      <c r="C369" s="36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6"/>
      <c r="B370" s="36"/>
      <c r="C370" s="36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6"/>
      <c r="B371" s="36"/>
      <c r="C371" s="36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6"/>
      <c r="B372" s="36"/>
      <c r="C372" s="36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6"/>
      <c r="B373" s="36"/>
      <c r="C373" s="36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6"/>
      <c r="B374" s="36"/>
      <c r="C374" s="36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6"/>
      <c r="B375" s="36"/>
      <c r="C375" s="36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6"/>
      <c r="B376" s="36"/>
      <c r="C376" s="36"/>
      <c r="D376" s="4"/>
      <c r="E376" s="4"/>
      <c r="F376" s="4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6"/>
      <c r="B377" s="36"/>
      <c r="C377" s="36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6"/>
      <c r="B378" s="36"/>
      <c r="C378" s="36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6"/>
      <c r="B379" s="36"/>
      <c r="C379" s="36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6"/>
      <c r="B380" s="36"/>
      <c r="C380" s="36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6"/>
      <c r="B381" s="36"/>
      <c r="C381" s="36"/>
      <c r="D381" s="4"/>
      <c r="E381" s="4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6"/>
      <c r="B382" s="36"/>
      <c r="C382" s="36"/>
      <c r="D382" s="4"/>
      <c r="E382" s="4"/>
      <c r="F382" s="4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6"/>
      <c r="B383" s="36"/>
      <c r="C383" s="36"/>
      <c r="D383" s="4"/>
      <c r="E383" s="4"/>
      <c r="F383" s="4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6"/>
      <c r="B384" s="36"/>
      <c r="C384" s="36"/>
      <c r="D384" s="4"/>
      <c r="E384" s="4"/>
      <c r="F384" s="4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6"/>
      <c r="B385" s="36"/>
      <c r="C385" s="36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6"/>
      <c r="B386" s="36"/>
      <c r="C386" s="36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6"/>
      <c r="B387" s="36"/>
      <c r="C387" s="36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6"/>
      <c r="B388" s="36"/>
      <c r="C388" s="36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6"/>
      <c r="B389" s="36"/>
      <c r="C389" s="36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6"/>
      <c r="B390" s="36"/>
      <c r="C390" s="36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6"/>
      <c r="B391" s="36"/>
      <c r="C391" s="36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6"/>
      <c r="B392" s="36"/>
      <c r="C392" s="36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6"/>
      <c r="B393" s="36"/>
      <c r="C393" s="36"/>
      <c r="D393" s="4"/>
      <c r="E393" s="4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6"/>
      <c r="B394" s="36"/>
      <c r="C394" s="36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6"/>
      <c r="B395" s="36"/>
      <c r="C395" s="36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6"/>
      <c r="B396" s="36"/>
      <c r="C396" s="36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6"/>
      <c r="B397" s="36"/>
      <c r="C397" s="36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6"/>
      <c r="B398" s="36"/>
      <c r="C398" s="36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6"/>
      <c r="B399" s="36"/>
      <c r="C399" s="36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6"/>
      <c r="B400" s="36"/>
      <c r="C400" s="36"/>
      <c r="D400" s="4"/>
      <c r="E400" s="4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6"/>
      <c r="B401" s="36"/>
      <c r="C401" s="36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6"/>
      <c r="B402" s="36"/>
      <c r="C402" s="36"/>
      <c r="D402" s="4"/>
      <c r="E402" s="4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6"/>
      <c r="B403" s="36"/>
      <c r="C403" s="36"/>
      <c r="D403" s="4"/>
      <c r="E403" s="4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6"/>
      <c r="B404" s="36"/>
      <c r="C404" s="36"/>
      <c r="D404" s="4"/>
      <c r="E404" s="4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6"/>
      <c r="B405" s="36"/>
      <c r="C405" s="36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6"/>
      <c r="B406" s="36"/>
      <c r="C406" s="36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6"/>
      <c r="B407" s="36"/>
      <c r="C407" s="36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6"/>
      <c r="B408" s="36"/>
      <c r="C408" s="36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6"/>
      <c r="B409" s="36"/>
      <c r="C409" s="36"/>
      <c r="D409" s="4"/>
      <c r="E409" s="4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6"/>
      <c r="B410" s="36"/>
      <c r="C410" s="36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6"/>
      <c r="B411" s="36"/>
      <c r="C411" s="36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6"/>
      <c r="B412" s="36"/>
      <c r="C412" s="36"/>
      <c r="D412" s="4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6"/>
      <c r="B413" s="36"/>
      <c r="C413" s="36"/>
      <c r="D413" s="4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6"/>
      <c r="B414" s="36"/>
      <c r="C414" s="36"/>
      <c r="D414" s="4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6"/>
      <c r="B415" s="36"/>
      <c r="C415" s="36"/>
      <c r="D415" s="4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6"/>
      <c r="B416" s="36"/>
      <c r="C416" s="36"/>
      <c r="D416" s="4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6"/>
      <c r="B417" s="36"/>
      <c r="C417" s="36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6"/>
      <c r="B418" s="36"/>
      <c r="C418" s="36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6"/>
      <c r="B419" s="36"/>
      <c r="C419" s="36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6"/>
      <c r="B420" s="36"/>
      <c r="C420" s="36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6"/>
      <c r="B421" s="36"/>
      <c r="C421" s="36"/>
      <c r="D421" s="4"/>
      <c r="E421" s="4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6"/>
      <c r="B422" s="36"/>
      <c r="C422" s="36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6"/>
      <c r="B423" s="36"/>
      <c r="C423" s="36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6"/>
      <c r="B424" s="36"/>
      <c r="C424" s="36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6"/>
      <c r="B425" s="36"/>
      <c r="C425" s="36"/>
      <c r="D425" s="4"/>
      <c r="E425" s="4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6"/>
      <c r="B426" s="36"/>
      <c r="C426" s="36"/>
      <c r="D426" s="4"/>
      <c r="E426" s="4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6"/>
      <c r="B427" s="36"/>
      <c r="C427" s="36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6"/>
      <c r="B428" s="36"/>
      <c r="C428" s="36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6"/>
      <c r="B429" s="36"/>
      <c r="C429" s="36"/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6"/>
      <c r="B430" s="36"/>
      <c r="C430" s="36"/>
      <c r="D430" s="4"/>
      <c r="E430" s="4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6"/>
      <c r="B431" s="36"/>
      <c r="C431" s="36"/>
      <c r="D431" s="4"/>
      <c r="E431" s="4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6"/>
      <c r="B432" s="36"/>
      <c r="C432" s="36"/>
      <c r="D432" s="4"/>
      <c r="E432" s="4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6"/>
      <c r="B433" s="36"/>
      <c r="C433" s="36"/>
      <c r="D433" s="4"/>
      <c r="E433" s="4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6"/>
      <c r="B434" s="36"/>
      <c r="C434" s="36"/>
      <c r="D434" s="4"/>
      <c r="E434" s="4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6"/>
      <c r="B435" s="36"/>
      <c r="C435" s="36"/>
      <c r="D435" s="4"/>
      <c r="E435" s="4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6"/>
      <c r="B436" s="36"/>
      <c r="C436" s="36"/>
      <c r="D436" s="4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6"/>
      <c r="B437" s="36"/>
      <c r="C437" s="36"/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6"/>
      <c r="B438" s="36"/>
      <c r="C438" s="36"/>
      <c r="D438" s="4"/>
      <c r="E438" s="4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6"/>
      <c r="B439" s="36"/>
      <c r="C439" s="36"/>
      <c r="D439" s="4"/>
      <c r="E439" s="4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6"/>
      <c r="B440" s="36"/>
      <c r="C440" s="36"/>
      <c r="D440" s="4"/>
      <c r="E440" s="4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6"/>
      <c r="B441" s="36"/>
      <c r="C441" s="36"/>
      <c r="D441" s="4"/>
      <c r="E441" s="4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6"/>
      <c r="B442" s="36"/>
      <c r="C442" s="36"/>
      <c r="D442" s="4"/>
      <c r="E442" s="4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6"/>
      <c r="B443" s="36"/>
      <c r="C443" s="36"/>
      <c r="D443" s="4"/>
      <c r="E443" s="4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6"/>
      <c r="B444" s="36"/>
      <c r="C444" s="36"/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6"/>
      <c r="B445" s="36"/>
      <c r="C445" s="36"/>
      <c r="D445" s="4"/>
      <c r="E445" s="4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6"/>
      <c r="B446" s="36"/>
      <c r="C446" s="36"/>
      <c r="D446" s="4"/>
      <c r="E446" s="4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6"/>
      <c r="B447" s="36"/>
      <c r="C447" s="36"/>
      <c r="D447" s="4"/>
      <c r="E447" s="4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6"/>
      <c r="B448" s="36"/>
      <c r="C448" s="36"/>
      <c r="D448" s="4"/>
      <c r="E448" s="4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6"/>
      <c r="B449" s="36"/>
      <c r="C449" s="36"/>
      <c r="D449" s="4"/>
      <c r="E449" s="4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6"/>
      <c r="B450" s="36"/>
      <c r="C450" s="36"/>
      <c r="D450" s="4"/>
      <c r="E450" s="4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6"/>
      <c r="B451" s="36"/>
      <c r="C451" s="36"/>
      <c r="D451" s="4"/>
      <c r="E451" s="4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6"/>
      <c r="B452" s="36"/>
      <c r="C452" s="36"/>
      <c r="D452" s="4"/>
      <c r="E452" s="4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6"/>
      <c r="B453" s="36"/>
      <c r="C453" s="36"/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6"/>
      <c r="B454" s="36"/>
      <c r="C454" s="36"/>
      <c r="D454" s="4"/>
      <c r="E454" s="4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6"/>
      <c r="B455" s="36"/>
      <c r="C455" s="36"/>
      <c r="D455" s="4"/>
      <c r="E455" s="4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6"/>
      <c r="B456" s="36"/>
      <c r="C456" s="36"/>
      <c r="D456" s="4"/>
      <c r="E456" s="4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6"/>
      <c r="B457" s="36"/>
      <c r="C457" s="36"/>
      <c r="D457" s="4"/>
      <c r="E457" s="4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6"/>
      <c r="B458" s="36"/>
      <c r="C458" s="36"/>
      <c r="D458" s="4"/>
      <c r="E458" s="4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6"/>
      <c r="B459" s="36"/>
      <c r="C459" s="36"/>
      <c r="D459" s="4"/>
      <c r="E459" s="4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6"/>
      <c r="B460" s="36"/>
      <c r="C460" s="36"/>
      <c r="D460" s="4"/>
      <c r="E460" s="4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6"/>
      <c r="B461" s="36"/>
      <c r="C461" s="36"/>
      <c r="D461" s="4"/>
      <c r="E461" s="4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6"/>
      <c r="B462" s="36"/>
      <c r="C462" s="36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6"/>
      <c r="B463" s="36"/>
      <c r="C463" s="36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6"/>
      <c r="B464" s="36"/>
      <c r="C464" s="36"/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6"/>
      <c r="B465" s="36"/>
      <c r="C465" s="36"/>
      <c r="D465" s="4"/>
      <c r="E465" s="4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6"/>
      <c r="B466" s="36"/>
      <c r="C466" s="36"/>
      <c r="D466" s="4"/>
      <c r="E466" s="4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6"/>
      <c r="B467" s="36"/>
      <c r="C467" s="36"/>
      <c r="D467" s="4"/>
      <c r="E467" s="4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6"/>
      <c r="B468" s="36"/>
      <c r="C468" s="36"/>
      <c r="D468" s="4"/>
      <c r="E468" s="4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6"/>
      <c r="B469" s="36"/>
      <c r="C469" s="36"/>
      <c r="D469" s="4"/>
      <c r="E469" s="4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6"/>
      <c r="B470" s="36"/>
      <c r="C470" s="36"/>
      <c r="D470" s="4"/>
      <c r="E470" s="4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6"/>
      <c r="B471" s="36"/>
      <c r="C471" s="36"/>
      <c r="D471" s="4"/>
      <c r="E471" s="4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6"/>
      <c r="B472" s="36"/>
      <c r="C472" s="36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6"/>
      <c r="B473" s="36"/>
      <c r="C473" s="36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6"/>
      <c r="B474" s="36"/>
      <c r="C474" s="36"/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6"/>
      <c r="B475" s="36"/>
      <c r="C475" s="36"/>
      <c r="D475" s="4"/>
      <c r="E475" s="4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6"/>
      <c r="B476" s="36"/>
      <c r="C476" s="36"/>
      <c r="D476" s="4"/>
      <c r="E476" s="4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6"/>
      <c r="B477" s="36"/>
      <c r="C477" s="36"/>
      <c r="D477" s="4"/>
      <c r="E477" s="4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6"/>
      <c r="B478" s="36"/>
      <c r="C478" s="36"/>
      <c r="D478" s="4"/>
      <c r="E478" s="4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6"/>
      <c r="B479" s="36"/>
      <c r="C479" s="36"/>
      <c r="D479" s="4"/>
      <c r="E479" s="4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6"/>
      <c r="B480" s="36"/>
      <c r="C480" s="36"/>
      <c r="D480" s="4"/>
      <c r="E480" s="4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6"/>
      <c r="B481" s="36"/>
      <c r="C481" s="36"/>
      <c r="D481" s="4"/>
      <c r="E481" s="4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6"/>
      <c r="B482" s="36"/>
      <c r="C482" s="36"/>
      <c r="D482" s="4"/>
      <c r="E482" s="4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6"/>
      <c r="B483" s="36"/>
      <c r="C483" s="36"/>
      <c r="D483" s="4"/>
      <c r="E483" s="4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6"/>
      <c r="B484" s="36"/>
      <c r="C484" s="36"/>
      <c r="D484" s="4"/>
      <c r="E484" s="4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6"/>
      <c r="B485" s="36"/>
      <c r="C485" s="36"/>
      <c r="D485" s="4"/>
      <c r="E485" s="4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6"/>
      <c r="B486" s="36"/>
      <c r="C486" s="36"/>
      <c r="D486" s="4"/>
      <c r="E486" s="4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6"/>
      <c r="B487" s="36"/>
      <c r="C487" s="36"/>
      <c r="D487" s="4"/>
      <c r="E487" s="4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6"/>
      <c r="B488" s="36"/>
      <c r="C488" s="36"/>
      <c r="D488" s="4"/>
      <c r="E488" s="4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6"/>
      <c r="B489" s="36"/>
      <c r="C489" s="36"/>
      <c r="D489" s="4"/>
      <c r="E489" s="4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6"/>
      <c r="B490" s="36"/>
      <c r="C490" s="36"/>
      <c r="D490" s="4"/>
      <c r="E490" s="4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6"/>
      <c r="B491" s="36"/>
      <c r="C491" s="36"/>
      <c r="D491" s="4"/>
      <c r="E491" s="4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6"/>
      <c r="B492" s="36"/>
      <c r="C492" s="36"/>
      <c r="D492" s="4"/>
      <c r="E492" s="4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6"/>
      <c r="B493" s="36"/>
      <c r="C493" s="36"/>
      <c r="D493" s="4"/>
      <c r="E493" s="4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6"/>
      <c r="B494" s="36"/>
      <c r="C494" s="36"/>
      <c r="D494" s="4"/>
      <c r="E494" s="4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6"/>
      <c r="B495" s="36"/>
      <c r="C495" s="36"/>
      <c r="D495" s="4"/>
      <c r="E495" s="4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6"/>
      <c r="B496" s="36"/>
      <c r="C496" s="36"/>
      <c r="D496" s="4"/>
      <c r="E496" s="4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6"/>
      <c r="B497" s="36"/>
      <c r="C497" s="36"/>
      <c r="D497" s="4"/>
      <c r="E497" s="4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6"/>
      <c r="B498" s="36"/>
      <c r="C498" s="36"/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6"/>
      <c r="B499" s="36"/>
      <c r="C499" s="36"/>
      <c r="D499" s="4"/>
      <c r="E499" s="4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6"/>
      <c r="B500" s="36"/>
      <c r="C500" s="36"/>
      <c r="D500" s="4"/>
      <c r="E500" s="4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6"/>
      <c r="B501" s="36"/>
      <c r="C501" s="36"/>
      <c r="D501" s="4"/>
      <c r="E501" s="4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6"/>
      <c r="B502" s="36"/>
      <c r="C502" s="36"/>
      <c r="D502" s="4"/>
      <c r="E502" s="4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6"/>
      <c r="B503" s="36"/>
      <c r="C503" s="36"/>
      <c r="D503" s="4"/>
      <c r="E503" s="4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6"/>
      <c r="B504" s="36"/>
      <c r="C504" s="36"/>
      <c r="D504" s="4"/>
      <c r="E504" s="4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6"/>
      <c r="B505" s="36"/>
      <c r="C505" s="36"/>
      <c r="D505" s="4"/>
      <c r="E505" s="4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6"/>
      <c r="B506" s="36"/>
      <c r="C506" s="36"/>
      <c r="D506" s="4"/>
      <c r="E506" s="4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6"/>
      <c r="B507" s="36"/>
      <c r="C507" s="36"/>
      <c r="D507" s="4"/>
      <c r="E507" s="4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6"/>
      <c r="B508" s="36"/>
      <c r="C508" s="36"/>
      <c r="D508" s="4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6"/>
      <c r="B509" s="36"/>
      <c r="C509" s="36"/>
      <c r="D509" s="4"/>
      <c r="E509" s="4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6"/>
      <c r="B510" s="36"/>
      <c r="C510" s="36"/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6"/>
      <c r="B511" s="36"/>
      <c r="C511" s="36"/>
      <c r="D511" s="4"/>
      <c r="E511" s="4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6"/>
      <c r="B512" s="36"/>
      <c r="C512" s="36"/>
      <c r="D512" s="4"/>
      <c r="E512" s="4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6"/>
      <c r="B513" s="36"/>
      <c r="C513" s="36"/>
      <c r="D513" s="4"/>
      <c r="E513" s="4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6"/>
      <c r="B514" s="36"/>
      <c r="C514" s="36"/>
      <c r="D514" s="4"/>
      <c r="E514" s="4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6"/>
      <c r="B515" s="36"/>
      <c r="C515" s="36"/>
      <c r="D515" s="4"/>
      <c r="E515" s="4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6"/>
      <c r="B516" s="36"/>
      <c r="C516" s="36"/>
      <c r="D516" s="4"/>
      <c r="E516" s="4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6"/>
      <c r="B517" s="36"/>
      <c r="C517" s="36"/>
      <c r="D517" s="4"/>
      <c r="E517" s="4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6"/>
      <c r="B518" s="36"/>
      <c r="C518" s="36"/>
      <c r="D518" s="4"/>
      <c r="E518" s="4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6"/>
      <c r="B519" s="36"/>
      <c r="C519" s="36"/>
      <c r="D519" s="4"/>
      <c r="E519" s="4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6"/>
      <c r="B520" s="36"/>
      <c r="C520" s="36"/>
      <c r="D520" s="4"/>
      <c r="E520" s="4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6"/>
      <c r="B521" s="36"/>
      <c r="C521" s="36"/>
      <c r="D521" s="4"/>
      <c r="E521" s="4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6"/>
      <c r="B522" s="36"/>
      <c r="C522" s="36"/>
      <c r="D522" s="4"/>
      <c r="E522" s="4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6"/>
      <c r="B523" s="36"/>
      <c r="C523" s="36"/>
      <c r="D523" s="4"/>
      <c r="E523" s="4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6"/>
      <c r="B524" s="36"/>
      <c r="C524" s="36"/>
      <c r="D524" s="4"/>
      <c r="E524" s="4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6"/>
      <c r="B525" s="36"/>
      <c r="C525" s="36"/>
      <c r="D525" s="4"/>
      <c r="E525" s="4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6"/>
      <c r="B526" s="36"/>
      <c r="C526" s="36"/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6"/>
      <c r="B527" s="36"/>
      <c r="C527" s="36"/>
      <c r="D527" s="4"/>
      <c r="E527" s="4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6"/>
      <c r="B528" s="36"/>
      <c r="C528" s="36"/>
      <c r="D528" s="4"/>
      <c r="E528" s="4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6"/>
      <c r="B529" s="36"/>
      <c r="C529" s="36"/>
      <c r="D529" s="4"/>
      <c r="E529" s="4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6"/>
      <c r="B530" s="36"/>
      <c r="C530" s="36"/>
      <c r="D530" s="4"/>
      <c r="E530" s="4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6"/>
      <c r="B531" s="36"/>
      <c r="C531" s="36"/>
      <c r="D531" s="4"/>
      <c r="E531" s="4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6"/>
      <c r="B532" s="36"/>
      <c r="C532" s="36"/>
      <c r="D532" s="4"/>
      <c r="E532" s="4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6"/>
      <c r="B533" s="36"/>
      <c r="C533" s="36"/>
      <c r="D533" s="4"/>
      <c r="E533" s="4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6"/>
      <c r="B534" s="36"/>
      <c r="C534" s="36"/>
      <c r="D534" s="4"/>
      <c r="E534" s="4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6"/>
      <c r="B535" s="36"/>
      <c r="C535" s="36"/>
      <c r="D535" s="4"/>
      <c r="E535" s="4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6"/>
      <c r="B536" s="36"/>
      <c r="C536" s="36"/>
      <c r="D536" s="4"/>
      <c r="E536" s="4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6"/>
      <c r="B537" s="36"/>
      <c r="C537" s="36"/>
      <c r="D537" s="4"/>
      <c r="E537" s="4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6"/>
      <c r="B538" s="36"/>
      <c r="C538" s="36"/>
      <c r="D538" s="4"/>
      <c r="E538" s="4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6"/>
      <c r="B539" s="36"/>
      <c r="C539" s="36"/>
      <c r="D539" s="4"/>
      <c r="E539" s="4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6"/>
      <c r="B540" s="36"/>
      <c r="C540" s="36"/>
      <c r="D540" s="4"/>
      <c r="E540" s="4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6"/>
      <c r="B541" s="36"/>
      <c r="C541" s="36"/>
      <c r="D541" s="4"/>
      <c r="E541" s="4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6"/>
      <c r="B542" s="36"/>
      <c r="C542" s="36"/>
      <c r="D542" s="4"/>
      <c r="E542" s="4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6"/>
      <c r="B543" s="36"/>
      <c r="C543" s="36"/>
      <c r="D543" s="4"/>
      <c r="E543" s="4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6"/>
      <c r="B544" s="36"/>
      <c r="C544" s="36"/>
      <c r="D544" s="4"/>
      <c r="E544" s="4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6"/>
      <c r="B545" s="36"/>
      <c r="C545" s="36"/>
      <c r="D545" s="4"/>
      <c r="E545" s="4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6"/>
      <c r="B546" s="36"/>
      <c r="C546" s="36"/>
      <c r="D546" s="4"/>
      <c r="E546" s="4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6"/>
      <c r="B547" s="36"/>
      <c r="C547" s="36"/>
      <c r="D547" s="4"/>
      <c r="E547" s="4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6"/>
      <c r="B548" s="36"/>
      <c r="C548" s="36"/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6"/>
      <c r="B549" s="36"/>
      <c r="C549" s="36"/>
      <c r="D549" s="4"/>
      <c r="E549" s="4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6"/>
      <c r="B550" s="36"/>
      <c r="C550" s="36"/>
      <c r="D550" s="4"/>
      <c r="E550" s="4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6"/>
      <c r="B551" s="36"/>
      <c r="C551" s="36"/>
      <c r="D551" s="4"/>
      <c r="E551" s="4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6"/>
      <c r="B552" s="36"/>
      <c r="C552" s="36"/>
      <c r="D552" s="4"/>
      <c r="E552" s="4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6"/>
      <c r="B553" s="36"/>
      <c r="C553" s="36"/>
      <c r="D553" s="4"/>
      <c r="E553" s="4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6"/>
      <c r="B554" s="36"/>
      <c r="C554" s="36"/>
      <c r="D554" s="4"/>
      <c r="E554" s="4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6"/>
      <c r="B555" s="36"/>
      <c r="C555" s="36"/>
      <c r="D555" s="4"/>
      <c r="E555" s="4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6"/>
      <c r="B556" s="36"/>
      <c r="C556" s="36"/>
      <c r="D556" s="4"/>
      <c r="E556" s="4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6"/>
      <c r="B557" s="36"/>
      <c r="C557" s="36"/>
      <c r="D557" s="4"/>
      <c r="E557" s="4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6"/>
      <c r="B558" s="36"/>
      <c r="C558" s="36"/>
      <c r="D558" s="4"/>
      <c r="E558" s="4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6"/>
      <c r="B559" s="36"/>
      <c r="C559" s="36"/>
      <c r="D559" s="4"/>
      <c r="E559" s="4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6"/>
      <c r="B560" s="36"/>
      <c r="C560" s="36"/>
      <c r="D560" s="4"/>
      <c r="E560" s="4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6"/>
      <c r="B561" s="36"/>
      <c r="C561" s="36"/>
      <c r="D561" s="4"/>
      <c r="E561" s="4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6"/>
      <c r="B562" s="36"/>
      <c r="C562" s="36"/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6"/>
      <c r="B563" s="36"/>
      <c r="C563" s="36"/>
      <c r="D563" s="4"/>
      <c r="E563" s="4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6"/>
      <c r="B564" s="36"/>
      <c r="C564" s="36"/>
      <c r="D564" s="4"/>
      <c r="E564" s="4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6"/>
      <c r="B565" s="36"/>
      <c r="C565" s="36"/>
      <c r="D565" s="4"/>
      <c r="E565" s="4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6"/>
      <c r="B566" s="36"/>
      <c r="C566" s="36"/>
      <c r="D566" s="4"/>
      <c r="E566" s="4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6"/>
      <c r="B567" s="36"/>
      <c r="C567" s="36"/>
      <c r="D567" s="4"/>
      <c r="E567" s="4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6"/>
      <c r="B568" s="36"/>
      <c r="C568" s="36"/>
      <c r="D568" s="4"/>
      <c r="E568" s="4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6"/>
      <c r="B569" s="36"/>
      <c r="C569" s="36"/>
      <c r="D569" s="4"/>
      <c r="E569" s="4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6"/>
      <c r="B570" s="36"/>
      <c r="C570" s="36"/>
      <c r="D570" s="4"/>
      <c r="E570" s="4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6"/>
      <c r="B571" s="36"/>
      <c r="C571" s="36"/>
      <c r="D571" s="4"/>
      <c r="E571" s="4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6"/>
      <c r="B572" s="36"/>
      <c r="C572" s="36"/>
      <c r="D572" s="4"/>
      <c r="E572" s="4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6"/>
      <c r="B573" s="36"/>
      <c r="C573" s="36"/>
      <c r="D573" s="4"/>
      <c r="E573" s="4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6"/>
      <c r="B574" s="36"/>
      <c r="C574" s="36"/>
      <c r="D574" s="4"/>
      <c r="E574" s="4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6"/>
      <c r="B575" s="36"/>
      <c r="C575" s="36"/>
      <c r="D575" s="4"/>
      <c r="E575" s="4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6"/>
      <c r="B576" s="36"/>
      <c r="C576" s="36"/>
      <c r="D576" s="4"/>
      <c r="E576" s="4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6"/>
      <c r="B577" s="36"/>
      <c r="C577" s="36"/>
      <c r="D577" s="4"/>
      <c r="E577" s="4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6"/>
      <c r="B578" s="36"/>
      <c r="C578" s="36"/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6"/>
      <c r="B579" s="36"/>
      <c r="C579" s="36"/>
      <c r="D579" s="4"/>
      <c r="E579" s="4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6"/>
      <c r="B580" s="36"/>
      <c r="C580" s="36"/>
      <c r="D580" s="4"/>
      <c r="E580" s="4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6"/>
      <c r="B581" s="36"/>
      <c r="C581" s="36"/>
      <c r="D581" s="4"/>
      <c r="E581" s="4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6"/>
      <c r="B582" s="36"/>
      <c r="C582" s="36"/>
      <c r="D582" s="4"/>
      <c r="E582" s="4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6"/>
      <c r="B583" s="36"/>
      <c r="C583" s="36"/>
      <c r="D583" s="4"/>
      <c r="E583" s="4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6"/>
      <c r="B584" s="36"/>
      <c r="C584" s="36"/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6"/>
      <c r="B585" s="36"/>
      <c r="C585" s="36"/>
      <c r="D585" s="4"/>
      <c r="E585" s="4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6"/>
      <c r="B586" s="36"/>
      <c r="C586" s="36"/>
      <c r="D586" s="4"/>
      <c r="E586" s="4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6"/>
      <c r="B587" s="36"/>
      <c r="C587" s="36"/>
      <c r="D587" s="4"/>
      <c r="E587" s="4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6"/>
      <c r="B588" s="36"/>
      <c r="C588" s="36"/>
      <c r="D588" s="4"/>
      <c r="E588" s="4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6"/>
      <c r="B589" s="36"/>
      <c r="C589" s="36"/>
      <c r="D589" s="4"/>
      <c r="E589" s="4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6"/>
      <c r="B590" s="36"/>
      <c r="C590" s="36"/>
      <c r="D590" s="4"/>
      <c r="E590" s="4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6"/>
      <c r="B591" s="36"/>
      <c r="C591" s="36"/>
      <c r="D591" s="4"/>
      <c r="E591" s="4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6"/>
      <c r="B592" s="36"/>
      <c r="C592" s="36"/>
      <c r="D592" s="4"/>
      <c r="E592" s="4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6"/>
      <c r="B593" s="36"/>
      <c r="C593" s="36"/>
      <c r="D593" s="4"/>
      <c r="E593" s="4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6"/>
      <c r="B594" s="36"/>
      <c r="C594" s="36"/>
      <c r="D594" s="4"/>
      <c r="E594" s="4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6"/>
      <c r="B595" s="36"/>
      <c r="C595" s="36"/>
      <c r="D595" s="4"/>
      <c r="E595" s="4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6"/>
      <c r="B596" s="36"/>
      <c r="C596" s="36"/>
      <c r="D596" s="4"/>
      <c r="E596" s="4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6"/>
      <c r="B597" s="36"/>
      <c r="C597" s="36"/>
      <c r="D597" s="4"/>
      <c r="E597" s="4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6"/>
      <c r="B598" s="36"/>
      <c r="C598" s="36"/>
      <c r="D598" s="4"/>
      <c r="E598" s="4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6"/>
      <c r="B599" s="36"/>
      <c r="C599" s="36"/>
      <c r="D599" s="4"/>
      <c r="E599" s="4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6"/>
      <c r="B600" s="36"/>
      <c r="C600" s="36"/>
      <c r="D600" s="4"/>
      <c r="E600" s="4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6"/>
      <c r="B601" s="36"/>
      <c r="C601" s="36"/>
      <c r="D601" s="4"/>
      <c r="E601" s="4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6"/>
      <c r="B602" s="36"/>
      <c r="C602" s="36"/>
      <c r="D602" s="4"/>
      <c r="E602" s="4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6"/>
      <c r="B603" s="36"/>
      <c r="C603" s="36"/>
      <c r="D603" s="4"/>
      <c r="E603" s="4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6"/>
      <c r="B604" s="36"/>
      <c r="C604" s="36"/>
      <c r="D604" s="4"/>
      <c r="E604" s="4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6"/>
      <c r="B605" s="36"/>
      <c r="C605" s="36"/>
      <c r="D605" s="4"/>
      <c r="E605" s="4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6"/>
      <c r="B606" s="36"/>
      <c r="C606" s="36"/>
      <c r="D606" s="4"/>
      <c r="E606" s="4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6"/>
      <c r="B607" s="36"/>
      <c r="C607" s="36"/>
      <c r="D607" s="4"/>
      <c r="E607" s="4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6"/>
      <c r="B608" s="36"/>
      <c r="C608" s="36"/>
      <c r="D608" s="4"/>
      <c r="E608" s="4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6"/>
      <c r="B609" s="36"/>
      <c r="C609" s="36"/>
      <c r="D609" s="4"/>
      <c r="E609" s="4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6"/>
      <c r="B610" s="36"/>
      <c r="C610" s="36"/>
      <c r="D610" s="4"/>
      <c r="E610" s="4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6"/>
      <c r="B611" s="36"/>
      <c r="C611" s="36"/>
      <c r="D611" s="4"/>
      <c r="E611" s="4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6"/>
      <c r="B612" s="36"/>
      <c r="C612" s="36"/>
      <c r="D612" s="4"/>
      <c r="E612" s="4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6"/>
      <c r="B613" s="36"/>
      <c r="C613" s="36"/>
      <c r="D613" s="4"/>
      <c r="E613" s="4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6"/>
      <c r="B614" s="36"/>
      <c r="C614" s="36"/>
      <c r="D614" s="4"/>
      <c r="E614" s="4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6"/>
      <c r="B615" s="36"/>
      <c r="C615" s="36"/>
      <c r="D615" s="4"/>
      <c r="E615" s="4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6"/>
      <c r="B616" s="36"/>
      <c r="C616" s="36"/>
      <c r="D616" s="4"/>
      <c r="E616" s="4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6"/>
      <c r="B617" s="36"/>
      <c r="C617" s="36"/>
      <c r="D617" s="4"/>
      <c r="E617" s="4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6"/>
      <c r="B618" s="36"/>
      <c r="C618" s="36"/>
      <c r="D618" s="4"/>
      <c r="E618" s="4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6"/>
      <c r="B619" s="36"/>
      <c r="C619" s="36"/>
      <c r="D619" s="4"/>
      <c r="E619" s="4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6"/>
      <c r="B620" s="36"/>
      <c r="C620" s="36"/>
      <c r="D620" s="4"/>
      <c r="E620" s="4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6"/>
      <c r="B621" s="36"/>
      <c r="C621" s="36"/>
      <c r="D621" s="4"/>
      <c r="E621" s="4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6"/>
      <c r="B622" s="36"/>
      <c r="C622" s="36"/>
      <c r="D622" s="4"/>
      <c r="E622" s="4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6"/>
      <c r="B623" s="36"/>
      <c r="C623" s="36"/>
      <c r="D623" s="4"/>
      <c r="E623" s="4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6"/>
      <c r="B624" s="36"/>
      <c r="C624" s="36"/>
      <c r="D624" s="4"/>
      <c r="E624" s="4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6"/>
      <c r="B625" s="36"/>
      <c r="C625" s="36"/>
      <c r="D625" s="4"/>
      <c r="E625" s="4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6"/>
      <c r="B626" s="36"/>
      <c r="C626" s="36"/>
      <c r="D626" s="4"/>
      <c r="E626" s="4"/>
      <c r="F626" s="4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6"/>
      <c r="B627" s="36"/>
      <c r="C627" s="36"/>
      <c r="D627" s="4"/>
      <c r="E627" s="4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6"/>
      <c r="B628" s="36"/>
      <c r="C628" s="36"/>
      <c r="D628" s="4"/>
      <c r="E628" s="4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6"/>
      <c r="B629" s="36"/>
      <c r="C629" s="36"/>
      <c r="D629" s="4"/>
      <c r="E629" s="4"/>
      <c r="F629" s="4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6"/>
      <c r="B630" s="36"/>
      <c r="C630" s="36"/>
      <c r="D630" s="4"/>
      <c r="E630" s="4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6"/>
      <c r="B631" s="36"/>
      <c r="C631" s="36"/>
      <c r="D631" s="4"/>
      <c r="E631" s="4"/>
      <c r="F631" s="4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6"/>
      <c r="B632" s="36"/>
      <c r="C632" s="36"/>
      <c r="D632" s="4"/>
      <c r="E632" s="4"/>
      <c r="F632" s="4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6"/>
      <c r="B633" s="36"/>
      <c r="C633" s="36"/>
      <c r="D633" s="4"/>
      <c r="E633" s="4"/>
      <c r="F633" s="4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6"/>
      <c r="B634" s="36"/>
      <c r="C634" s="36"/>
      <c r="D634" s="4"/>
      <c r="E634" s="4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6"/>
      <c r="B635" s="36"/>
      <c r="C635" s="36"/>
      <c r="D635" s="4"/>
      <c r="E635" s="4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6"/>
      <c r="B636" s="36"/>
      <c r="C636" s="36"/>
      <c r="D636" s="4"/>
      <c r="E636" s="4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6"/>
      <c r="B637" s="36"/>
      <c r="C637" s="36"/>
      <c r="D637" s="4"/>
      <c r="E637" s="4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6"/>
      <c r="B638" s="36"/>
      <c r="C638" s="36"/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6"/>
      <c r="B639" s="36"/>
      <c r="C639" s="36"/>
      <c r="D639" s="4"/>
      <c r="E639" s="4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6"/>
      <c r="B640" s="36"/>
      <c r="C640" s="36"/>
      <c r="D640" s="4"/>
      <c r="E640" s="4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6"/>
      <c r="B641" s="36"/>
      <c r="C641" s="36"/>
      <c r="D641" s="4"/>
      <c r="E641" s="4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6"/>
      <c r="B642" s="36"/>
      <c r="C642" s="36"/>
      <c r="D642" s="4"/>
      <c r="E642" s="4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6"/>
      <c r="B643" s="36"/>
      <c r="C643" s="36"/>
      <c r="D643" s="4"/>
      <c r="E643" s="4"/>
      <c r="F643" s="4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6"/>
      <c r="B644" s="36"/>
      <c r="C644" s="36"/>
      <c r="D644" s="4"/>
      <c r="E644" s="4"/>
      <c r="F644" s="4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6"/>
      <c r="B645" s="36"/>
      <c r="C645" s="36"/>
      <c r="D645" s="4"/>
      <c r="E645" s="4"/>
      <c r="F645" s="4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6"/>
      <c r="B646" s="36"/>
      <c r="C646" s="36"/>
      <c r="D646" s="4"/>
      <c r="E646" s="4"/>
      <c r="F646" s="4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6"/>
      <c r="B647" s="36"/>
      <c r="C647" s="36"/>
      <c r="D647" s="4"/>
      <c r="E647" s="4"/>
      <c r="F647" s="4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6"/>
      <c r="B648" s="36"/>
      <c r="C648" s="36"/>
      <c r="D648" s="4"/>
      <c r="E648" s="4"/>
      <c r="F648" s="4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6"/>
      <c r="B649" s="36"/>
      <c r="C649" s="36"/>
      <c r="D649" s="4"/>
      <c r="E649" s="4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6"/>
      <c r="B650" s="36"/>
      <c r="C650" s="36"/>
      <c r="D650" s="4"/>
      <c r="E650" s="4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6"/>
      <c r="B651" s="36"/>
      <c r="C651" s="36"/>
      <c r="D651" s="4"/>
      <c r="E651" s="4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6"/>
      <c r="B652" s="36"/>
      <c r="C652" s="36"/>
      <c r="D652" s="4"/>
      <c r="E652" s="4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6"/>
      <c r="B653" s="36"/>
      <c r="C653" s="36"/>
      <c r="D653" s="4"/>
      <c r="E653" s="4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6"/>
      <c r="B654" s="36"/>
      <c r="C654" s="36"/>
      <c r="D654" s="4"/>
      <c r="E654" s="4"/>
      <c r="F654" s="4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6"/>
      <c r="B655" s="36"/>
      <c r="C655" s="36"/>
      <c r="D655" s="4"/>
      <c r="E655" s="4"/>
      <c r="F655" s="4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6"/>
      <c r="B656" s="36"/>
      <c r="C656" s="36"/>
      <c r="D656" s="4"/>
      <c r="E656" s="4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6"/>
      <c r="B657" s="36"/>
      <c r="C657" s="36"/>
      <c r="D657" s="4"/>
      <c r="E657" s="4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6"/>
      <c r="B658" s="36"/>
      <c r="C658" s="36"/>
      <c r="D658" s="4"/>
      <c r="E658" s="4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6"/>
      <c r="B659" s="36"/>
      <c r="C659" s="36"/>
      <c r="D659" s="4"/>
      <c r="E659" s="4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6"/>
      <c r="B660" s="36"/>
      <c r="C660" s="36"/>
      <c r="D660" s="4"/>
      <c r="E660" s="4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6"/>
      <c r="B661" s="36"/>
      <c r="C661" s="36"/>
      <c r="D661" s="4"/>
      <c r="E661" s="4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6"/>
      <c r="B662" s="36"/>
      <c r="C662" s="36"/>
      <c r="D662" s="4"/>
      <c r="E662" s="4"/>
      <c r="F662" s="4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6"/>
      <c r="B663" s="36"/>
      <c r="C663" s="36"/>
      <c r="D663" s="4"/>
      <c r="E663" s="4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6"/>
      <c r="B664" s="36"/>
      <c r="C664" s="36"/>
      <c r="D664" s="4"/>
      <c r="E664" s="4"/>
      <c r="F664" s="4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6"/>
      <c r="B665" s="36"/>
      <c r="C665" s="36"/>
      <c r="D665" s="4"/>
      <c r="E665" s="4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6"/>
      <c r="B666" s="36"/>
      <c r="C666" s="36"/>
      <c r="D666" s="4"/>
      <c r="E666" s="4"/>
      <c r="F666" s="4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6"/>
      <c r="B667" s="36"/>
      <c r="C667" s="36"/>
      <c r="D667" s="4"/>
      <c r="E667" s="4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6"/>
      <c r="B668" s="36"/>
      <c r="C668" s="36"/>
      <c r="D668" s="4"/>
      <c r="E668" s="4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6"/>
      <c r="B669" s="36"/>
      <c r="C669" s="36"/>
      <c r="D669" s="4"/>
      <c r="E669" s="4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6"/>
      <c r="B670" s="36"/>
      <c r="C670" s="36"/>
      <c r="D670" s="4"/>
      <c r="E670" s="4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6"/>
      <c r="B671" s="36"/>
      <c r="C671" s="36"/>
      <c r="D671" s="4"/>
      <c r="E671" s="4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6"/>
      <c r="B672" s="36"/>
      <c r="C672" s="36"/>
      <c r="D672" s="4"/>
      <c r="E672" s="4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6"/>
      <c r="B673" s="36"/>
      <c r="C673" s="36"/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6"/>
      <c r="B674" s="36"/>
      <c r="C674" s="36"/>
      <c r="D674" s="4"/>
      <c r="E674" s="4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6"/>
      <c r="B675" s="36"/>
      <c r="C675" s="36"/>
      <c r="D675" s="4"/>
      <c r="E675" s="4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6"/>
      <c r="B676" s="36"/>
      <c r="C676" s="36"/>
      <c r="D676" s="4"/>
      <c r="E676" s="4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6"/>
      <c r="B677" s="36"/>
      <c r="C677" s="36"/>
      <c r="D677" s="4"/>
      <c r="E677" s="4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6"/>
      <c r="B678" s="36"/>
      <c r="C678" s="36"/>
      <c r="D678" s="4"/>
      <c r="E678" s="4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6"/>
      <c r="B679" s="36"/>
      <c r="C679" s="36"/>
      <c r="D679" s="4"/>
      <c r="E679" s="4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6"/>
      <c r="B680" s="36"/>
      <c r="C680" s="36"/>
      <c r="D680" s="4"/>
      <c r="E680" s="4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6"/>
      <c r="B681" s="36"/>
      <c r="C681" s="36"/>
      <c r="D681" s="4"/>
      <c r="E681" s="4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6"/>
      <c r="B682" s="36"/>
      <c r="C682" s="36"/>
      <c r="D682" s="4"/>
      <c r="E682" s="4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6"/>
      <c r="B683" s="36"/>
      <c r="C683" s="36"/>
      <c r="D683" s="4"/>
      <c r="E683" s="4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6"/>
      <c r="B684" s="36"/>
      <c r="C684" s="36"/>
      <c r="D684" s="4"/>
      <c r="E684" s="4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6"/>
      <c r="B685" s="36"/>
      <c r="C685" s="36"/>
      <c r="D685" s="4"/>
      <c r="E685" s="4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6"/>
      <c r="B686" s="36"/>
      <c r="C686" s="36"/>
      <c r="D686" s="4"/>
      <c r="E686" s="4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6"/>
      <c r="B687" s="36"/>
      <c r="C687" s="36"/>
      <c r="D687" s="4"/>
      <c r="E687" s="4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6"/>
      <c r="B688" s="36"/>
      <c r="C688" s="36"/>
      <c r="D688" s="4"/>
      <c r="E688" s="4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6"/>
      <c r="B689" s="36"/>
      <c r="C689" s="36"/>
      <c r="D689" s="4"/>
      <c r="E689" s="4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6"/>
      <c r="B690" s="36"/>
      <c r="C690" s="36"/>
      <c r="D690" s="4"/>
      <c r="E690" s="4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6"/>
      <c r="B691" s="36"/>
      <c r="C691" s="36"/>
      <c r="D691" s="4"/>
      <c r="E691" s="4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6"/>
      <c r="B692" s="36"/>
      <c r="C692" s="36"/>
      <c r="D692" s="4"/>
      <c r="E692" s="4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6"/>
      <c r="B693" s="36"/>
      <c r="C693" s="36"/>
      <c r="D693" s="4"/>
      <c r="E693" s="4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6"/>
      <c r="B694" s="36"/>
      <c r="C694" s="36"/>
      <c r="D694" s="4"/>
      <c r="E694" s="4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6"/>
      <c r="B695" s="36"/>
      <c r="C695" s="36"/>
      <c r="D695" s="4"/>
      <c r="E695" s="4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6"/>
      <c r="B696" s="36"/>
      <c r="C696" s="36"/>
      <c r="D696" s="4"/>
      <c r="E696" s="4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6"/>
      <c r="B697" s="36"/>
      <c r="C697" s="36"/>
      <c r="D697" s="4"/>
      <c r="E697" s="4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6"/>
      <c r="B698" s="36"/>
      <c r="C698" s="36"/>
      <c r="D698" s="4"/>
      <c r="E698" s="4"/>
      <c r="F698" s="4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6"/>
      <c r="B699" s="36"/>
      <c r="C699" s="36"/>
      <c r="D699" s="4"/>
      <c r="E699" s="4"/>
      <c r="F699" s="4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6"/>
      <c r="B700" s="36"/>
      <c r="C700" s="36"/>
      <c r="D700" s="4"/>
      <c r="E700" s="4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6"/>
      <c r="B701" s="36"/>
      <c r="C701" s="36"/>
      <c r="D701" s="4"/>
      <c r="E701" s="4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6"/>
      <c r="B702" s="36"/>
      <c r="C702" s="36"/>
      <c r="D702" s="4"/>
      <c r="E702" s="4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6"/>
      <c r="B703" s="36"/>
      <c r="C703" s="36"/>
      <c r="D703" s="4"/>
      <c r="E703" s="4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6"/>
      <c r="B704" s="36"/>
      <c r="C704" s="36"/>
      <c r="D704" s="4"/>
      <c r="E704" s="4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6"/>
      <c r="B705" s="36"/>
      <c r="C705" s="36"/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6"/>
      <c r="B706" s="36"/>
      <c r="C706" s="36"/>
      <c r="D706" s="4"/>
      <c r="E706" s="4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6"/>
      <c r="B707" s="36"/>
      <c r="C707" s="36"/>
      <c r="D707" s="4"/>
      <c r="E707" s="4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6"/>
      <c r="B708" s="36"/>
      <c r="C708" s="36"/>
      <c r="D708" s="4"/>
      <c r="E708" s="4"/>
      <c r="F708" s="4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6"/>
      <c r="B709" s="36"/>
      <c r="C709" s="36"/>
      <c r="D709" s="4"/>
      <c r="E709" s="4"/>
      <c r="F709" s="4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6"/>
      <c r="B710" s="36"/>
      <c r="C710" s="36"/>
      <c r="D710" s="4"/>
      <c r="E710" s="4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6"/>
      <c r="B711" s="36"/>
      <c r="C711" s="36"/>
      <c r="D711" s="4"/>
      <c r="E711" s="4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6"/>
      <c r="B712" s="36"/>
      <c r="C712" s="36"/>
      <c r="D712" s="4"/>
      <c r="E712" s="4"/>
      <c r="F712" s="4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6"/>
      <c r="B713" s="36"/>
      <c r="C713" s="36"/>
      <c r="D713" s="4"/>
      <c r="E713" s="4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6"/>
      <c r="B714" s="36"/>
      <c r="C714" s="36"/>
      <c r="D714" s="4"/>
      <c r="E714" s="4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6"/>
      <c r="B715" s="36"/>
      <c r="C715" s="36"/>
      <c r="D715" s="4"/>
      <c r="E715" s="4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6"/>
      <c r="B716" s="36"/>
      <c r="C716" s="36"/>
      <c r="D716" s="4"/>
      <c r="E716" s="4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6"/>
      <c r="B717" s="36"/>
      <c r="C717" s="36"/>
      <c r="D717" s="4"/>
      <c r="E717" s="4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6"/>
      <c r="B718" s="36"/>
      <c r="C718" s="36"/>
      <c r="D718" s="4"/>
      <c r="E718" s="4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6"/>
      <c r="B719" s="36"/>
      <c r="C719" s="36"/>
      <c r="D719" s="4"/>
      <c r="E719" s="4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6"/>
      <c r="B720" s="36"/>
      <c r="C720" s="36"/>
      <c r="D720" s="4"/>
      <c r="E720" s="4"/>
      <c r="F720" s="4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6"/>
      <c r="B721" s="36"/>
      <c r="C721" s="36"/>
      <c r="D721" s="4"/>
      <c r="E721" s="4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6"/>
      <c r="B722" s="36"/>
      <c r="C722" s="36"/>
      <c r="D722" s="4"/>
      <c r="E722" s="4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6"/>
      <c r="B723" s="36"/>
      <c r="C723" s="36"/>
      <c r="D723" s="4"/>
      <c r="E723" s="4"/>
      <c r="F723" s="4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6"/>
      <c r="B724" s="36"/>
      <c r="C724" s="36"/>
      <c r="D724" s="4"/>
      <c r="E724" s="4"/>
      <c r="F724" s="4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6"/>
      <c r="B725" s="36"/>
      <c r="C725" s="36"/>
      <c r="D725" s="4"/>
      <c r="E725" s="4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6"/>
      <c r="B726" s="36"/>
      <c r="C726" s="36"/>
      <c r="D726" s="4"/>
      <c r="E726" s="4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6"/>
      <c r="B727" s="36"/>
      <c r="C727" s="36"/>
      <c r="D727" s="4"/>
      <c r="E727" s="4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6"/>
      <c r="B728" s="36"/>
      <c r="C728" s="36"/>
      <c r="D728" s="4"/>
      <c r="E728" s="4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6"/>
      <c r="B729" s="36"/>
      <c r="C729" s="36"/>
      <c r="D729" s="4"/>
      <c r="E729" s="4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6"/>
      <c r="B730" s="36"/>
      <c r="C730" s="36"/>
      <c r="D730" s="4"/>
      <c r="E730" s="4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6"/>
      <c r="B731" s="36"/>
      <c r="C731" s="36"/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6"/>
      <c r="B732" s="36"/>
      <c r="C732" s="36"/>
      <c r="D732" s="4"/>
      <c r="E732" s="4"/>
      <c r="F732" s="4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6"/>
      <c r="B733" s="36"/>
      <c r="C733" s="36"/>
      <c r="D733" s="4"/>
      <c r="E733" s="4"/>
      <c r="F733" s="4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6"/>
      <c r="B734" s="36"/>
      <c r="C734" s="36"/>
      <c r="D734" s="4"/>
      <c r="E734" s="4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6"/>
      <c r="B735" s="36"/>
      <c r="C735" s="36"/>
      <c r="D735" s="4"/>
      <c r="E735" s="4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6"/>
      <c r="B736" s="36"/>
      <c r="C736" s="36"/>
      <c r="D736" s="4"/>
      <c r="E736" s="4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6"/>
      <c r="B737" s="36"/>
      <c r="C737" s="36"/>
      <c r="D737" s="4"/>
      <c r="E737" s="4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6"/>
      <c r="B738" s="36"/>
      <c r="C738" s="36"/>
      <c r="D738" s="4"/>
      <c r="E738" s="4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6"/>
      <c r="B739" s="36"/>
      <c r="C739" s="36"/>
      <c r="D739" s="4"/>
      <c r="E739" s="4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6"/>
      <c r="B740" s="36"/>
      <c r="C740" s="36"/>
      <c r="D740" s="4"/>
      <c r="E740" s="4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6"/>
      <c r="B741" s="36"/>
      <c r="C741" s="36"/>
      <c r="D741" s="4"/>
      <c r="E741" s="4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6"/>
      <c r="B742" s="36"/>
      <c r="C742" s="36"/>
      <c r="D742" s="4"/>
      <c r="E742" s="4"/>
      <c r="F742" s="4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6"/>
      <c r="B743" s="36"/>
      <c r="C743" s="36"/>
      <c r="D743" s="4"/>
      <c r="E743" s="4"/>
      <c r="F743" s="4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6"/>
      <c r="B744" s="36"/>
      <c r="C744" s="36"/>
      <c r="D744" s="4"/>
      <c r="E744" s="4"/>
      <c r="F744" s="4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6"/>
      <c r="B745" s="36"/>
      <c r="C745" s="36"/>
      <c r="D745" s="4"/>
      <c r="E745" s="4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6"/>
      <c r="B746" s="36"/>
      <c r="C746" s="36"/>
      <c r="D746" s="4"/>
      <c r="E746" s="4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6"/>
      <c r="B747" s="36"/>
      <c r="C747" s="36"/>
      <c r="D747" s="4"/>
      <c r="E747" s="4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6"/>
      <c r="B748" s="36"/>
      <c r="C748" s="36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6"/>
      <c r="B749" s="36"/>
      <c r="C749" s="36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6"/>
      <c r="B750" s="36"/>
      <c r="C750" s="36"/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6"/>
      <c r="B751" s="36"/>
      <c r="C751" s="36"/>
      <c r="D751" s="4"/>
      <c r="E751" s="4"/>
      <c r="F751" s="4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6"/>
      <c r="B752" s="36"/>
      <c r="C752" s="36"/>
      <c r="D752" s="4"/>
      <c r="E752" s="4"/>
      <c r="F752" s="4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6"/>
      <c r="B753" s="36"/>
      <c r="C753" s="36"/>
      <c r="D753" s="4"/>
      <c r="E753" s="4"/>
      <c r="F753" s="4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6"/>
      <c r="B754" s="36"/>
      <c r="C754" s="36"/>
      <c r="D754" s="4"/>
      <c r="E754" s="4"/>
      <c r="F754" s="4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6"/>
      <c r="B755" s="36"/>
      <c r="C755" s="36"/>
      <c r="D755" s="4"/>
      <c r="E755" s="4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6"/>
      <c r="B756" s="36"/>
      <c r="C756" s="36"/>
      <c r="D756" s="4"/>
      <c r="E756" s="4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6"/>
      <c r="B757" s="36"/>
      <c r="C757" s="36"/>
      <c r="D757" s="4"/>
      <c r="E757" s="4"/>
      <c r="F757" s="4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6"/>
      <c r="B758" s="36"/>
      <c r="C758" s="36"/>
      <c r="D758" s="4"/>
      <c r="E758" s="4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6"/>
      <c r="B759" s="36"/>
      <c r="C759" s="36"/>
      <c r="D759" s="4"/>
      <c r="E759" s="4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6"/>
      <c r="B760" s="36"/>
      <c r="C760" s="36"/>
      <c r="D760" s="4"/>
      <c r="E760" s="4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6"/>
      <c r="B761" s="36"/>
      <c r="C761" s="36"/>
      <c r="D761" s="4"/>
      <c r="E761" s="4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6"/>
      <c r="B762" s="36"/>
      <c r="C762" s="36"/>
      <c r="D762" s="4"/>
      <c r="E762" s="4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6"/>
      <c r="B763" s="36"/>
      <c r="C763" s="36"/>
      <c r="D763" s="4"/>
      <c r="E763" s="4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6"/>
      <c r="B764" s="36"/>
      <c r="C764" s="36"/>
      <c r="D764" s="4"/>
      <c r="E764" s="4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6"/>
      <c r="B765" s="36"/>
      <c r="C765" s="36"/>
      <c r="D765" s="4"/>
      <c r="E765" s="4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6"/>
      <c r="B766" s="36"/>
      <c r="C766" s="36"/>
      <c r="D766" s="4"/>
      <c r="E766" s="4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6"/>
      <c r="B767" s="36"/>
      <c r="C767" s="36"/>
      <c r="D767" s="4"/>
      <c r="E767" s="4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6"/>
      <c r="B768" s="36"/>
      <c r="C768" s="36"/>
      <c r="D768" s="4"/>
      <c r="E768" s="4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6"/>
      <c r="B769" s="36"/>
      <c r="C769" s="36"/>
      <c r="D769" s="4"/>
      <c r="E769" s="4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6"/>
      <c r="B770" s="36"/>
      <c r="C770" s="36"/>
      <c r="D770" s="4"/>
      <c r="E770" s="4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6"/>
      <c r="B771" s="36"/>
      <c r="C771" s="36"/>
      <c r="D771" s="4"/>
      <c r="E771" s="4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6"/>
      <c r="B772" s="36"/>
      <c r="C772" s="36"/>
      <c r="D772" s="4"/>
      <c r="E772" s="4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6"/>
      <c r="B773" s="36"/>
      <c r="C773" s="36"/>
      <c r="D773" s="4"/>
      <c r="E773" s="4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6"/>
      <c r="B774" s="36"/>
      <c r="C774" s="36"/>
      <c r="D774" s="4"/>
      <c r="E774" s="4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6"/>
      <c r="B775" s="36"/>
      <c r="C775" s="36"/>
      <c r="D775" s="4"/>
      <c r="E775" s="4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6"/>
      <c r="B776" s="36"/>
      <c r="C776" s="36"/>
      <c r="D776" s="4"/>
      <c r="E776" s="4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6"/>
      <c r="B777" s="36"/>
      <c r="C777" s="36"/>
      <c r="D777" s="4"/>
      <c r="E777" s="4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6"/>
      <c r="B778" s="36"/>
      <c r="C778" s="36"/>
      <c r="D778" s="4"/>
      <c r="E778" s="4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6"/>
      <c r="B779" s="36"/>
      <c r="C779" s="36"/>
      <c r="D779" s="4"/>
      <c r="E779" s="4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6"/>
      <c r="B780" s="36"/>
      <c r="C780" s="36"/>
      <c r="D780" s="4"/>
      <c r="E780" s="4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6"/>
      <c r="B781" s="36"/>
      <c r="C781" s="36"/>
      <c r="D781" s="4"/>
      <c r="E781" s="4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6"/>
      <c r="B782" s="36"/>
      <c r="C782" s="36"/>
      <c r="D782" s="4"/>
      <c r="E782" s="4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6"/>
      <c r="B783" s="36"/>
      <c r="C783" s="36"/>
      <c r="D783" s="4"/>
      <c r="E783" s="4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6"/>
      <c r="B784" s="36"/>
      <c r="C784" s="36"/>
      <c r="D784" s="4"/>
      <c r="E784" s="4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6"/>
      <c r="B785" s="36"/>
      <c r="C785" s="36"/>
      <c r="D785" s="4"/>
      <c r="E785" s="4"/>
      <c r="F785" s="4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6"/>
      <c r="B786" s="36"/>
      <c r="C786" s="36"/>
      <c r="D786" s="4"/>
      <c r="E786" s="4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6"/>
      <c r="B787" s="36"/>
      <c r="C787" s="36"/>
      <c r="D787" s="4"/>
      <c r="E787" s="4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6"/>
      <c r="B788" s="36"/>
      <c r="C788" s="36"/>
      <c r="D788" s="4"/>
      <c r="E788" s="4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6"/>
      <c r="B789" s="36"/>
      <c r="C789" s="36"/>
      <c r="D789" s="4"/>
      <c r="E789" s="4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6"/>
      <c r="B790" s="36"/>
      <c r="C790" s="36"/>
      <c r="D790" s="4"/>
      <c r="E790" s="4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6"/>
      <c r="B791" s="36"/>
      <c r="C791" s="36"/>
      <c r="D791" s="4"/>
      <c r="E791" s="4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6"/>
      <c r="B792" s="36"/>
      <c r="C792" s="36"/>
      <c r="D792" s="4"/>
      <c r="E792" s="4"/>
      <c r="F792" s="4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6"/>
      <c r="B793" s="36"/>
      <c r="C793" s="36"/>
      <c r="D793" s="4"/>
      <c r="E793" s="4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6"/>
      <c r="B794" s="36"/>
      <c r="C794" s="36"/>
      <c r="D794" s="4"/>
      <c r="E794" s="4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6"/>
      <c r="B795" s="36"/>
      <c r="C795" s="36"/>
      <c r="D795" s="4"/>
      <c r="E795" s="4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6"/>
      <c r="B796" s="36"/>
      <c r="C796" s="36"/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6"/>
      <c r="B797" s="36"/>
      <c r="C797" s="36"/>
      <c r="D797" s="4"/>
      <c r="E797" s="4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6"/>
      <c r="B798" s="36"/>
      <c r="C798" s="36"/>
      <c r="D798" s="4"/>
      <c r="E798" s="4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6"/>
      <c r="B799" s="36"/>
      <c r="C799" s="36"/>
      <c r="D799" s="4"/>
      <c r="E799" s="4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6"/>
      <c r="B800" s="36"/>
      <c r="C800" s="36"/>
      <c r="D800" s="4"/>
      <c r="E800" s="4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6"/>
      <c r="B801" s="36"/>
      <c r="C801" s="36"/>
      <c r="D801" s="4"/>
      <c r="E801" s="4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6"/>
      <c r="B802" s="36"/>
      <c r="C802" s="36"/>
      <c r="D802" s="4"/>
      <c r="E802" s="4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6"/>
      <c r="B803" s="36"/>
      <c r="C803" s="36"/>
      <c r="D803" s="4"/>
      <c r="E803" s="4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6"/>
      <c r="B804" s="36"/>
      <c r="C804" s="36"/>
      <c r="D804" s="4"/>
      <c r="E804" s="4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6"/>
      <c r="B805" s="36"/>
      <c r="C805" s="36"/>
      <c r="D805" s="4"/>
      <c r="E805" s="4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6"/>
      <c r="B806" s="36"/>
      <c r="C806" s="36"/>
      <c r="D806" s="4"/>
      <c r="E806" s="4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6"/>
      <c r="B807" s="36"/>
      <c r="C807" s="36"/>
      <c r="D807" s="4"/>
      <c r="E807" s="4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6"/>
      <c r="B808" s="36"/>
      <c r="C808" s="36"/>
      <c r="D808" s="4"/>
      <c r="E808" s="4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6"/>
      <c r="B809" s="36"/>
      <c r="C809" s="36"/>
      <c r="D809" s="4"/>
      <c r="E809" s="4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6"/>
      <c r="B810" s="36"/>
      <c r="C810" s="36"/>
      <c r="D810" s="4"/>
      <c r="E810" s="4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6"/>
      <c r="B811" s="36"/>
      <c r="C811" s="36"/>
      <c r="D811" s="4"/>
      <c r="E811" s="4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6"/>
      <c r="B812" s="36"/>
      <c r="C812" s="36"/>
      <c r="D812" s="4"/>
      <c r="E812" s="4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6"/>
      <c r="B813" s="36"/>
      <c r="C813" s="36"/>
      <c r="D813" s="4"/>
      <c r="E813" s="4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6"/>
      <c r="B814" s="36"/>
      <c r="C814" s="36"/>
      <c r="D814" s="4"/>
      <c r="E814" s="4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6"/>
      <c r="B815" s="36"/>
      <c r="C815" s="36"/>
      <c r="D815" s="4"/>
      <c r="E815" s="4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6"/>
      <c r="B816" s="36"/>
      <c r="C816" s="36"/>
      <c r="D816" s="4"/>
      <c r="E816" s="4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6"/>
      <c r="B817" s="36"/>
      <c r="C817" s="36"/>
      <c r="D817" s="4"/>
      <c r="E817" s="4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6"/>
      <c r="B818" s="36"/>
      <c r="C818" s="36"/>
      <c r="D818" s="4"/>
      <c r="E818" s="4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6"/>
      <c r="B819" s="36"/>
      <c r="C819" s="36"/>
      <c r="D819" s="4"/>
      <c r="E819" s="4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6"/>
      <c r="B820" s="36"/>
      <c r="C820" s="36"/>
      <c r="D820" s="4"/>
      <c r="E820" s="4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6"/>
      <c r="B821" s="36"/>
      <c r="C821" s="36"/>
      <c r="D821" s="4"/>
      <c r="E821" s="4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6"/>
      <c r="B822" s="36"/>
      <c r="C822" s="36"/>
      <c r="D822" s="4"/>
      <c r="E822" s="4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6"/>
      <c r="B823" s="36"/>
      <c r="C823" s="36"/>
      <c r="D823" s="4"/>
      <c r="E823" s="4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36"/>
      <c r="B824" s="36"/>
      <c r="C824" s="36"/>
      <c r="D824" s="4"/>
      <c r="E824" s="4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36"/>
      <c r="B825" s="36"/>
      <c r="C825" s="36"/>
      <c r="D825" s="4"/>
      <c r="E825" s="4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36"/>
      <c r="B826" s="36"/>
      <c r="C826" s="36"/>
      <c r="D826" s="4"/>
      <c r="E826" s="4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36"/>
      <c r="B827" s="36"/>
      <c r="C827" s="36"/>
      <c r="D827" s="4"/>
      <c r="E827" s="4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36"/>
      <c r="B828" s="36"/>
      <c r="C828" s="36"/>
      <c r="D828" s="4"/>
      <c r="E828" s="4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36"/>
      <c r="B829" s="36"/>
      <c r="C829" s="36"/>
      <c r="D829" s="4"/>
      <c r="E829" s="4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36"/>
      <c r="B830" s="36"/>
      <c r="C830" s="36"/>
      <c r="D830" s="4"/>
      <c r="E830" s="4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36"/>
      <c r="B831" s="36"/>
      <c r="C831" s="36"/>
      <c r="D831" s="4"/>
      <c r="E831" s="4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36"/>
      <c r="B832" s="36"/>
      <c r="C832" s="36"/>
      <c r="D832" s="4"/>
      <c r="E832" s="4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36"/>
      <c r="B833" s="36"/>
      <c r="C833" s="36"/>
      <c r="D833" s="4"/>
      <c r="E833" s="4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36"/>
      <c r="B834" s="36"/>
      <c r="C834" s="36"/>
      <c r="D834" s="4"/>
      <c r="E834" s="4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36"/>
      <c r="B835" s="36"/>
      <c r="C835" s="36"/>
      <c r="D835" s="4"/>
      <c r="E835" s="4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36"/>
      <c r="B836" s="36"/>
      <c r="C836" s="36"/>
      <c r="D836" s="4"/>
      <c r="E836" s="4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36"/>
      <c r="B837" s="36"/>
      <c r="C837" s="36"/>
      <c r="D837" s="4"/>
      <c r="E837" s="4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36"/>
      <c r="B838" s="36"/>
      <c r="C838" s="36"/>
      <c r="D838" s="4"/>
      <c r="E838" s="4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36"/>
      <c r="B839" s="36"/>
      <c r="C839" s="36"/>
      <c r="D839" s="4"/>
      <c r="E839" s="4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36"/>
      <c r="B840" s="36"/>
      <c r="C840" s="36"/>
      <c r="D840" s="4"/>
      <c r="E840" s="4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36"/>
      <c r="B841" s="36"/>
      <c r="C841" s="36"/>
      <c r="D841" s="4"/>
      <c r="E841" s="4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36"/>
      <c r="B842" s="36"/>
      <c r="C842" s="36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36"/>
      <c r="B843" s="36"/>
      <c r="C843" s="36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36"/>
      <c r="B844" s="36"/>
      <c r="C844" s="36"/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36"/>
      <c r="B845" s="36"/>
      <c r="C845" s="36"/>
      <c r="D845" s="4"/>
      <c r="E845" s="4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36"/>
      <c r="B846" s="36"/>
      <c r="C846" s="36"/>
      <c r="D846" s="4"/>
      <c r="E846" s="4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36"/>
      <c r="B847" s="36"/>
      <c r="C847" s="36"/>
      <c r="D847" s="4"/>
      <c r="E847" s="4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36"/>
      <c r="B848" s="36"/>
      <c r="C848" s="36"/>
      <c r="D848" s="4"/>
      <c r="E848" s="4"/>
      <c r="F848" s="4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36"/>
      <c r="B849" s="36"/>
      <c r="C849" s="36"/>
      <c r="D849" s="4"/>
      <c r="E849" s="4"/>
      <c r="F849" s="4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36"/>
      <c r="B850" s="36"/>
      <c r="C850" s="36"/>
      <c r="D850" s="4"/>
      <c r="E850" s="4"/>
      <c r="F850" s="4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36"/>
      <c r="B851" s="36"/>
      <c r="C851" s="36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36"/>
      <c r="B852" s="36"/>
      <c r="C852" s="36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36"/>
      <c r="B853" s="36"/>
      <c r="C853" s="36"/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36"/>
      <c r="B854" s="36"/>
      <c r="C854" s="36"/>
      <c r="D854" s="4"/>
      <c r="E854" s="4"/>
      <c r="F854" s="4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36"/>
      <c r="B855" s="36"/>
      <c r="C855" s="36"/>
      <c r="D855" s="4"/>
      <c r="E855" s="4"/>
      <c r="F855" s="4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36"/>
      <c r="B856" s="36"/>
      <c r="C856" s="36"/>
      <c r="D856" s="4"/>
      <c r="E856" s="4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36"/>
      <c r="B857" s="36"/>
      <c r="C857" s="36"/>
      <c r="D857" s="4"/>
      <c r="E857" s="4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36"/>
      <c r="B858" s="36"/>
      <c r="C858" s="36"/>
      <c r="D858" s="4"/>
      <c r="E858" s="4"/>
      <c r="F858" s="4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36"/>
      <c r="B859" s="36"/>
      <c r="C859" s="36"/>
      <c r="D859" s="4"/>
      <c r="E859" s="4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36"/>
      <c r="B860" s="36"/>
      <c r="C860" s="36"/>
      <c r="D860" s="4"/>
      <c r="E860" s="4"/>
      <c r="F860" s="4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36"/>
      <c r="B861" s="36"/>
      <c r="C861" s="36"/>
      <c r="D861" s="4"/>
      <c r="E861" s="4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36"/>
      <c r="B862" s="36"/>
      <c r="C862" s="36"/>
      <c r="D862" s="4"/>
      <c r="E862" s="4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36"/>
      <c r="B863" s="36"/>
      <c r="C863" s="36"/>
      <c r="D863" s="4"/>
      <c r="E863" s="4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36"/>
      <c r="B864" s="36"/>
      <c r="C864" s="36"/>
      <c r="D864" s="4"/>
      <c r="E864" s="4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36"/>
      <c r="B865" s="36"/>
      <c r="C865" s="36"/>
      <c r="D865" s="4"/>
      <c r="E865" s="4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36"/>
      <c r="B866" s="36"/>
      <c r="C866" s="36"/>
      <c r="D866" s="4"/>
      <c r="E866" s="4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36"/>
      <c r="B867" s="36"/>
      <c r="C867" s="36"/>
      <c r="D867" s="4"/>
      <c r="E867" s="4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36"/>
      <c r="B868" s="36"/>
      <c r="C868" s="36"/>
      <c r="D868" s="4"/>
      <c r="E868" s="4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36"/>
      <c r="B869" s="36"/>
      <c r="C869" s="36"/>
      <c r="D869" s="4"/>
      <c r="E869" s="4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36"/>
      <c r="B870" s="36"/>
      <c r="C870" s="36"/>
      <c r="D870" s="4"/>
      <c r="E870" s="4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36"/>
      <c r="B871" s="36"/>
      <c r="C871" s="36"/>
      <c r="D871" s="4"/>
      <c r="E871" s="4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36"/>
      <c r="B872" s="36"/>
      <c r="C872" s="36"/>
      <c r="D872" s="4"/>
      <c r="E872" s="4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36"/>
      <c r="B873" s="36"/>
      <c r="C873" s="36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36"/>
      <c r="B874" s="36"/>
      <c r="C874" s="36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36"/>
      <c r="B875" s="36"/>
      <c r="C875" s="36"/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36"/>
      <c r="B876" s="36"/>
      <c r="C876" s="36"/>
      <c r="D876" s="4"/>
      <c r="E876" s="4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36"/>
      <c r="B877" s="36"/>
      <c r="C877" s="36"/>
      <c r="D877" s="4"/>
      <c r="E877" s="4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36"/>
      <c r="B878" s="36"/>
      <c r="C878" s="36"/>
      <c r="D878" s="4"/>
      <c r="E878" s="4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36"/>
      <c r="B879" s="36"/>
      <c r="C879" s="36"/>
      <c r="D879" s="4"/>
      <c r="E879" s="4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36"/>
      <c r="B880" s="36"/>
      <c r="C880" s="36"/>
      <c r="D880" s="4"/>
      <c r="E880" s="4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36"/>
      <c r="B881" s="36"/>
      <c r="C881" s="36"/>
      <c r="D881" s="4"/>
      <c r="E881" s="4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36"/>
      <c r="B882" s="36"/>
      <c r="C882" s="36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36"/>
      <c r="B883" s="36"/>
      <c r="C883" s="36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36"/>
      <c r="B884" s="36"/>
      <c r="C884" s="36"/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36"/>
      <c r="B885" s="36"/>
      <c r="C885" s="36"/>
      <c r="D885" s="4"/>
      <c r="E885" s="4"/>
      <c r="F885" s="4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36"/>
      <c r="B886" s="36"/>
      <c r="C886" s="36"/>
      <c r="D886" s="4"/>
      <c r="E886" s="4"/>
      <c r="F886" s="4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36"/>
      <c r="B887" s="36"/>
      <c r="C887" s="36"/>
      <c r="D887" s="4"/>
      <c r="E887" s="4"/>
      <c r="F887" s="4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36"/>
      <c r="B888" s="36"/>
      <c r="C888" s="36"/>
      <c r="D888" s="4"/>
      <c r="E888" s="4"/>
      <c r="F888" s="4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36"/>
      <c r="B889" s="36"/>
      <c r="C889" s="36"/>
      <c r="D889" s="4"/>
      <c r="E889" s="4"/>
      <c r="F889" s="4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36"/>
      <c r="B890" s="36"/>
      <c r="C890" s="36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36"/>
      <c r="B891" s="36"/>
      <c r="C891" s="36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36"/>
      <c r="B892" s="36"/>
      <c r="C892" s="36"/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36"/>
      <c r="B893" s="36"/>
      <c r="C893" s="36"/>
      <c r="D893" s="4"/>
      <c r="E893" s="4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36"/>
      <c r="B894" s="36"/>
      <c r="C894" s="36"/>
      <c r="D894" s="4"/>
      <c r="E894" s="4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36"/>
      <c r="B895" s="36"/>
      <c r="C895" s="36"/>
      <c r="D895" s="4"/>
      <c r="E895" s="4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36"/>
      <c r="B896" s="36"/>
      <c r="C896" s="36"/>
      <c r="D896" s="4"/>
      <c r="E896" s="4"/>
      <c r="F896" s="4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36"/>
      <c r="B897" s="36"/>
      <c r="C897" s="36"/>
      <c r="D897" s="4"/>
      <c r="E897" s="4"/>
      <c r="F897" s="4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36"/>
      <c r="B898" s="36"/>
      <c r="C898" s="36"/>
      <c r="D898" s="4"/>
      <c r="E898" s="4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36"/>
      <c r="B899" s="36"/>
      <c r="C899" s="36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36"/>
      <c r="B900" s="36"/>
      <c r="C900" s="36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36"/>
      <c r="B901" s="36"/>
      <c r="C901" s="36"/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36"/>
      <c r="B902" s="36"/>
      <c r="C902" s="36"/>
      <c r="D902" s="4"/>
      <c r="E902" s="4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36"/>
      <c r="B903" s="36"/>
      <c r="C903" s="36"/>
      <c r="D903" s="4"/>
      <c r="E903" s="4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36"/>
      <c r="B904" s="36"/>
      <c r="C904" s="36"/>
      <c r="D904" s="4"/>
      <c r="E904" s="4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36"/>
      <c r="B905" s="36"/>
      <c r="C905" s="36"/>
      <c r="D905" s="4"/>
      <c r="E905" s="4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36"/>
      <c r="B906" s="36"/>
      <c r="C906" s="36"/>
      <c r="D906" s="4"/>
      <c r="E906" s="4"/>
      <c r="F906" s="4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36"/>
      <c r="B907" s="36"/>
      <c r="C907" s="36"/>
      <c r="D907" s="4"/>
      <c r="E907" s="4"/>
      <c r="F907" s="4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36"/>
      <c r="B908" s="36"/>
      <c r="C908" s="36"/>
      <c r="D908" s="4"/>
      <c r="E908" s="4"/>
      <c r="F908" s="4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36"/>
      <c r="B909" s="36"/>
      <c r="C909" s="36"/>
      <c r="D909" s="4"/>
      <c r="E909" s="4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36"/>
      <c r="B910" s="36"/>
      <c r="C910" s="36"/>
      <c r="D910" s="4"/>
      <c r="E910" s="4"/>
      <c r="F910" s="4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36"/>
      <c r="B911" s="36"/>
      <c r="C911" s="36"/>
      <c r="D911" s="4"/>
      <c r="E911" s="4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36"/>
      <c r="B912" s="36"/>
      <c r="C912" s="36"/>
      <c r="D912" s="4"/>
      <c r="E912" s="4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36"/>
      <c r="B913" s="36"/>
      <c r="C913" s="36"/>
      <c r="D913" s="4"/>
      <c r="E913" s="4"/>
      <c r="F913" s="4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36"/>
      <c r="B914" s="36"/>
      <c r="C914" s="36"/>
      <c r="D914" s="4"/>
      <c r="E914" s="4"/>
      <c r="F914" s="4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36"/>
      <c r="B915" s="36"/>
      <c r="C915" s="36"/>
      <c r="D915" s="4"/>
      <c r="E915" s="4"/>
      <c r="F915" s="4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36"/>
      <c r="B916" s="36"/>
      <c r="C916" s="36"/>
      <c r="D916" s="4"/>
      <c r="E916" s="4"/>
      <c r="F916" s="4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36"/>
      <c r="B917" s="36"/>
      <c r="C917" s="36"/>
      <c r="D917" s="4"/>
      <c r="E917" s="4"/>
      <c r="F917" s="4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36"/>
      <c r="B918" s="36"/>
      <c r="C918" s="36"/>
      <c r="D918" s="4"/>
      <c r="E918" s="4"/>
      <c r="F918" s="4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36"/>
      <c r="B919" s="36"/>
      <c r="C919" s="36"/>
      <c r="D919" s="4"/>
      <c r="E919" s="4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36"/>
      <c r="B920" s="36"/>
      <c r="C920" s="36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36"/>
      <c r="B921" s="36"/>
      <c r="C921" s="36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36"/>
      <c r="B922" s="36"/>
      <c r="C922" s="36"/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36"/>
      <c r="B923" s="36"/>
      <c r="C923" s="36"/>
      <c r="D923" s="4"/>
      <c r="E923" s="4"/>
      <c r="F923" s="4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36"/>
      <c r="B924" s="36"/>
      <c r="C924" s="36"/>
      <c r="D924" s="4"/>
      <c r="E924" s="4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36"/>
      <c r="B925" s="36"/>
      <c r="C925" s="36"/>
      <c r="D925" s="4"/>
      <c r="E925" s="4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36"/>
      <c r="B926" s="36"/>
      <c r="C926" s="36"/>
      <c r="D926" s="4"/>
      <c r="E926" s="4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36"/>
      <c r="B927" s="36"/>
      <c r="C927" s="36"/>
      <c r="D927" s="4"/>
      <c r="E927" s="4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36"/>
      <c r="B928" s="36"/>
      <c r="C928" s="36"/>
      <c r="D928" s="4"/>
      <c r="E928" s="4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36"/>
      <c r="B929" s="36"/>
      <c r="C929" s="36"/>
      <c r="D929" s="4"/>
      <c r="E929" s="4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36"/>
      <c r="B930" s="36"/>
      <c r="C930" s="36"/>
      <c r="D930" s="4"/>
      <c r="E930" s="4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36"/>
      <c r="B931" s="36"/>
      <c r="C931" s="36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36"/>
      <c r="B932" s="36"/>
      <c r="C932" s="36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36"/>
      <c r="B933" s="36"/>
      <c r="C933" s="36"/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36"/>
      <c r="B934" s="36"/>
      <c r="C934" s="36"/>
      <c r="D934" s="4"/>
      <c r="E934" s="4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36"/>
      <c r="B935" s="36"/>
      <c r="C935" s="36"/>
      <c r="D935" s="4"/>
      <c r="E935" s="4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36"/>
      <c r="B936" s="36"/>
      <c r="C936" s="36"/>
      <c r="D936" s="4"/>
      <c r="E936" s="4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36"/>
      <c r="B937" s="36"/>
      <c r="C937" s="36"/>
      <c r="D937" s="4"/>
      <c r="E937" s="4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36"/>
      <c r="B938" s="36"/>
      <c r="C938" s="36"/>
      <c r="D938" s="4"/>
      <c r="E938" s="4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36"/>
      <c r="B939" s="36"/>
      <c r="C939" s="36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36"/>
      <c r="B940" s="36"/>
      <c r="C940" s="36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36"/>
      <c r="B941" s="36"/>
      <c r="C941" s="36"/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36"/>
      <c r="B942" s="36"/>
      <c r="C942" s="36"/>
      <c r="D942" s="4"/>
      <c r="E942" s="4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36"/>
      <c r="B943" s="36"/>
      <c r="C943" s="36"/>
      <c r="D943" s="4"/>
      <c r="E943" s="4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36"/>
      <c r="B944" s="36"/>
      <c r="C944" s="36"/>
      <c r="D944" s="4"/>
      <c r="E944" s="4"/>
      <c r="F944" s="4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36"/>
      <c r="B945" s="36"/>
      <c r="C945" s="36"/>
      <c r="D945" s="4"/>
      <c r="E945" s="4"/>
      <c r="F945" s="4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36"/>
      <c r="B946" s="36"/>
      <c r="C946" s="36"/>
      <c r="D946" s="4"/>
      <c r="E946" s="4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36"/>
      <c r="B947" s="36"/>
      <c r="C947" s="36"/>
      <c r="D947" s="4"/>
      <c r="E947" s="4"/>
      <c r="F947" s="4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36"/>
      <c r="B948" s="36"/>
      <c r="C948" s="36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36"/>
      <c r="B949" s="36"/>
      <c r="C949" s="36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36"/>
      <c r="B950" s="36"/>
      <c r="C950" s="36"/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36"/>
      <c r="B951" s="36"/>
      <c r="C951" s="36"/>
      <c r="D951" s="4"/>
      <c r="E951" s="4"/>
      <c r="F951" s="4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36"/>
      <c r="B952" s="36"/>
      <c r="C952" s="36"/>
      <c r="D952" s="4"/>
      <c r="E952" s="4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36"/>
      <c r="B953" s="36"/>
      <c r="C953" s="36"/>
      <c r="D953" s="4"/>
      <c r="E953" s="4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36"/>
      <c r="B954" s="36"/>
      <c r="C954" s="36"/>
      <c r="D954" s="4"/>
      <c r="E954" s="4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36"/>
      <c r="B955" s="36"/>
      <c r="C955" s="36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36"/>
      <c r="B956" s="36"/>
      <c r="C956" s="36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36"/>
      <c r="B957" s="36"/>
      <c r="C957" s="36"/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36"/>
      <c r="B958" s="36"/>
      <c r="C958" s="36"/>
      <c r="D958" s="4"/>
      <c r="E958" s="4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36"/>
      <c r="B959" s="36"/>
      <c r="C959" s="36"/>
      <c r="D959" s="4"/>
      <c r="E959" s="4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36"/>
      <c r="B960" s="36"/>
      <c r="C960" s="36"/>
      <c r="D960" s="4"/>
      <c r="E960" s="4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36"/>
      <c r="B961" s="36"/>
      <c r="C961" s="36"/>
      <c r="D961" s="4"/>
      <c r="E961" s="4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36"/>
      <c r="B962" s="36"/>
      <c r="C962" s="36"/>
      <c r="D962" s="4"/>
      <c r="E962" s="4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36"/>
      <c r="B963" s="36"/>
      <c r="C963" s="36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36"/>
      <c r="B964" s="36"/>
      <c r="C964" s="36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36"/>
      <c r="B965" s="36"/>
      <c r="C965" s="36"/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36"/>
      <c r="B966" s="36"/>
      <c r="C966" s="36"/>
      <c r="D966" s="4"/>
      <c r="E966" s="4"/>
      <c r="F966" s="4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36"/>
      <c r="B967" s="36"/>
      <c r="C967" s="36"/>
      <c r="D967" s="4"/>
      <c r="E967" s="4"/>
      <c r="F967" s="4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36"/>
      <c r="B968" s="36"/>
      <c r="C968" s="36"/>
      <c r="D968" s="4"/>
      <c r="E968" s="4"/>
      <c r="F968" s="4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36"/>
      <c r="B969" s="36"/>
      <c r="C969" s="36"/>
      <c r="D969" s="4"/>
      <c r="E969" s="4"/>
      <c r="F969" s="4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36"/>
      <c r="B970" s="36"/>
      <c r="C970" s="36"/>
      <c r="D970" s="4"/>
      <c r="E970" s="4"/>
      <c r="F970" s="4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36"/>
      <c r="B971" s="36"/>
      <c r="C971" s="36"/>
      <c r="D971" s="4"/>
      <c r="E971" s="4"/>
      <c r="F971" s="4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36"/>
      <c r="B972" s="36"/>
      <c r="C972" s="36"/>
      <c r="D972" s="4"/>
      <c r="E972" s="4"/>
      <c r="F972" s="4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36"/>
      <c r="B973" s="36"/>
      <c r="C973" s="36"/>
      <c r="D973" s="4"/>
      <c r="E973" s="4"/>
      <c r="F973" s="4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36"/>
      <c r="B974" s="36"/>
      <c r="C974" s="36"/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36"/>
      <c r="B975" s="36"/>
      <c r="C975" s="36"/>
      <c r="D975" s="4"/>
      <c r="E975" s="4"/>
      <c r="F975" s="4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36"/>
      <c r="B976" s="36"/>
      <c r="C976" s="36"/>
      <c r="D976" s="4"/>
      <c r="E976" s="4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36"/>
      <c r="B977" s="36"/>
      <c r="C977" s="36"/>
      <c r="D977" s="4"/>
      <c r="E977" s="4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36"/>
      <c r="B978" s="36"/>
      <c r="C978" s="36"/>
      <c r="D978" s="4"/>
      <c r="E978" s="4"/>
      <c r="F978" s="4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36"/>
      <c r="B979" s="36"/>
      <c r="C979" s="36"/>
      <c r="D979" s="4"/>
      <c r="E979" s="4"/>
      <c r="F979" s="4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36"/>
      <c r="B980" s="36"/>
      <c r="C980" s="36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36"/>
      <c r="B981" s="36"/>
      <c r="C981" s="36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36"/>
      <c r="B982" s="36"/>
      <c r="C982" s="36"/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36"/>
      <c r="B983" s="36"/>
      <c r="C983" s="36"/>
      <c r="D983" s="4"/>
      <c r="E983" s="4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36"/>
      <c r="B984" s="36"/>
      <c r="C984" s="36"/>
      <c r="D984" s="4"/>
      <c r="E984" s="4"/>
      <c r="F984" s="4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36"/>
      <c r="B985" s="36"/>
      <c r="C985" s="36"/>
      <c r="D985" s="4"/>
      <c r="E985" s="4"/>
      <c r="F985" s="4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36"/>
      <c r="B986" s="36"/>
      <c r="C986" s="36"/>
      <c r="D986" s="4"/>
      <c r="E986" s="4"/>
      <c r="F986" s="4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36"/>
      <c r="B987" s="36"/>
      <c r="C987" s="36"/>
      <c r="D987" s="4"/>
      <c r="E987" s="4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36"/>
      <c r="B988" s="36"/>
      <c r="C988" s="36"/>
      <c r="D988" s="4"/>
      <c r="E988" s="4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36"/>
      <c r="B989" s="36"/>
      <c r="C989" s="36"/>
      <c r="D989" s="4"/>
      <c r="E989" s="4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36"/>
      <c r="B990" s="36"/>
      <c r="C990" s="36"/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36"/>
      <c r="B991" s="36"/>
      <c r="C991" s="36"/>
      <c r="D991" s="4"/>
      <c r="E991" s="4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36"/>
      <c r="B992" s="36"/>
      <c r="C992" s="36"/>
      <c r="D992" s="4"/>
      <c r="E992" s="4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36"/>
      <c r="B993" s="36"/>
      <c r="C993" s="36"/>
      <c r="D993" s="4"/>
      <c r="E993" s="4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36"/>
      <c r="B994" s="36"/>
      <c r="C994" s="36"/>
      <c r="D994" s="4"/>
      <c r="E994" s="4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36"/>
      <c r="B995" s="36"/>
      <c r="C995" s="36"/>
      <c r="D995" s="4"/>
      <c r="E995" s="4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36"/>
      <c r="B996" s="36"/>
      <c r="C996" s="36"/>
      <c r="D996" s="4"/>
      <c r="E996" s="4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36"/>
      <c r="B997" s="36"/>
      <c r="C997" s="36"/>
      <c r="D997" s="4"/>
      <c r="E997" s="4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36"/>
      <c r="B998" s="36"/>
      <c r="C998" s="36"/>
      <c r="D998" s="4"/>
      <c r="E998" s="4"/>
      <c r="F998" s="4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36"/>
      <c r="B999" s="36"/>
      <c r="C999" s="36"/>
      <c r="D999" s="4"/>
      <c r="E999" s="4"/>
      <c r="F999" s="4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E5:G5"/>
  </mergeCells>
  <printOptions/>
  <pageMargins bottom="0.5" footer="0.0" header="0.0" left="0.0" right="0.0" top="0.5"/>
  <pageSetup paperSize="5" scale="7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4.5"/>
    <col customWidth="1" min="2" max="2" width="17.88"/>
    <col customWidth="1" min="3" max="3" width="11.13"/>
    <col customWidth="1" min="4" max="9" width="15.63"/>
    <col customWidth="1" min="10" max="10" width="19.13"/>
    <col customWidth="1" min="11" max="11" width="15.5"/>
    <col customWidth="1" min="12" max="12" width="19.0"/>
    <col customWidth="1" min="13" max="13" width="16.5"/>
    <col customWidth="1" min="14" max="14" width="19.5"/>
    <col customWidth="1" min="15" max="15" width="17.88"/>
    <col customWidth="1" min="16" max="26" width="8.63"/>
  </cols>
  <sheetData>
    <row r="1" ht="15.0" customHeight="1">
      <c r="A1" s="61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5.0" customHeight="1">
      <c r="A2" s="62" t="s">
        <v>273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26.25" customHeight="1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24.75" customHeight="1">
      <c r="A4" s="63" t="s">
        <v>274</v>
      </c>
      <c r="B4" s="63" t="s">
        <v>275</v>
      </c>
      <c r="C4" s="63" t="s">
        <v>276</v>
      </c>
      <c r="D4" s="63" t="s">
        <v>277</v>
      </c>
      <c r="E4" s="63" t="s">
        <v>278</v>
      </c>
      <c r="F4" s="63" t="s">
        <v>279</v>
      </c>
      <c r="G4" s="63" t="s">
        <v>280</v>
      </c>
      <c r="H4" s="63" t="s">
        <v>281</v>
      </c>
      <c r="I4" s="64" t="s">
        <v>282</v>
      </c>
      <c r="J4" s="64" t="s">
        <v>283</v>
      </c>
      <c r="K4" s="64" t="s">
        <v>284</v>
      </c>
      <c r="L4" s="64" t="s">
        <v>285</v>
      </c>
      <c r="M4" s="64" t="s">
        <v>286</v>
      </c>
      <c r="N4" s="64" t="s">
        <v>287</v>
      </c>
      <c r="O4" s="64" t="s">
        <v>288</v>
      </c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19.5" customHeight="1">
      <c r="A5" s="66">
        <v>1.0</v>
      </c>
      <c r="B5" s="67" t="s">
        <v>289</v>
      </c>
      <c r="C5" s="66">
        <f>7+2</f>
        <v>9</v>
      </c>
      <c r="D5" s="68">
        <f>SUM(Jan!F10+Jan!F11+Jan!F24+Jan!F35+Jan!F41+Jan!F42+Jan!F66+Jan!F73+Jan!F79)</f>
        <v>7458264110</v>
      </c>
      <c r="E5" s="68">
        <f>SUM(Feb!F10+Feb!F11+Feb!F24+Feb!F35+Feb!F41+Feb!F42+Feb!F66+Feb!F73+Feb!F79)</f>
        <v>7472261203</v>
      </c>
      <c r="F5" s="69">
        <f>SUM(Mar!F10+Mar!F11+Mar!F24+Mar!F35+Mar!F41+Mar!F42+Mar!F66+Mar!F73+Mar!F79)</f>
        <v>7279494017</v>
      </c>
      <c r="G5" s="69">
        <f>SUM(Apr!F10+Apr!F11+Apr!F24+Apr!F35+Apr!F41+Apr!F42+Apr!F66+Apr!F73+Apr!F79)</f>
        <v>7001748933</v>
      </c>
      <c r="H5" s="69">
        <f>SUM(May!F10+May!F11+May!F24+May!F35+May!F41+May!F42+May!F66+May!F73+May!F79)</f>
        <v>6957124201</v>
      </c>
      <c r="I5" s="69">
        <f>SUM(June!F10+June!F11+June!F24+June!F35+June!F41+June!F42+June!F66+June!F73+June!F79)</f>
        <v>6579983688</v>
      </c>
      <c r="J5" s="69">
        <f>SUM(July!F10+July!F11+July!F24+July!F35+July!F41+July!F42+July!F66+July!F73+July!F79)</f>
        <v>6837400184</v>
      </c>
      <c r="K5" s="69">
        <f>SUM(Aug!F10+Aug!F11+Aug!F24+Aug!F35+Aug!F41+Aug!F42+Aug!F66+Aug!F73+Aug!F79)</f>
        <v>7230734879</v>
      </c>
      <c r="L5" s="69">
        <f>SUM(Sep!F10+Sep!F11+Sep!F24+Sep!F35+Sep!F41+Sep!F42+Sep!F66+Sep!F73+Sep!F79)</f>
        <v>6649077736</v>
      </c>
      <c r="M5" s="69">
        <f>SUM(Oct!F10+Oct!F11+Oct!F24+Oct!F36+Oct!F42+Oct!F43+Oct!F67+Oct!F74+Oct!F80)</f>
        <v>7070437351</v>
      </c>
      <c r="N5" s="69">
        <f>SUM(Nov!F10+Nov!F11+Nov!F24+Nov!F36+Nov!F42+Nov!F43+Nov!F67+Nov!F74+Nov!F80)</f>
        <v>7897603265</v>
      </c>
      <c r="O5" s="69">
        <f>SUM(Dec!F10+Dec!F11+Dec!F24+Dec!F36+Dec!F42+Dec!F43+Dec!F67+Dec!F74+Dec!F80)</f>
        <v>7819379316</v>
      </c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19.5" customHeight="1">
      <c r="A6" s="66">
        <v>2.0</v>
      </c>
      <c r="B6" s="70" t="s">
        <v>290</v>
      </c>
      <c r="C6" s="66">
        <f>8+1+9</f>
        <v>18</v>
      </c>
      <c r="D6" s="68">
        <f>SUM(Jan!F9+Jan!F17+Jan!F18+Jan!F23+Jan!F30+Jan!F46+Jan!F47+Jan!F48+Jan!F58+Jan!F65+Jan!F68+Jan!F70+Jan!F71+Jan!F78+Jan!F81+Jan!F82+Jan!F86+Jan!F91+Jan!F101+Jan!F105)</f>
        <v>229824545608</v>
      </c>
      <c r="E6" s="68">
        <f>SUM(Feb!F9+Feb!F17+Feb!F18+Feb!F23+Feb!F30+Feb!F46+Feb!F47+Feb!F48+Feb!F58+Feb!F65+Feb!F68+Feb!F70+Feb!F71+Feb!F78+Feb!F81+Feb!F82+Feb!F86+Feb!F91+Feb!F101+Feb!F105)</f>
        <v>229686482993</v>
      </c>
      <c r="F6" s="68">
        <f>SUM(Mar!F9+Mar!F17+Mar!F18+Mar!F23+Mar!F30+Mar!F46+Mar!F47+Mar!F48+Mar!F58+Mar!F65+Mar!F68+Mar!F70+Mar!F71+Mar!F78+Mar!F81+Mar!F82+Mar!F86+Mar!F91+Mar!F101+Mar!F105)</f>
        <v>229648859708</v>
      </c>
      <c r="G6" s="68">
        <f>SUM(Apr!F9+Apr!F17+Apr!F18+Apr!F23+Apr!F30+Apr!F46+Apr!F47+Apr!F48+Apr!F58+Apr!F65+Apr!F68+Apr!F70+Apr!F71+Apr!F78+Apr!F81+Apr!F82+Apr!F86+Apr!F91+Apr!F101+Apr!F105)</f>
        <v>224628164689</v>
      </c>
      <c r="H6" s="69">
        <f>SUM(May!F9+May!F17+May!F18+May!F23+May!F30+May!F46+May!F47+May!F48+May!F58+May!F65+May!F68+May!F70+May!F71+May!F78+May!F81+May!F82+May!F86+May!F91+May!F101+May!F105)</f>
        <v>224071361893</v>
      </c>
      <c r="I6" s="69">
        <f>SUM(June!F9+June!F17+June!F18+June!F23+June!F30+June!F46+June!F47+June!F48+June!F58+June!F65+June!F68+June!F70+June!F71+June!F78+June!F81+June!F82+June!F86+June!F91+June!F101+June!F105)</f>
        <v>217879335344</v>
      </c>
      <c r="J6" s="69">
        <f>SUM(July!F9+July!F17+July!F18+July!F23+July!F30+July!F46+July!F47+July!F48+July!F58+July!F65+July!F68+July!F70+July!F71+July!F78+July!F81+July!F82+July!F86+July!F91+July!F101+July!F105)</f>
        <v>170970232509</v>
      </c>
      <c r="K6" s="69">
        <f>SUM(Aug!F9+Aug!F17+Aug!F18+Aug!F23+Aug!F30+Aug!F46+Aug!F47+Aug!F48+Aug!F58+Aug!F65+Aug!F68+Aug!F70+Aug!F71+Aug!F78+Aug!F81+Aug!F82+Aug!F86+Aug!F91+Aug!F101+Aug!F105)</f>
        <v>165957787756</v>
      </c>
      <c r="L6" s="69">
        <f>SUM(Sep!F9+Sep!F17+Sep!F18+Sep!F23+Sep!F30+Sep!F46+Sep!F47+Sep!F48+Sep!F58+Sep!F65+Sep!F68+Sep!F70+Sep!F71+Sep!F78+Sep!F81+Sep!F82+Sep!F86+Sep!F91+Sep!F95+Sep!F103+Sep!F107)</f>
        <v>158222395208</v>
      </c>
      <c r="M6" s="69">
        <f>SUM(Oct!F9+Oct!F17+Oct!F18+Oct!F23+Oct!F31+Oct!F47+Oct!F48+Oct!F49+Oct!F59+Oct!F66+Oct!F69+Oct!F71+Oct!F72+Oct!F79+Oct!F82+Oct!F83+Oct!F87+Oct!F92+Oct!F96+Oct!F104+Oct!F108)</f>
        <v>153462672742</v>
      </c>
      <c r="N6" s="69">
        <f>SUM(Nov!F9+Nov!F17+Nov!F18+Nov!F23+Nov!F31+Nov!F47+Nov!F48+Nov!F49+Nov!F59+Nov!F66+Nov!F69+Nov!F71+Nov!F72+Nov!F79+Nov!F82+Nov!F83+Nov!F87+Nov!F92+Nov!F96+Nov!F104+Nov!F108)</f>
        <v>151525208682</v>
      </c>
      <c r="O6" s="69">
        <f>SUM(Dec!F9+Dec!F17+Dec!F18+Dec!F23+Dec!F31+Dec!F47+Dec!F48+Dec!F49+Dec!F59+Dec!F66+Dec!F69+Dec!F71+Dec!F72+Dec!F79+Dec!F82+Dec!F83+Dec!F87+Dec!F92+Dec!F96+Dec!F104+Dec!F108)</f>
        <v>147337152823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19.5" customHeight="1">
      <c r="A7" s="66">
        <v>3.0</v>
      </c>
      <c r="B7" s="70" t="s">
        <v>291</v>
      </c>
      <c r="C7" s="66">
        <v>3.0</v>
      </c>
      <c r="D7" s="68">
        <f>SUM(Jan!F27+Jan!F57+Jan!F67)</f>
        <v>2049559926</v>
      </c>
      <c r="E7" s="68">
        <f>SUM(Feb!F27+Feb!F57+Feb!F67)</f>
        <v>2068209356</v>
      </c>
      <c r="F7" s="69">
        <f>SUM(Mar!F27+Mar!F57+Mar!F67)</f>
        <v>2031313227</v>
      </c>
      <c r="G7" s="69">
        <f>SUM(Apr!F27+Apr!F57+Apr!F67)</f>
        <v>1958331714</v>
      </c>
      <c r="H7" s="69">
        <f>SUM(May!F27+May!F57+May!F67)</f>
        <v>1854708984</v>
      </c>
      <c r="I7" s="69">
        <f>SUM(June!F27+June!F57+June!F67)</f>
        <v>1802538826</v>
      </c>
      <c r="J7" s="69">
        <f>SUM(July!F27+July!F57+July!F67)</f>
        <v>1800972632</v>
      </c>
      <c r="K7" s="69">
        <f>SUM(Aug!F27+Aug!F57+Aug!F67)</f>
        <v>1828582510</v>
      </c>
      <c r="L7" s="69">
        <f>SUM(Sep!F27+Sep!F57+Sep!F67)</f>
        <v>1745830643</v>
      </c>
      <c r="M7" s="69">
        <f>SUM(Oct!F27+Oct!F58+Oct!F68)</f>
        <v>1764407006</v>
      </c>
      <c r="N7" s="69">
        <f>SUM(Nov!F27+Nov!F58+Nov!F68)</f>
        <v>1770657162</v>
      </c>
      <c r="O7" s="69">
        <f>SUM(Dec!F27+Dec!F58+Dec!F68)</f>
        <v>1652582684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9.5" customHeight="1">
      <c r="A8" s="66">
        <v>4.0</v>
      </c>
      <c r="B8" s="70" t="s">
        <v>292</v>
      </c>
      <c r="C8" s="66">
        <v>1.0</v>
      </c>
      <c r="D8" s="68">
        <f>SUM(Jan!F12)</f>
        <v>352124411.5</v>
      </c>
      <c r="E8" s="68">
        <f>SUM(Feb!F12)</f>
        <v>352900394.8</v>
      </c>
      <c r="F8" s="69">
        <f>SUM(Mar!F12)</f>
        <v>351366543.4</v>
      </c>
      <c r="G8" s="69">
        <f>SUM(Apr!F12)</f>
        <v>346777508.9</v>
      </c>
      <c r="H8" s="69">
        <f>SUM(May!F12)</f>
        <v>349673824.9</v>
      </c>
      <c r="I8" s="69">
        <f>SUM(June!F12)</f>
        <v>333195068.5</v>
      </c>
      <c r="J8" s="69">
        <f>SUM(July!F12)</f>
        <v>335381330.6</v>
      </c>
      <c r="K8" s="69">
        <f>SUM(Aug!F12)</f>
        <v>347319835.9</v>
      </c>
      <c r="L8" s="69">
        <f>SUM(Sep!F12)</f>
        <v>322229702</v>
      </c>
      <c r="M8" s="69">
        <f>SUM(Oct!F12)</f>
        <v>326629117.4</v>
      </c>
      <c r="N8" s="69">
        <f>SUM(Nov!F12)</f>
        <v>340203316.8</v>
      </c>
      <c r="O8" s="69">
        <f>SUM(Dec!F12)</f>
        <v>341856584.1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9.5" customHeight="1">
      <c r="A9" s="66">
        <v>5.0</v>
      </c>
      <c r="B9" s="70" t="s">
        <v>293</v>
      </c>
      <c r="C9" s="66">
        <v>1.0</v>
      </c>
      <c r="D9" s="68">
        <v>0.0</v>
      </c>
      <c r="E9" s="68">
        <v>0.0</v>
      </c>
      <c r="F9" s="68">
        <v>0.0</v>
      </c>
      <c r="G9" s="68">
        <v>0.0</v>
      </c>
      <c r="H9" s="68">
        <v>0.0</v>
      </c>
      <c r="I9" s="68">
        <v>0.0</v>
      </c>
      <c r="J9" s="68">
        <v>0.0</v>
      </c>
      <c r="K9" s="68">
        <v>0.0</v>
      </c>
      <c r="L9" s="68">
        <v>0.0</v>
      </c>
      <c r="M9" s="69">
        <f>Oct!F29</f>
        <v>72004827.3</v>
      </c>
      <c r="N9" s="69">
        <f>Nov!F29</f>
        <v>97693013.5</v>
      </c>
      <c r="O9" s="69">
        <f>Dec!F29</f>
        <v>111752967.9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9.5" customHeight="1">
      <c r="A10" s="66">
        <v>6.0</v>
      </c>
      <c r="B10" s="70" t="s">
        <v>294</v>
      </c>
      <c r="C10" s="66">
        <v>9.0</v>
      </c>
      <c r="D10" s="68">
        <f>SUM(Jan!F13,Jan!F14,Jan!F15,Jan!F32,Jan!F43,Jan!F44,Jan!F69,Jan!F80,Jan!F92)</f>
        <v>14049885499</v>
      </c>
      <c r="E10" s="68">
        <f>SUM(Feb!F13+Feb!F14+Feb!F15+Feb!F32+Feb!F43+Feb!F44+Feb!F69+Feb!F80+Feb!F92)</f>
        <v>13924991862</v>
      </c>
      <c r="F10" s="69">
        <f>SUM(Mar!F13+Mar!F14+Mar!F15+Mar!F32+Mar!F43+Mar!F44+Mar!F69+Mar!F80+Mar!F92)</f>
        <v>14061505339</v>
      </c>
      <c r="G10" s="69">
        <f>SUM(Apr!F13+Apr!F14+Apr!F15+Apr!F32+Apr!F43+Apr!F44+Apr!F69+Apr!F80+Apr!F92)</f>
        <v>13421497626</v>
      </c>
      <c r="H10" s="69">
        <f>SUM(May!F13+May!F14+May!F15+May!F32+May!F43+May!F44+May!F69+May!F80+May!F92)</f>
        <v>13537229838</v>
      </c>
      <c r="I10" s="69">
        <f>SUM(June!F13+June!F14+June!F15+June!F32+June!F43+June!F44+June!F69+June!F80+June!F92)</f>
        <v>12796607958</v>
      </c>
      <c r="J10" s="69">
        <f>SUM(July!F13+July!F14+July!F15+July!F32+July!F43+July!F44+July!F69+July!F80+July!F92)</f>
        <v>13101591419</v>
      </c>
      <c r="K10" s="69">
        <f>SUM(Aug!F13+Aug!F14+Aug!F15+Aug!F32+Aug!F43+Aug!F44+Aug!F69+Aug!F80+Aug!F92)</f>
        <v>12907227704</v>
      </c>
      <c r="L10" s="69">
        <f>SUM(Sep!F13+Sep!F14+Sep!F15+Sep!F32+Sep!F43+Sep!F44+Sep!F69+Sep!F80+Sep!F92)</f>
        <v>12450162441</v>
      </c>
      <c r="M10" s="69">
        <f>SUM(Oct!F13+Oct!F14+Oct!F15+Oct!F33+Oct!F44+Oct!F45+Oct!F70+Oct!F81+Oct!F93)</f>
        <v>12814808902</v>
      </c>
      <c r="N10" s="69">
        <f>SUM(Nov!F13+Nov!F14+Nov!F15+Nov!F33+Nov!F44+Nov!F45+Nov!F70+Nov!F81+Nov!F93)</f>
        <v>13156795419</v>
      </c>
      <c r="O10" s="69">
        <f>SUM(Dec!F13+Dec!F14+Dec!F15+Dec!F33+Dec!F44+Dec!F45+Dec!F70+Dec!F81+Dec!F93)</f>
        <v>12954648897</v>
      </c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9.5" customHeight="1">
      <c r="A11" s="66">
        <v>7.0</v>
      </c>
      <c r="B11" s="70" t="s">
        <v>295</v>
      </c>
      <c r="C11" s="66">
        <v>1.0</v>
      </c>
      <c r="D11" s="68">
        <f>SUM(Jan!F16)</f>
        <v>150854167.4</v>
      </c>
      <c r="E11" s="68">
        <f>SUM(Feb!F16)</f>
        <v>151531431</v>
      </c>
      <c r="F11" s="69">
        <f>SUM(Mar!F16)</f>
        <v>143717820.6</v>
      </c>
      <c r="G11" s="69">
        <f>SUM(Apr!F16)</f>
        <v>137719545</v>
      </c>
      <c r="H11" s="69">
        <f>SUM(May!F16)</f>
        <v>128577816.3</v>
      </c>
      <c r="I11" s="69">
        <f>SUM(June!F16)</f>
        <v>118573771.4</v>
      </c>
      <c r="J11" s="69">
        <f>SUM(July!F16)</f>
        <v>118646290.4</v>
      </c>
      <c r="K11" s="69">
        <f>SUM(Aug!F16)</f>
        <v>119886799.6</v>
      </c>
      <c r="L11" s="69">
        <f>SUM(Sep!F16)</f>
        <v>112021956.2</v>
      </c>
      <c r="M11" s="69">
        <f>SUM(Oct!F16)</f>
        <v>116449448.4</v>
      </c>
      <c r="N11" s="69">
        <f>SUM(Nov!F16)</f>
        <v>116601666.7</v>
      </c>
      <c r="O11" s="69">
        <f>SUM(Dec!F16)</f>
        <v>115136598.8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9.5" customHeight="1">
      <c r="A12" s="66">
        <v>8.0</v>
      </c>
      <c r="B12" s="70" t="s">
        <v>296</v>
      </c>
      <c r="C12" s="66">
        <v>1.0</v>
      </c>
      <c r="D12" s="68">
        <f>SUM(Jan!F45)</f>
        <v>361719457</v>
      </c>
      <c r="E12" s="68">
        <f>Feb!F45</f>
        <v>358534565.9</v>
      </c>
      <c r="F12" s="69">
        <f>SUM(Mar!F45)</f>
        <v>356879714.5</v>
      </c>
      <c r="G12" s="69">
        <f>SUM(Apr!F45)</f>
        <v>345125811.3</v>
      </c>
      <c r="H12" s="69">
        <f>SUM(May!F45)</f>
        <v>345429616.4</v>
      </c>
      <c r="I12" s="69">
        <f>SUM(June!F45)</f>
        <v>328002110.3</v>
      </c>
      <c r="J12" s="69">
        <f>SUM(July!F45)</f>
        <v>331166002</v>
      </c>
      <c r="K12" s="69">
        <f>SUM(Aug!F45)</f>
        <v>338202130.1</v>
      </c>
      <c r="L12" s="69">
        <f>SUM(Sep!F45)</f>
        <v>317213993.4</v>
      </c>
      <c r="M12" s="69">
        <f>SUM(Oct!F46)</f>
        <v>325500164.8</v>
      </c>
      <c r="N12" s="69">
        <f>SUM(Nov!F46)</f>
        <v>344174384.8</v>
      </c>
      <c r="O12" s="69">
        <f>SUM(Dec!F46)</f>
        <v>345204774.6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9.5" customHeight="1">
      <c r="A13" s="66">
        <v>9.0</v>
      </c>
      <c r="B13" s="70" t="s">
        <v>297</v>
      </c>
      <c r="C13" s="66">
        <f>6+1</f>
        <v>7</v>
      </c>
      <c r="D13" s="68">
        <f>SUM(Jan!F29,Jan!F19,Jan!F20,Jan!F21,Jan!F22,Jan!F72,Jan!F83)</f>
        <v>18920708075</v>
      </c>
      <c r="E13" s="68">
        <f>SUM(Feb!F19+Feb!F20+Feb!F21+Feb!F22+Feb!F29+Feb!F72+Feb!F83)</f>
        <v>18798672906</v>
      </c>
      <c r="F13" s="69">
        <f>SUM(Mar!F19+Mar!F20+Mar!F21+Mar!F22+Mar!F29+Mar!F72+Mar!F83)</f>
        <v>18622913075</v>
      </c>
      <c r="G13" s="69">
        <f>SUM(Apr!F19+Apr!F20+Apr!F21+Apr!F22+Apr!F29+Apr!F72+Apr!F83)</f>
        <v>17428466906</v>
      </c>
      <c r="H13" s="69">
        <f>SUM(May!F19+May!F20+May!F21+May!F22+May!F29+May!F72+May!F83)</f>
        <v>17586802299</v>
      </c>
      <c r="I13" s="69">
        <f>SUM(June!F19+June!F20+June!F21+June!F22+June!F29+June!F72+June!F83)</f>
        <v>16043785584</v>
      </c>
      <c r="J13" s="69">
        <f>SUM(July!F19+July!F20+July!F21+July!F22+July!F29+July!F72+July!F83)</f>
        <v>16347151981</v>
      </c>
      <c r="K13" s="69">
        <f>SUM(Aug!F19+Aug!F20+Aug!F21+Aug!F22+Aug!F29+Aug!F72+Aug!F83)</f>
        <v>16794707577</v>
      </c>
      <c r="L13" s="69">
        <f>SUM(Sep!F19+Sep!F20+Sep!F21+Sep!F22+Sep!F29+Sep!F72+Sep!F83)</f>
        <v>14989656835</v>
      </c>
      <c r="M13" s="69">
        <f>SUM(Oct!F19+Oct!F20+Oct!F21+Oct!F22+Oct!F30+Oct!F73+Oct!F84)</f>
        <v>15913546046</v>
      </c>
      <c r="N13" s="69">
        <f>SUM(Nov!F19+Nov!F20+Nov!F21+Nov!F22+Nov!F30+Nov!F73+Nov!F84)</f>
        <v>17298212544</v>
      </c>
      <c r="O13" s="69">
        <f>SUM(Dec!F19+Dec!F20+Dec!F21+Dec!F22+Dec!F30+Dec!F73+Dec!F84)</f>
        <v>16586926235</v>
      </c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9.5" customHeight="1">
      <c r="A14" s="66">
        <v>10.0</v>
      </c>
      <c r="B14" s="70" t="s">
        <v>298</v>
      </c>
      <c r="C14" s="66">
        <f>15+1</f>
        <v>16</v>
      </c>
      <c r="D14" s="68">
        <f>SUM(Jan!F25+Jan!F26+Jan!F36+Jan!F49+Jan!F52+Jan!F53+Jan!F54+Jan!F50+Jan!F59+Jan!F60+Jan!F74+Jan!F75+Jan!F84+Jan!F93+Jan!F96+Jan!F102)</f>
        <v>181426021323</v>
      </c>
      <c r="E14" s="68">
        <f>SUM(Feb!F25+Feb!F26+Feb!F36+Feb!F49+Feb!F50+Feb!F52+Feb!F53+Feb!F54+Feb!F59+Feb!F60+Feb!F74+Feb!F75+Feb!F84+Feb!F93+Feb!F96+Feb!F102)</f>
        <v>178410805256</v>
      </c>
      <c r="F14" s="68">
        <f>SUM(Mar!F25+Mar!F26+Mar!F36+Mar!F49+Mar!F50+Mar!F52+Mar!F53+Mar!F54+Mar!F59+Mar!F60+Mar!F74+Mar!F75+Mar!F84+Mar!F93+Mar!F96+Mar!F102)</f>
        <v>179722644486</v>
      </c>
      <c r="G14" s="68">
        <f>SUM(Apr!F25+Apr!F26+Apr!F36+Apr!F49+Apr!F50+Apr!F52+Apr!F53+Apr!F54+Apr!F59+Apr!F60+Apr!F74+Apr!F75+Apr!F84+Apr!F93+Apr!F96+Apr!F102)</f>
        <v>181500999692</v>
      </c>
      <c r="H14" s="69">
        <f>SUM(May!F25+May!F26+May!F36+May!F49+May!F50+May!F52+May!F53+May!F54+May!F59+May!F60+May!F74+May!F75+May!F84+May!F93+May!F96+May!F102)</f>
        <v>183118657560</v>
      </c>
      <c r="I14" s="69">
        <f>SUM(June!F25+June!F26+June!F36+June!F49+June!F50+June!F52+June!F53+June!F54+June!F59+June!F60+June!F74+June!F75+June!F84+June!F93+June!F96+June!F102)</f>
        <v>179951922417</v>
      </c>
      <c r="J14" s="69">
        <f>SUM(July!F25+July!F26+July!F36+July!F49+July!F50+July!F52+July!F53+July!F54+July!F59+July!F60+July!F74+July!F75+July!F84+July!F93+July!F96+July!F102)</f>
        <v>174115892287</v>
      </c>
      <c r="K14" s="69">
        <f>SUM(Aug!F25+Aug!F26+Aug!F36+Aug!F49+Aug!F50+Aug!F52+Aug!F53+Aug!F54+Aug!F59+Aug!F60+Aug!F74+Aug!F75+Aug!F84+Aug!F93+Aug!F96+Aug!F102)</f>
        <v>158141932055</v>
      </c>
      <c r="L14" s="69">
        <f>SUM(Sep!F25+Sep!F26+Sep!F36+Sep!F49+Sep!F50+Sep!F52+Sep!F53+Sep!F54+Sep!F59+Sep!F60+Sep!F74+Sep!F75+Sep!F84+Sep!F93+Sep!F98+Sep!F104)</f>
        <v>135225937189</v>
      </c>
      <c r="M14" s="69">
        <f>SUM(Oct!F25+Oct!F26+Oct!F37+Oct!F50+Oct!F51+Oct!F53+Oct!F54+Oct!F55+Oct!F60+Oct!F61+Oct!F75+Oct!F76+Oct!F85+Oct!F94+Oct!F99+Oct!F105)</f>
        <v>116850488055</v>
      </c>
      <c r="N14" s="69">
        <f>SUM(Nov!F25+Nov!F26+Nov!F37+Nov!F50+Nov!F51+Nov!F53+Nov!F54+Nov!F55+Nov!F60+Nov!F61+Nov!F75+Nov!F76+Nov!F85+Nov!F94+Nov!F99+Nov!F105)</f>
        <v>107188333877</v>
      </c>
      <c r="O14" s="69">
        <f>SUM(Dec!F25+Dec!F26+Dec!F37+Dec!F50+Dec!F51+Dec!F53+Dec!F54+Dec!F55+Dec!F60+Dec!F61+Dec!F75+Dec!F76+Dec!F85+Dec!F94+Dec!F99+Dec!F105)</f>
        <v>97520046201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9.75" customHeight="1">
      <c r="A15" s="71"/>
      <c r="B15" s="36"/>
      <c r="C15" s="71"/>
      <c r="D15" s="72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24.75" customHeight="1">
      <c r="A16" s="73" t="s">
        <v>299</v>
      </c>
      <c r="C16" s="74">
        <f t="shared" ref="C16:O16" si="1">SUM(C5:C14)</f>
        <v>66</v>
      </c>
      <c r="D16" s="75">
        <f t="shared" si="1"/>
        <v>454593682578</v>
      </c>
      <c r="E16" s="75">
        <f t="shared" si="1"/>
        <v>451224389968</v>
      </c>
      <c r="F16" s="75">
        <f t="shared" si="1"/>
        <v>452218693929</v>
      </c>
      <c r="G16" s="75">
        <f t="shared" si="1"/>
        <v>446768832425</v>
      </c>
      <c r="H16" s="75">
        <f t="shared" si="1"/>
        <v>447949566032</v>
      </c>
      <c r="I16" s="75">
        <f t="shared" si="1"/>
        <v>435833944767</v>
      </c>
      <c r="J16" s="75">
        <f t="shared" si="1"/>
        <v>383958434635</v>
      </c>
      <c r="K16" s="75">
        <f t="shared" si="1"/>
        <v>363666381248</v>
      </c>
      <c r="L16" s="75">
        <f t="shared" si="1"/>
        <v>330034525702</v>
      </c>
      <c r="M16" s="75">
        <f t="shared" si="1"/>
        <v>308716943659</v>
      </c>
      <c r="N16" s="75">
        <f t="shared" si="1"/>
        <v>299735483330</v>
      </c>
      <c r="O16" s="75">
        <f t="shared" si="1"/>
        <v>284784687082</v>
      </c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2.0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2.0" customHeight="1">
      <c r="A18" s="36"/>
      <c r="B18" s="36"/>
      <c r="C18" s="36"/>
      <c r="D18" s="76">
        <f>D16-Jan!F108</f>
        <v>0</v>
      </c>
      <c r="E18" s="76">
        <f>E16-Feb!F108</f>
        <v>-0.0001220703125</v>
      </c>
      <c r="F18" s="76">
        <f>F16-Mar!F108</f>
        <v>0.00006103515625</v>
      </c>
      <c r="G18" s="76">
        <f>G16-Apr!F108</f>
        <v>-0.00006103515625</v>
      </c>
      <c r="H18" s="76">
        <f>H16-May!F108</f>
        <v>0</v>
      </c>
      <c r="I18" s="76">
        <f>I16-June!F108</f>
        <v>0.00006103515625</v>
      </c>
      <c r="J18" s="76">
        <f>J16-July!F108</f>
        <v>-0.00006103515625</v>
      </c>
      <c r="K18" s="76">
        <f>K16-Aug!F108</f>
        <v>0</v>
      </c>
      <c r="L18" s="76">
        <f>L16-Sep!F110</f>
        <v>0</v>
      </c>
      <c r="M18" s="76">
        <f>M16-Oct!F111</f>
        <v>0</v>
      </c>
      <c r="N18" s="76">
        <f>N16-Nov!F111</f>
        <v>0.0001220703125</v>
      </c>
      <c r="O18" s="76">
        <f>O16-Dec!F111</f>
        <v>0</v>
      </c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2.0" customHeight="1">
      <c r="A19" s="36"/>
      <c r="B19" s="36"/>
      <c r="C19" s="36"/>
      <c r="D19" s="72"/>
      <c r="E19" s="36"/>
      <c r="F19" s="36"/>
      <c r="G19" s="36"/>
      <c r="H19" s="36"/>
      <c r="I19" s="76"/>
      <c r="J19" s="36"/>
      <c r="K19" s="72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2.0" customHeight="1">
      <c r="A20" s="36"/>
      <c r="B20" s="36"/>
      <c r="C20" s="36"/>
      <c r="D20" s="72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2.0" customHeight="1">
      <c r="A21" s="36"/>
      <c r="B21" s="36"/>
      <c r="C21" s="36"/>
      <c r="D21" s="72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2.0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2.0" customHeight="1">
      <c r="A23" s="36"/>
      <c r="B23" s="36"/>
      <c r="C23" s="36"/>
      <c r="D23" s="36"/>
      <c r="E23" s="77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2.0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2.0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2.0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2.0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2.0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2.0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2.0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2.0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2.0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2.0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2.0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2.0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2.0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2.0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2.0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2.0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2.0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2.0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2.0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2.0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2.0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2.0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2.0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2.0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2.0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2.0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2.0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2.0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2.0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2.0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2.0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2.0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2.0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2.0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2.0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2.0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2.0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2.0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2.0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2.0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2.0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2.0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2.0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2.0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2.0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2.0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2.0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2.0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2.0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2.0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2.0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2.0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2.0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2.0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2.0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2.0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2.0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2.0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2.0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2.0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2.0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2.0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2.0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2.0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2.0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2.0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2.0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2.0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2.0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2.0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2.0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2.0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2.0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2.0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2.0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2.0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2.0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2.0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2.0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2.0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2.0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2.0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2.0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2.0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2.0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2.0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2.0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2.0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2.0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2.0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2.0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2.0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2.0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2.0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2.0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2.0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2.0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2.0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2.0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2.0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2.0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2.0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2.0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2.0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2.0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2.0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2.0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2.0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2.0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2.0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2.0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2.0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2.0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2.0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2.0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2.0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2.0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2.0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2.0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2.0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2.0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2.0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2.0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2.0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2.0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2.0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2.0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2.0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2.0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2.0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2.0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2.0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2.0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2.0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2.0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2.0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2.0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2.0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2.0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2.0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2.0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2.0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2.0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2.0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2.0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2.0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2.0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2.0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2.0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2.0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2.0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2.0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2.0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2.0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2.0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2.0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2.0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2.0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2.0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2.0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2.0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2.0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2.0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2.0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2.0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2.0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2.0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2.0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2.0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2.0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2.0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2.0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2.0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2.0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2.0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2.0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2.0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2.0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2.0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2.0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2.0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2.0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2.0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2.0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2.0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2.0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2.0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2.0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2.0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2.0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2.0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2.0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2.0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2.0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2.0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2.0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2.0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2.0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2.0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2.0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2.0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2.0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2.0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2.0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2.0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2.0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2.0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2.0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2.0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2.0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2.0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2.0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2.0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2.0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2.0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2.0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2.0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2.0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2.0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2.0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2.0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2.0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2.0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2.0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2.0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2.0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2.0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2.0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2.0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2.0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2.0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2.0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2.0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2.0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2.0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2.0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2.0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2.0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2.0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2.0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2.0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2.0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2.0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2.0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2.0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2.0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2.0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2.0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2.0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2.0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2.0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2.0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2.0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2.0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2.0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2.0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2.0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2.0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2.0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2.0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2.0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2.0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2.0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2.0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2.0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2.0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2.0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2.0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2.0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2.0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2.0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2.0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2.0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2.0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2.0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2.0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2.0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2.0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2.0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2.0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2.0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2.0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2.0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2.0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2.0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2.0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2.0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2.0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2.0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2.0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2.0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2.0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2.0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2.0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2.0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2.0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2.0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2.0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2.0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2.0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2.0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2.0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2.0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2.0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2.0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2.0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2.0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2.0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2.0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2.0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2.0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2.0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2.0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2.0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2.0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2.0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2.0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2.0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2.0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2.0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2.0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2.0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2.0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2.0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2.0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2.0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2.0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2.0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2.0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2.0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2.0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2.0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2.0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2.0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2.0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2.0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2.0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2.0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2.0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2.0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2.0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2.0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2.0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2.0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2.0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2.0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2.0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2.0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2.0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2.0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2.0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2.0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2.0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2.0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2.0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2.0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2.0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2.0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2.0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2.0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2.0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2.0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2.0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2.0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2.0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2.0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2.0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2.0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2.0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2.0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2.0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2.0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2.0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2.0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2.0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2.0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2.0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2.0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2.0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2.0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2.0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2.0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2.0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2.0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2.0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2.0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2.0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2.0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2.0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2.0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2.0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2.0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2.0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2.0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2.0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2.0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2.0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2.0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2.0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2.0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2.0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2.0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2.0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2.0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2.0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2.0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2.0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2.0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2.0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2.0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2.0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2.0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2.0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2.0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2.0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2.0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2.0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2.0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2.0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2.0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2.0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2.0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2.0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2.0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2.0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2.0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2.0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2.0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2.0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2.0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2.0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2.0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2.0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2.0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2.0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2.0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2.0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2.0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2.0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2.0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2.0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2.0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2.0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2.0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2.0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2.0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2.0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2.0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2.0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2.0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2.0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2.0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2.0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2.0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2.0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2.0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2.0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2.0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2.0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2.0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2.0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2.0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2.0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2.0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2.0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2.0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2.0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2.0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2.0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2.0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2.0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2.0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2.0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2.0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2.0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2.0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2.0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2.0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2.0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2.0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2.0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2.0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2.0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2.0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2.0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2.0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2.0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2.0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2.0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2.0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2.0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2.0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2.0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2.0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2.0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2.0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2.0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2.0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2.0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2.0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2.0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2.0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2.0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2.0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2.0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2.0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2.0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2.0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2.0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2.0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2.0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2.0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2.0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2.0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2.0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2.0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2.0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2.0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2.0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2.0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2.0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2.0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2.0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2.0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2.0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2.0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2.0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2.0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2.0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2.0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2.0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2.0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2.0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2.0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2.0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2.0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2.0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2.0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2.0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2.0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2.0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2.0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2.0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2.0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2.0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2.0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2.0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2.0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2.0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2.0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2.0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2.0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2.0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2.0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2.0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2.0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2.0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2.0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2.0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2.0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2.0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2.0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2.0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2.0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2.0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2.0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2.0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2.0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2.0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2.0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2.0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2.0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2.0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2.0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2.0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2.0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2.0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2.0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2.0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2.0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2.0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2.0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2.0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2.0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2.0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2.0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2.0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2.0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2.0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2.0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2.0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2.0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2.0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2.0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2.0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2.0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2.0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2.0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2.0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2.0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2.0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2.0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2.0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2.0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2.0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2.0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2.0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2.0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2.0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2.0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2.0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2.0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2.0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2.0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2.0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2.0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2.0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2.0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2.0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2.0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2.0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2.0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2.0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2.0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2.0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2.0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2.0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2.0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2.0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2.0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2.0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2.0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2.0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2.0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2.0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2.0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2.0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2.0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2.0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2.0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2.0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2.0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2.0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2.0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2.0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2.0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2.0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2.0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2.0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2.0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2.0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2.0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2.0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2.0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2.0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2.0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2.0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2.0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2.0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2.0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2.0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2.0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2.0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2.0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2.0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2.0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2.0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2.0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2.0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2.0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2.0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2.0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2.0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2.0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2.0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2.0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2.0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2.0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2.0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2.0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2.0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2.0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2.0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2.0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2.0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2.0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2.0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2.0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2.0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2.0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2.0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2.0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2.0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2.0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2.0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2.0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2.0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2.0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2.0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2.0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2.0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2.0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2.0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2.0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2.0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2.0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2.0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2.0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2.0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2.0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2.0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2.0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2.0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2.0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2.0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2.0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2.0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2.0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2.0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2.0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2.0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2.0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2.0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2.0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2.0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2.0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2.0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2.0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2.0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2.0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2.0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2.0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2.0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2.0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2.0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2.0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2.0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2.0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2.0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2.0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2.0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2.0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2.0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2.0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2.0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2.0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2.0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2.0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2.0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2.0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2.0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2.0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2.0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2.0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2.0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2.0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2.0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2.0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2.0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2.0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2.0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2.0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2.0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2.0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2.0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2.0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2.0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2.0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2.0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2.0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2.0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2.0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2.0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2.0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2.0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2.0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2.0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2.0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2.0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2.0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2.0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2.0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2.0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2.0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2.0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2.0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2.0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2.0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2.0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2.0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2.0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2.0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2.0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2.0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2.0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2.0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2.0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2.0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2.0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2.0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2.0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2.0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2.0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2.0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2.0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2.0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2.0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2.0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2.0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2.0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2.0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2.0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2.0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2.0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2.0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2.0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2.0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2.0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2.0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2.0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2.0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2.0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2.0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2.0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2.0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2.0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2.0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2.0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2.0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2.0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2.0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2.0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2.0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2.0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2.0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2.0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2.0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2.0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2.0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2.0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2.0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2.0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2.0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2.0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2.0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2.0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2.0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2.0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2.0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2.0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2.0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2.0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2.0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2.0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2.0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2.0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2.0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2.0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2.0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2.0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2.0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2.0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2.0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2.0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2.0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2.0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2.0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2.0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2.0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2.0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2.0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2.0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2.0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2.0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2.0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2.0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2.0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2.0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2.0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2.0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2.0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2.0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2.0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2.0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2.0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2.0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2.0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2.0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2.0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2.0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2.0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2.0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2.0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2.0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2.0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2.0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2.0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2.0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2.0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2.0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2.0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2.0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2.0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2.0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2.0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2.0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2.0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2.0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2.0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2.0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2.0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2.0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2.0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2.0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2.0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2.0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2.0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2.0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2.0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2.0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2.0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2.0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2.0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2.0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2.0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2.0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2.0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2.0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2.0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2.0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2.0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2.0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2.0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2.0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2.0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2.0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2.0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2.0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2.0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2.0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2.0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2.0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2.0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2.0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2.0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2.0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2.0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2.0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2.0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2.0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2.0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2.0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2.0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2.0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2.0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2.0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2.0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2.0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2.0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2.0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2.0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2.0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2.0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2.0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2.0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2.0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2.0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2.0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2.0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2.0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2.0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2.0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2.0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2.0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2.0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2.0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2.0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2">
    <mergeCell ref="A2:O2"/>
    <mergeCell ref="A16:B16"/>
  </mergeCells>
  <printOptions/>
  <pageMargins bottom="1.0" footer="0.0" header="0.0" left="0.5" right="0.5" top="1.0"/>
  <pageSetup paperSize="5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5.25"/>
    <col customWidth="1" min="2" max="2" width="20.5"/>
    <col customWidth="1" min="3" max="3" width="10.13"/>
    <col customWidth="1" min="4" max="4" width="16.5"/>
    <col customWidth="1" min="5" max="5" width="19.0"/>
    <col customWidth="1" min="6" max="6" width="21.5"/>
    <col customWidth="1" min="7" max="26" width="8.63"/>
  </cols>
  <sheetData>
    <row r="1" ht="15.0" customHeight="1">
      <c r="A1" s="61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5.0" customHeight="1">
      <c r="A2" s="78" t="s">
        <v>300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26.25" customHeight="1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24.75" customHeight="1">
      <c r="A4" s="79" t="s">
        <v>274</v>
      </c>
      <c r="B4" s="79" t="s">
        <v>275</v>
      </c>
      <c r="C4" s="79" t="s">
        <v>276</v>
      </c>
      <c r="D4" s="80" t="s">
        <v>301</v>
      </c>
      <c r="E4" s="80" t="s">
        <v>302</v>
      </c>
      <c r="F4" s="79" t="s">
        <v>15</v>
      </c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19.5" customHeight="1">
      <c r="A5" s="66">
        <v>1.0</v>
      </c>
      <c r="B5" s="67" t="s">
        <v>289</v>
      </c>
      <c r="C5" s="66">
        <f>7+2</f>
        <v>9</v>
      </c>
      <c r="D5" s="69">
        <f>SUM(Dec!L10+Dec!L11+Dec!L24+Dec!L36+Dec!L42+Dec!L43+Dec!L67+Dec!L74+Dec!L80)</f>
        <v>2040355060</v>
      </c>
      <c r="E5" s="69">
        <f>SUM(Dec!M10+Dec!M11+Dec!M24+Dec!M36+Dec!M42+Dec!M43+Dec!M67+Dec!M74+Dec!M80)</f>
        <v>993903836.1</v>
      </c>
      <c r="F5" s="81">
        <f t="shared" ref="F5:F14" si="1">D5-E5</f>
        <v>1046451224</v>
      </c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19.5" customHeight="1">
      <c r="A6" s="66">
        <v>2.0</v>
      </c>
      <c r="B6" s="70" t="s">
        <v>290</v>
      </c>
      <c r="C6" s="66">
        <f>8+1+9</f>
        <v>18</v>
      </c>
      <c r="D6" s="69">
        <f>SUM(Dec!L9+Dec!L17+Dec!L18+Dec!L23+Dec!L31+Dec!L47+Dec!L48+Dec!L49+Dec!L59+Dec!L66+Dec!L69+Dec!L71+Dec!L72+Dec!L79+Dec!L82+Dec!L83+Dec!L87+Dec!L92+Dec!L96+Dec!L104+Dec!L108)</f>
        <v>62279063816</v>
      </c>
      <c r="E6" s="69">
        <f>SUM(Dec!M9+Dec!M17+Dec!M18+Dec!M23+Dec!M31+Dec!M47+Dec!M48+Dec!M49+Dec!M59+Dec!M66+Dec!M69+Dec!M71+Dec!M72+Dec!M79+Dec!M82+Dec!M83+Dec!M87+Dec!M92+Dec!M96+Dec!M104+Dec!M108)</f>
        <v>119398465625</v>
      </c>
      <c r="F6" s="81">
        <f t="shared" si="1"/>
        <v>-57119401809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19.5" customHeight="1">
      <c r="A7" s="66">
        <v>3.0</v>
      </c>
      <c r="B7" s="70" t="s">
        <v>291</v>
      </c>
      <c r="C7" s="66">
        <v>3.0</v>
      </c>
      <c r="D7" s="69">
        <f>SUM(Dec!L27+Dec!L58+Dec!L68)</f>
        <v>160664425.2</v>
      </c>
      <c r="E7" s="69">
        <f>SUM(Dec!M27+Dec!M58+Dec!M68)</f>
        <v>378483137.9</v>
      </c>
      <c r="F7" s="81">
        <f t="shared" si="1"/>
        <v>-217818712.7</v>
      </c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9.5" customHeight="1">
      <c r="A8" s="66">
        <v>4.0</v>
      </c>
      <c r="B8" s="70" t="s">
        <v>292</v>
      </c>
      <c r="C8" s="66">
        <v>1.0</v>
      </c>
      <c r="D8" s="69">
        <f>Dec!L12</f>
        <v>28966480.41</v>
      </c>
      <c r="E8" s="69">
        <f>Dec!M12</f>
        <v>11520914.91</v>
      </c>
      <c r="F8" s="81">
        <f t="shared" si="1"/>
        <v>17445565.5</v>
      </c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9.5" customHeight="1">
      <c r="A9" s="66">
        <v>5.0</v>
      </c>
      <c r="B9" s="70" t="s">
        <v>293</v>
      </c>
      <c r="C9" s="66">
        <v>1.0</v>
      </c>
      <c r="D9" s="69">
        <f>Dec!L29</f>
        <v>107525190.1</v>
      </c>
      <c r="E9" s="69">
        <f>Dec!M29</f>
        <v>709465.18</v>
      </c>
      <c r="F9" s="81">
        <f t="shared" si="1"/>
        <v>106815725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9.5" customHeight="1">
      <c r="A10" s="66">
        <v>6.0</v>
      </c>
      <c r="B10" s="70" t="s">
        <v>294</v>
      </c>
      <c r="C10" s="66">
        <v>9.0</v>
      </c>
      <c r="D10" s="69">
        <f>Dec!L13+Dec!L14+Dec!L15+Dec!L33+Dec!L44+Dec!L45+Dec!L70+Dec!L81+Dec!L93</f>
        <v>4290290070</v>
      </c>
      <c r="E10" s="69">
        <f>Dec!M13+Dec!M14+Dec!M15+Dec!M33+Dec!M44+Dec!M45+Dec!M70+Dec!M81+Dec!M93</f>
        <v>4241576476</v>
      </c>
      <c r="F10" s="81">
        <f t="shared" si="1"/>
        <v>48713593.63</v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9.5" customHeight="1">
      <c r="A11" s="66">
        <v>7.0</v>
      </c>
      <c r="B11" s="70" t="s">
        <v>295</v>
      </c>
      <c r="C11" s="66">
        <v>1.0</v>
      </c>
      <c r="D11" s="69">
        <f>Dec!L16</f>
        <v>1800100</v>
      </c>
      <c r="E11" s="69">
        <f>Dec!M16</f>
        <v>9705511.39</v>
      </c>
      <c r="F11" s="81">
        <f t="shared" si="1"/>
        <v>-7905411.39</v>
      </c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9.5" customHeight="1">
      <c r="A12" s="66">
        <v>8.0</v>
      </c>
      <c r="B12" s="70" t="s">
        <v>296</v>
      </c>
      <c r="C12" s="66">
        <v>1.0</v>
      </c>
      <c r="D12" s="69">
        <f>Dec!L46</f>
        <v>0</v>
      </c>
      <c r="E12" s="69">
        <f>Dec!M46</f>
        <v>2789770.37</v>
      </c>
      <c r="F12" s="81">
        <f t="shared" si="1"/>
        <v>-2789770.37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9.5" customHeight="1">
      <c r="A13" s="66">
        <v>9.0</v>
      </c>
      <c r="B13" s="70" t="s">
        <v>297</v>
      </c>
      <c r="C13" s="66">
        <f>6+1</f>
        <v>7</v>
      </c>
      <c r="D13" s="69">
        <f>Dec!L19+Dec!L20+Dec!L21+Dec!L22+Dec!L30+Dec!L73+Dec!L84</f>
        <v>1113901354</v>
      </c>
      <c r="E13" s="69">
        <f>Dec!M19+Dec!M20+Dec!M21+Dec!M22+Dec!M30+Dec!M73+Dec!M84</f>
        <v>1374136143</v>
      </c>
      <c r="F13" s="81">
        <f t="shared" si="1"/>
        <v>-260234789.5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9.5" customHeight="1">
      <c r="A14" s="66">
        <v>10.0</v>
      </c>
      <c r="B14" s="70" t="s">
        <v>298</v>
      </c>
      <c r="C14" s="66">
        <f>15+1</f>
        <v>16</v>
      </c>
      <c r="D14" s="69">
        <f>Dec!L25+Dec!L26+Dec!L37+Dec!L50+Dec!L51+Dec!L53+Dec!L54+Dec!L55+Dec!L60+Dec!L61+Dec!L75+Dec!L76+Dec!L85+Dec!L94+Dec!L99+Dec!L105</f>
        <v>175553813686</v>
      </c>
      <c r="E14" s="69">
        <f>Dec!M25+Dec!M26+Dec!M37+Dec!M50+Dec!M51+Dec!M53+Dec!M54+Dec!M55+Dec!M60+Dec!M61+Dec!M75+Dec!M76+Dec!M85+Dec!M94+Dec!M99+Dec!M105</f>
        <v>257346160700</v>
      </c>
      <c r="F14" s="81">
        <f t="shared" si="1"/>
        <v>-81792347015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9.75" customHeight="1">
      <c r="A15" s="71"/>
      <c r="B15" s="36"/>
      <c r="C15" s="71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24.75" customHeight="1">
      <c r="A16" s="73" t="s">
        <v>299</v>
      </c>
      <c r="C16" s="74">
        <f t="shared" ref="C16:F16" si="2">SUM(C5:C14)</f>
        <v>66</v>
      </c>
      <c r="D16" s="75">
        <f t="shared" si="2"/>
        <v>245576380180</v>
      </c>
      <c r="E16" s="75">
        <f t="shared" si="2"/>
        <v>383757451580</v>
      </c>
      <c r="F16" s="75">
        <f t="shared" si="2"/>
        <v>-138181071400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2.0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2.0" customHeight="1">
      <c r="A18" s="36"/>
      <c r="B18" s="36"/>
      <c r="C18" s="36"/>
      <c r="D18" s="36"/>
      <c r="E18" s="36"/>
      <c r="F18" s="76">
        <f>F16-Dec!N111</f>
        <v>0.00003051757813</v>
      </c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2.0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2.0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2.0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2.0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2.0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2.0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2.0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2.0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2.0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2.0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2.0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2.0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2.0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2.0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2.0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2.0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2.0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2.0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2.0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2.0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2.0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2.0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2.0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2.0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2.0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2.0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2.0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2.0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2.0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2.0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2.0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2.0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2.0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2.0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2.0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2.0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2.0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2.0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2.0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2.0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2.0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2.0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2.0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2.0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2.0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2.0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2.0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2.0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2.0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2.0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2.0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2.0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2.0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2.0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2.0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2.0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2.0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2.0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2.0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2.0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2.0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2.0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2.0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2.0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2.0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2.0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2.0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2.0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2.0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2.0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2.0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2.0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2.0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2.0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2.0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2.0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2.0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2.0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2.0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2.0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2.0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2.0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2.0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2.0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2.0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2.0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2.0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2.0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2.0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2.0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2.0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2.0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2.0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2.0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2.0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2.0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2.0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2.0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2.0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2.0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2.0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2.0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2.0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2.0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2.0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2.0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2.0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2.0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2.0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2.0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2.0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2.0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2.0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2.0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2.0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2.0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2.0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2.0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2.0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2.0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2.0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2.0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2.0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2.0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2.0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2.0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2.0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2.0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2.0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2.0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2.0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2.0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2.0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2.0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2.0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2.0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2.0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2.0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2.0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2.0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2.0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2.0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2.0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2.0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2.0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2.0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2.0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2.0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2.0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2.0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2.0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2.0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2.0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2.0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2.0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2.0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2.0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2.0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2.0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2.0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2.0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2.0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2.0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2.0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2.0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2.0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2.0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2.0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2.0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2.0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2.0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2.0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2.0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2.0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2.0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2.0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2.0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2.0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2.0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2.0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2.0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2.0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2.0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2.0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2.0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2.0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2.0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2.0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2.0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2.0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2.0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2.0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2.0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2.0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2.0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2.0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2.0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2.0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2.0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2.0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2.0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2.0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2.0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2.0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2.0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2.0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2.0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2.0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2.0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2.0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2.0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2.0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2.0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2.0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2.0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2.0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2.0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2.0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2.0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2.0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2.0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2.0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2.0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2.0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2.0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2.0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2.0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2.0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2.0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2.0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2.0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2.0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2.0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2.0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2.0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2.0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2.0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2.0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2.0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2.0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2.0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2.0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2.0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2.0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2.0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2.0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2.0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2.0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2.0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2.0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2.0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2.0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2.0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2.0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2.0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2.0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2.0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2.0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2.0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2.0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2.0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2.0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2.0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2.0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2.0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2.0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2.0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2.0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2.0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2.0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2.0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2.0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2.0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2.0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2.0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2.0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2.0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2.0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2.0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2.0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2.0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2.0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2.0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2.0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2.0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2.0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2.0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2.0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2.0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2.0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2.0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2.0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2.0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2.0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2.0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2.0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2.0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2.0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2.0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2.0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2.0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2.0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2.0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2.0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2.0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2.0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2.0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2.0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2.0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2.0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2.0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2.0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2.0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2.0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2.0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2.0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2.0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2.0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2.0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2.0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2.0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2.0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2.0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2.0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2.0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2.0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2.0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2.0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2.0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2.0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2.0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2.0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2.0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2.0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2.0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2.0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2.0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2.0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2.0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2.0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2.0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2.0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2.0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2.0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2.0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2.0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2.0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2.0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2.0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2.0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2.0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2.0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2.0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2.0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2.0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2.0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2.0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2.0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2.0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2.0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2.0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2.0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2.0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2.0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2.0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2.0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2.0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2.0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2.0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2.0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2.0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2.0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2.0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2.0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2.0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2.0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2.0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2.0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2.0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2.0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2.0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2.0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2.0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2.0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2.0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2.0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2.0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2.0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2.0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2.0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2.0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2.0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2.0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2.0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2.0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2.0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2.0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2.0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2.0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2.0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2.0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2.0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2.0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2.0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2.0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2.0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2.0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2.0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2.0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2.0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2.0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2.0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2.0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2.0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2.0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2.0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2.0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2.0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2.0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2.0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2.0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2.0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2.0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2.0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2.0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2.0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2.0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2.0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2.0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2.0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2.0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2.0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2.0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2.0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2.0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2.0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2.0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2.0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2.0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2.0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2.0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2.0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2.0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2.0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2.0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2.0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2.0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2.0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2.0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2.0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2.0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2.0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2.0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2.0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2.0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2.0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2.0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2.0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2.0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2.0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2.0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2.0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2.0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2.0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2.0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2.0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2.0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2.0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2.0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2.0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2.0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2.0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2.0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2.0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2.0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2.0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2.0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2.0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2.0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2.0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2.0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2.0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2.0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2.0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2.0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2.0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2.0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2.0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2.0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2.0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2.0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2.0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2.0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2.0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2.0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2.0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2.0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2.0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2.0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2.0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2.0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2.0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2.0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2.0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2.0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2.0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2.0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2.0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2.0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2.0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2.0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2.0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2.0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2.0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2.0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2.0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2.0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2.0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2.0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2.0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2.0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2.0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2.0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2.0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2.0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2.0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2.0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2.0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2.0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2.0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2.0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2.0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2.0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2.0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2.0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2.0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2.0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2.0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2.0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2.0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2.0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2.0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2.0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2.0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2.0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2.0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2.0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2.0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2.0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2.0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2.0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2.0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2.0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2.0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2.0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2.0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2.0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2.0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2.0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2.0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2.0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2.0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2.0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2.0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2.0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2.0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2.0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2.0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2.0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2.0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2.0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2.0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2.0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2.0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2.0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2.0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2.0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2.0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2.0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2.0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2.0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2.0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2.0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2.0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2.0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2.0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2.0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2.0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2.0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2.0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2.0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2.0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2.0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2.0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2.0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2.0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2.0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2.0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2.0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2.0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2.0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2.0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2.0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2.0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2.0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2.0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2.0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2.0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2.0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2.0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2.0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2.0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2.0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2.0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2.0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2.0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2.0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2.0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2.0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2.0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2.0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2.0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2.0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2.0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2.0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2.0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2.0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2.0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2.0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2.0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2.0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2.0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2.0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2.0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2.0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2.0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2.0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2.0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2.0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2.0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2.0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2.0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2.0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2.0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2.0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2.0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2.0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2.0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2.0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2.0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2.0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2.0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2.0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2.0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2.0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2.0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2.0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2.0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2.0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2.0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2.0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2.0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2.0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2.0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2.0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2.0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2.0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2.0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2.0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2.0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2.0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2.0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2.0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2.0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2.0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2.0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2.0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2.0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2.0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2.0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2.0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2.0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2.0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2.0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2.0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2.0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2.0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2.0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2.0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2.0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2.0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2.0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2.0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2.0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2.0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2.0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2.0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2.0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2.0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2.0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2.0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2.0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2.0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2.0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2.0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2.0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2.0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2.0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2.0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2.0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2.0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2.0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2.0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2.0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2.0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2.0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2.0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2.0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2.0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2.0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2.0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2.0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2.0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2.0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2.0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2.0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2.0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2.0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2.0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2.0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2.0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2.0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2.0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2.0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2.0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2.0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2.0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2.0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2.0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2.0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2.0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2.0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2.0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2.0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2.0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2.0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2.0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2.0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2.0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2.0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2.0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2.0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2.0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2.0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2.0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2.0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2.0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2.0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2.0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2.0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2.0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2.0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2.0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2.0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2.0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2.0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2.0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2.0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2.0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2.0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2.0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2.0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2.0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2.0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2.0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2.0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2.0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2.0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2.0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2.0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2.0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2.0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2.0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2.0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2.0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2.0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2.0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2.0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2.0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2.0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2.0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2.0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2.0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2.0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2.0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2.0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2.0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2.0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2.0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2.0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2.0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2.0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2.0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2.0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2.0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2.0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2.0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2.0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2.0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2.0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2.0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2.0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2.0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2.0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2.0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2.0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2.0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2.0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2.0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2.0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2.0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2.0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2.0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2.0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2.0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2.0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2.0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2.0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2.0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2.0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2.0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2.0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2.0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2.0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2.0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2.0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2.0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2.0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2.0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2.0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2.0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2.0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2.0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2.0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2.0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2.0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2.0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2.0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2.0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2.0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2.0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2.0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2.0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2.0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2.0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2.0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2.0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2.0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2.0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2.0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2.0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2.0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2.0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2.0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2.0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2.0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2.0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2.0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2.0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2.0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2.0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2.0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2.0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2.0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2.0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2.0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2.0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2.0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2.0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2.0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2.0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2.0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2.0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2.0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2.0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2.0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2.0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2.0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2.0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2.0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2.0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2.0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2.0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2.0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2.0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2.0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2.0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2.0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2.0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2.0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2.0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2.0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2.0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2.0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2.0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2.0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2.0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2.0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2.0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2.0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2.0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2.0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2.0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2.0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2.0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2.0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2.0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2.0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2.0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2.0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2.0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2.0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2.0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2.0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2.0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2.0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2.0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2.0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2.0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2.0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2.0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2.0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2.0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2.0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2.0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2.0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2.0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2.0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2.0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2.0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2.0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2.0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2.0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2.0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2.0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2.0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2.0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2.0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2.0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2.0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2.0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2.0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2.0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2.0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2.0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2.0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2.0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2.0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2.0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2.0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2.0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2.0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2.0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2.0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2.0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2.0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2.0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2.0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2.0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2.0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2.0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2.0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2.0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2.0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2.0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2.0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2.0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2.0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2.0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2.0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2.0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2.0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1">
    <mergeCell ref="A16:B16"/>
  </mergeCells>
  <printOptions/>
  <pageMargins bottom="1.0" footer="0.0" header="0.0" left="1.0" right="1.0" top="1.0"/>
  <pageSetup paperSize="5" scale="80" orientation="portrait"/>
  <drawing r:id="rId1"/>
</worksheet>
</file>