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" sheetId="2" r:id="rId6"/>
    <sheet state="visible" name="Feb UPDATED" sheetId="3" r:id="rId7"/>
    <sheet state="visible" name="Mar" sheetId="4" r:id="rId8"/>
    <sheet state="visible" name="Q1" sheetId="5" r:id="rId9"/>
    <sheet state="visible" name="Apr" sheetId="6" r:id="rId10"/>
    <sheet state="visible" name="May" sheetId="7" r:id="rId11"/>
    <sheet state="visible" name="June" sheetId="8" r:id="rId12"/>
    <sheet state="visible" name="Q2" sheetId="9" r:id="rId13"/>
    <sheet state="visible" name="July" sheetId="10" r:id="rId14"/>
    <sheet state="visible" name="Aug" sheetId="11" r:id="rId15"/>
    <sheet state="visible" name="Sep" sheetId="12" r:id="rId16"/>
    <sheet state="visible" name="Q3" sheetId="13" r:id="rId17"/>
    <sheet state="visible" name="Oct" sheetId="14" r:id="rId18"/>
    <sheet state="visible" name="Nov" sheetId="15" r:id="rId19"/>
    <sheet state="visible" name="Dec" sheetId="16" r:id="rId20"/>
    <sheet state="visible" name="Q4" sheetId="17" r:id="rId21"/>
    <sheet state="visible" name="AUM" sheetId="18" r:id="rId22"/>
    <sheet state="visible" name="NET SALES" sheetId="19" r:id="rId23"/>
  </sheets>
  <definedNames/>
  <calcPr/>
</workbook>
</file>

<file path=xl/sharedStrings.xml><?xml version="1.0" encoding="utf-8"?>
<sst xmlns="http://schemas.openxmlformats.org/spreadsheetml/2006/main" count="2153" uniqueCount="179">
  <si>
    <t>PHILIPPINE INVESTMENT FUNDS ASSOCIATION, INC.</t>
  </si>
  <si>
    <t>MUTUAL FUNDS STATISTICAL REPORT</t>
  </si>
  <si>
    <t>Month of January 2023</t>
  </si>
  <si>
    <t>(Amounts in Peso)</t>
  </si>
  <si>
    <t xml:space="preserve">  F  O  R  - T  H  E -  M  O  N  T  H</t>
  </si>
  <si>
    <t xml:space="preserve"> Y  E  A  R  -  T  O  -  D  A  T  E</t>
  </si>
  <si>
    <t>Fund Category</t>
  </si>
  <si>
    <t>Fund Name</t>
  </si>
  <si>
    <t>ASSETS</t>
  </si>
  <si>
    <t>LIABILITIES</t>
  </si>
  <si>
    <t>NET ASSETS</t>
  </si>
  <si>
    <t>EQUITY INV.</t>
  </si>
  <si>
    <t>NO. OF A/C</t>
  </si>
  <si>
    <t>SALES</t>
  </si>
  <si>
    <t>REDEMPTIONS</t>
  </si>
  <si>
    <t>NET SALES</t>
  </si>
  <si>
    <t>TOTAL SALES</t>
  </si>
  <si>
    <t>TOTAL REDEMPTIONS</t>
  </si>
  <si>
    <t>TOTAL NET SALES</t>
  </si>
  <si>
    <t>Stock Funds</t>
  </si>
  <si>
    <t>Primarily invested in Peso Securities (shares)</t>
  </si>
  <si>
    <t>ALFM Growth Fund, Inc.</t>
  </si>
  <si>
    <t>ATRAM Alpha Opportunity Fund, Inc.</t>
  </si>
  <si>
    <t>ATRAM Phil. Equity Opportunity Fund, Inc.</t>
  </si>
  <si>
    <t>Climbs Share Capital Equity Investment Fund Corp.</t>
  </si>
  <si>
    <t>First Metro Consumer Fund, Inc.</t>
  </si>
  <si>
    <t>First Metro Save and Learn Equity Fund, Inc.</t>
  </si>
  <si>
    <t>First Metro Save and Learn Phil. Index Fund, Inc.</t>
  </si>
  <si>
    <t>MBG Equity Investment Fund, Inc.</t>
  </si>
  <si>
    <t>PAMI Equity Index Fund, Inc.</t>
  </si>
  <si>
    <t>Philam Strategic Growth Fund, Inc.</t>
  </si>
  <si>
    <t>Philequity Dividend Yield Fund, Inc.</t>
  </si>
  <si>
    <t>Philequity Fund, Inc.</t>
  </si>
  <si>
    <t>Philequity MSCI Phil. Index Fund, Inc.</t>
  </si>
  <si>
    <t>Philequity PSE Index Fund, Inc.</t>
  </si>
  <si>
    <t>Philippine Stock Index Fund Corp.</t>
  </si>
  <si>
    <t>Soldivo Strategic Growth Fund, Inc.</t>
  </si>
  <si>
    <t>Sun Life Prosperity Philippine Equity Fund, Inc.</t>
  </si>
  <si>
    <t>Sun Life Prosperity Phil. Stock Index Fund, Inc.</t>
  </si>
  <si>
    <t>United Fund, Inc.</t>
  </si>
  <si>
    <t>Primarily invested in Peso Securities (units)</t>
  </si>
  <si>
    <t>COL Equity Index Unitized Mutual Fund, Inc.</t>
  </si>
  <si>
    <t>Philequity Alpha One Fund, Inc.</t>
  </si>
  <si>
    <t>Exchange Traded Fund</t>
  </si>
  <si>
    <t>First Metro Phil. Equity Exchange Traded Fund, Inc.</t>
  </si>
  <si>
    <t xml:space="preserve">         Sub total - Peso Currency</t>
  </si>
  <si>
    <t>Primarily invested in foreign currency securities (shares)</t>
  </si>
  <si>
    <t>ATRAM AsiaPlus Equity Fund, Inc.</t>
  </si>
  <si>
    <t>Sun Life Prosperity World Voyager Fund, Inc.</t>
  </si>
  <si>
    <t xml:space="preserve">        Sub total - US Currency</t>
  </si>
  <si>
    <t>Sub total - stock funds</t>
  </si>
  <si>
    <t>Balanced Funds</t>
  </si>
  <si>
    <t>ATRAM Dynamic Allocation Fund, Inc.</t>
  </si>
  <si>
    <t>ATRAM Philippine Balanced Fund, Inc.</t>
  </si>
  <si>
    <t>First Metro Save and Learn Balanced Fund, Inc.</t>
  </si>
  <si>
    <t>First Metro Save and Learn F.O.C.C.U.S. Dynamic Fund, Inc.</t>
  </si>
  <si>
    <t>NCM Mutual Fund of the Phils., Inc.</t>
  </si>
  <si>
    <t>PAMI Horizon Fund, Inc.</t>
  </si>
  <si>
    <t>Philam Fund, Inc.</t>
  </si>
  <si>
    <t>Solidaritas Fund, Inc.</t>
  </si>
  <si>
    <t>Sun Life Prosperity Balanced Fund, Inc.</t>
  </si>
  <si>
    <t>Sun Life Prosperity Dynamic Fund, Inc.</t>
  </si>
  <si>
    <t>Sun Life Prosperity Achiever Fund 2028, Inc.</t>
  </si>
  <si>
    <t>Sun Life Prosperity Achiever Fund 2038, Inc.</t>
  </si>
  <si>
    <t>Sun Life Prosperity Achiever Fund 2048, Inc.</t>
  </si>
  <si>
    <t>Cocolife Dollar Fund Builder, Inc. </t>
  </si>
  <si>
    <t>PAMI Asia Balanced Fund, Inc.</t>
  </si>
  <si>
    <t>Sun Life Prosperity Dollar Advantage Fund, Inc.</t>
  </si>
  <si>
    <t>Sun Life Prosperity Dollar Wellspring Fund, Inc.</t>
  </si>
  <si>
    <t>Sub total - balanced funds</t>
  </si>
  <si>
    <t>Bond Funds</t>
  </si>
  <si>
    <t>ALFM Peso Bond Fund, Inc.</t>
  </si>
  <si>
    <t>ATRAM Corporate Bond Fund, Inc.</t>
  </si>
  <si>
    <t>Cocolife Fixed Income Fund, Inc.</t>
  </si>
  <si>
    <t>Ekklesia Mutual Fund, Inc.</t>
  </si>
  <si>
    <t>First Metro Save and Learn Fixed Income Fund, Inc.</t>
  </si>
  <si>
    <t>Philam Managed Income Fund, Inc.</t>
  </si>
  <si>
    <t>Philam Bond Fund, Inc.</t>
  </si>
  <si>
    <t>Philequity Peso Bond Fund, Inc.</t>
  </si>
  <si>
    <t>Soldivo Bond Fund, Inc.</t>
  </si>
  <si>
    <t>Sun Life Prosperity Bond Fund, Inc.</t>
  </si>
  <si>
    <t>Sun Life Prosperity GS Fund, Inc.</t>
  </si>
  <si>
    <t>ALFM Dollar Bond Fund, Inc.</t>
  </si>
  <si>
    <t>ATRAM Total Return Dollar Bond Fund, Inc.</t>
  </si>
  <si>
    <t>First Metro Save and Learn Dollar Bond Fund, Inc.</t>
  </si>
  <si>
    <t>PAMI Global Bond Fund Phils., Inc.</t>
  </si>
  <si>
    <t>Philam Dollar Bond Fund, Inc.</t>
  </si>
  <si>
    <t>Philequity Dollar Income Fund, Inc.</t>
  </si>
  <si>
    <t>Sun Life Prosperity Dollar Abundance Fund, Inc.</t>
  </si>
  <si>
    <t xml:space="preserve">         Sub total - US Currency</t>
  </si>
  <si>
    <t>ALFM Euro Bond Fund, Inc.</t>
  </si>
  <si>
    <t xml:space="preserve">        Sub total - Euro Currency</t>
  </si>
  <si>
    <t>Sub total - bond funds</t>
  </si>
  <si>
    <t>Money Market Funds</t>
  </si>
  <si>
    <t>ALFM Money Market Fund, Inc.</t>
  </si>
  <si>
    <t>First Metro Save and Learn Money Market Fund, Inc.</t>
  </si>
  <si>
    <t>Sun Life Prosperity Peso Starter Fund, Inc.</t>
  </si>
  <si>
    <t>Sun Life Prosperity Dollar Starter Fund, Inc.</t>
  </si>
  <si>
    <t>Sub total - money market funds</t>
  </si>
  <si>
    <t>Feeder Fund</t>
  </si>
  <si>
    <t>Primarily invested in Peso securities (units)</t>
  </si>
  <si>
    <t>ALFM Global Multi-Asset Income Fund Inc.</t>
  </si>
  <si>
    <t>Sun Life Prosperity World Equity Index Feeder Fund, Inc.</t>
  </si>
  <si>
    <t>Primarily invested in foreign currency securities (units)</t>
  </si>
  <si>
    <t>ALFM Global Multi-Asset Income Fund, Inc.</t>
  </si>
  <si>
    <t>Sub total - feeder fund</t>
  </si>
  <si>
    <t>GRAND TOTAL</t>
  </si>
  <si>
    <t>Month of February 2023</t>
  </si>
  <si>
    <t>Cocolife Dollar Fund Builder, Inc.</t>
  </si>
  <si>
    <t>PAMI Global Bond Fund, Inc.</t>
  </si>
  <si>
    <t>COL Equity Index Unitized Mutual Fund, Inc. *</t>
  </si>
  <si>
    <t>Note:</t>
  </si>
  <si>
    <t>* - Adjustments were made on the Sales for the Month and Redemption for the Month portion to reflect the correct figures.</t>
  </si>
  <si>
    <t>Month of March 2023</t>
  </si>
  <si>
    <t>As of the First Quarter of 2023</t>
  </si>
  <si>
    <t>First Metro Consumer Fund on MSCI Phils. IMI, Inc.</t>
  </si>
  <si>
    <t>Philequity MSCI Phils. Index Fund, Inc.</t>
  </si>
  <si>
    <t>Month of April 2023</t>
  </si>
  <si>
    <t>Month of May 2023</t>
  </si>
  <si>
    <t>Month of June 2023</t>
  </si>
  <si>
    <t>As of the Second Quarter of 2023</t>
  </si>
  <si>
    <t>Month of July 2023</t>
  </si>
  <si>
    <t>Month of August 2023</t>
  </si>
  <si>
    <t>Month of September 2023</t>
  </si>
  <si>
    <t>Sun Life Prosperity World Income Fund, Inc.*</t>
  </si>
  <si>
    <t xml:space="preserve"> * - Its membership in PIFA was approved by the Board of Trustees last August 9, 2023.</t>
  </si>
  <si>
    <t>As of the Third Quarter of 2023</t>
  </si>
  <si>
    <t>Month of October 2023</t>
  </si>
  <si>
    <t>COL Strategic Growth Equity Unitized Mutual Fund, Inc. *</t>
  </si>
  <si>
    <t>Sun Life Prosperity World Income Fund, Inc.</t>
  </si>
  <si>
    <t xml:space="preserve"> * - Its membership in PIFA was approved by the Board of Trustees last October 3, 2023.</t>
  </si>
  <si>
    <t>Month of November 2023</t>
  </si>
  <si>
    <t>COL Strategic Growth Equity Unitized Mutual Fund, Inc.</t>
  </si>
  <si>
    <t>Corporate Debt Fund</t>
  </si>
  <si>
    <t>ATRAM Unitized Corporate Debt Vehicle, Inc.*a</t>
  </si>
  <si>
    <t xml:space="preserve"> * - The fund was officially launched last May 25, 2023.  On November 28 its membership in PIFA was approved.</t>
  </si>
  <si>
    <t>a  - YTD Sales was adjusted to reflect the 700 million that was booked in May.</t>
  </si>
  <si>
    <t>Month of December 2023</t>
  </si>
  <si>
    <t>ATRAM Unicapital Diversified Growth Fund, Inc.*</t>
  </si>
  <si>
    <t>Corporate Debt Vehicle (units)</t>
  </si>
  <si>
    <t>ATRAM Unitized Corporate Debt Vehicle, Inc.</t>
  </si>
  <si>
    <t xml:space="preserve"> * - Formerly, ATRAM Dynamic Allocation Fund, Inc.</t>
  </si>
  <si>
    <t>As of the Fourth Quarter of 2023</t>
  </si>
  <si>
    <t>COL Strategic Growth Equity Unitized Mutual Fund, Inc.*</t>
  </si>
  <si>
    <r>
      <rPr>
        <rFont val="Arial"/>
        <color theme="1"/>
        <sz val="8.0"/>
      </rPr>
      <t>ATRAM Dynamic Allocation Fund, Inc.</t>
    </r>
    <r>
      <rPr>
        <rFont val="Arial"/>
        <color theme="1"/>
        <sz val="8.0"/>
        <vertAlign val="superscript"/>
      </rPr>
      <t>b</t>
    </r>
  </si>
  <si>
    <t>Corporat e Debt Vehicle (units)</t>
  </si>
  <si>
    <r>
      <rPr>
        <rFont val="Arial"/>
        <color theme="1"/>
        <sz val="8.0"/>
      </rPr>
      <t>ATRAM Unitized Corporate Debt Vehicle, Inc.**</t>
    </r>
    <r>
      <rPr>
        <rFont val="Arial"/>
        <color theme="1"/>
        <sz val="8.0"/>
        <vertAlign val="superscript"/>
      </rPr>
      <t>a</t>
    </r>
  </si>
  <si>
    <t xml:space="preserve"> ** - Its membership in PIFA was approved by the Board of Trustees last November 28, 2023.</t>
  </si>
  <si>
    <t>b  - Formerly, ATRAM Dynamic Allocation Fund, Inc.</t>
  </si>
  <si>
    <t>ASSET UNDER MANAGEMENT</t>
  </si>
  <si>
    <t>No.</t>
  </si>
  <si>
    <t>Company</t>
  </si>
  <si>
    <t>No. of Funds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</si>
  <si>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</si>
  <si>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</si>
  <si>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</si>
  <si>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</si>
  <si>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</si>
  <si>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</si>
  <si>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</si>
  <si>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</si>
  <si>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</si>
  <si>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</si>
  <si>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</si>
  <si>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</si>
  <si>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ATRAM</t>
  </si>
  <si>
    <t>BIMI</t>
  </si>
  <si>
    <t>CAMCI</t>
  </si>
  <si>
    <t>CIMAC</t>
  </si>
  <si>
    <t>CMI</t>
  </si>
  <si>
    <t>FAMI</t>
  </si>
  <si>
    <t>MBG</t>
  </si>
  <si>
    <t>NCM MF</t>
  </si>
  <si>
    <t>PEMI</t>
  </si>
  <si>
    <t>SLAMCI</t>
  </si>
  <si>
    <t>GRAND TOTALS</t>
  </si>
  <si>
    <t>YEAR-TO-DATE NET SALES</t>
  </si>
  <si>
    <t>Total Sales</t>
  </si>
  <si>
    <t>Total Redemptions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</si>
</sst>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#,##0.0_);\(#,##0.0\)"/>
    <numFmt numFmtId="166" formatCode="_(* #,##0.00_);_(* \(#,##0.00\);_(* &quot;-&quot;??_);_(@_)"/>
    <numFmt numFmtId="167" formatCode="_(* #,##0.000_);_(* \(#,##0.000\);_(* &quot;-&quot;??_);_(@_)"/>
    <numFmt numFmtId="168" formatCode="#,##0.000000000_);\(#,##0.000000000\)"/>
    <numFmt numFmtId="169" formatCode="#,##0.0000_);\(#,##0.0000\)"/>
  </numFmts>
  <fonts count="11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/>
    <font>
      <i/>
      <sz val="8.0"/>
      <color theme="1"/>
      <name val="Arial"/>
    </font>
    <font>
      <b/>
      <i/>
      <sz val="8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7.0"/>
      <color rgb="FF212529"/>
      <name val="Helmet Neue"/>
    </font>
    <font>
      <sz val="8.0"/>
      <color rgb="FFFF0000"/>
      <name val="Arial"/>
    </font>
    <font>
      <sz val="8.0"/>
      <color theme="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39" xfId="0" applyFont="1" applyNumberFormat="1"/>
    <xf borderId="0" fillId="0" fontId="2" numFmtId="0" xfId="0" applyAlignment="1" applyFont="1">
      <alignment horizontal="center"/>
    </xf>
    <xf borderId="0" fillId="0" fontId="2" numFmtId="39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right"/>
    </xf>
    <xf borderId="0" fillId="0" fontId="1" numFmtId="164" xfId="0" applyFont="1" applyNumberFormat="1"/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right"/>
    </xf>
    <xf borderId="1" fillId="2" fontId="1" numFmtId="164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1" numFmtId="39" xfId="0" applyAlignment="1" applyBorder="1" applyFont="1" applyNumberFormat="1">
      <alignment horizontal="left"/>
    </xf>
    <xf borderId="4" fillId="2" fontId="2" numFmtId="0" xfId="0" applyAlignment="1" applyBorder="1" applyFont="1">
      <alignment horizontal="center"/>
    </xf>
    <xf borderId="4" fillId="2" fontId="1" numFmtId="39" xfId="0" applyAlignment="1" applyBorder="1" applyFont="1" applyNumberFormat="1">
      <alignment horizontal="center"/>
    </xf>
    <xf borderId="4" fillId="2" fontId="1" numFmtId="164" xfId="0" applyAlignment="1" applyBorder="1" applyFont="1" applyNumberFormat="1">
      <alignment horizontal="center"/>
    </xf>
    <xf borderId="0" fillId="0" fontId="1" numFmtId="39" xfId="0" applyAlignment="1" applyFont="1" applyNumberFormat="1">
      <alignment horizontal="center"/>
    </xf>
    <xf borderId="0" fillId="0" fontId="4" numFmtId="39" xfId="0" applyFont="1" applyNumberFormat="1"/>
    <xf borderId="0" fillId="0" fontId="2" numFmtId="3" xfId="0" applyAlignment="1" applyFont="1" applyNumberFormat="1">
      <alignment horizontal="right"/>
    </xf>
    <xf borderId="0" fillId="0" fontId="2" numFmtId="3" xfId="0" applyFont="1" applyNumberFormat="1"/>
    <xf borderId="0" fillId="0" fontId="2" numFmtId="165" xfId="0" applyFont="1" applyNumberFormat="1"/>
    <xf borderId="0" fillId="0" fontId="2" numFmtId="39" xfId="0" applyAlignment="1" applyFont="1" applyNumberFormat="1">
      <alignment horizontal="right"/>
    </xf>
    <xf borderId="0" fillId="0" fontId="2" numFmtId="39" xfId="0" applyAlignment="1" applyFont="1" applyNumberFormat="1">
      <alignment horizontal="left"/>
    </xf>
    <xf borderId="0" fillId="0" fontId="5" numFmtId="39" xfId="0" applyFont="1" applyNumberFormat="1"/>
    <xf borderId="0" fillId="0" fontId="1" numFmtId="0" xfId="0" applyAlignment="1" applyFont="1">
      <alignment horizontal="center"/>
    </xf>
    <xf borderId="5" fillId="0" fontId="1" numFmtId="3" xfId="0" applyAlignment="1" applyBorder="1" applyFont="1" applyNumberFormat="1">
      <alignment horizontal="right"/>
    </xf>
    <xf borderId="5" fillId="0" fontId="1" numFmtId="3" xfId="0" applyBorder="1" applyFont="1" applyNumberFormat="1"/>
    <xf borderId="0" fillId="0" fontId="2" numFmtId="3" xfId="0" applyAlignment="1" applyFont="1" applyNumberFormat="1">
      <alignment horizontal="right" shrinkToFit="0" wrapText="1"/>
    </xf>
    <xf borderId="0" fillId="0" fontId="1" numFmtId="0" xfId="0" applyFont="1"/>
    <xf borderId="0" fillId="0" fontId="2" numFmtId="0" xfId="0" applyFont="1"/>
    <xf borderId="0" fillId="0" fontId="1" numFmtId="37" xfId="0" applyAlignment="1" applyFont="1" applyNumberFormat="1">
      <alignment horizontal="center"/>
    </xf>
    <xf borderId="4" fillId="2" fontId="1" numFmtId="39" xfId="0" applyBorder="1" applyFont="1" applyNumberFormat="1"/>
    <xf borderId="4" fillId="2" fontId="1" numFmtId="0" xfId="0" applyAlignment="1" applyBorder="1" applyFont="1">
      <alignment horizontal="center"/>
    </xf>
    <xf borderId="4" fillId="2" fontId="6" numFmtId="0" xfId="0" applyBorder="1" applyFont="1"/>
    <xf borderId="6" fillId="2" fontId="1" numFmtId="3" xfId="0" applyAlignment="1" applyBorder="1" applyFont="1" applyNumberFormat="1">
      <alignment horizontal="right"/>
    </xf>
    <xf borderId="6" fillId="2" fontId="1" numFmtId="3" xfId="0" applyBorder="1" applyFont="1" applyNumberFormat="1"/>
    <xf borderId="0" fillId="0" fontId="7" numFmtId="0" xfId="0" applyFont="1"/>
    <xf borderId="4" fillId="3" fontId="2" numFmtId="3" xfId="0" applyAlignment="1" applyBorder="1" applyFill="1" applyFont="1" applyNumberFormat="1">
      <alignment horizontal="right"/>
    </xf>
    <xf borderId="4" fillId="3" fontId="2" numFmtId="3" xfId="0" applyBorder="1" applyFont="1" applyNumberFormat="1"/>
    <xf borderId="0" fillId="0" fontId="8" numFmtId="3" xfId="0" applyFont="1" applyNumberFormat="1"/>
    <xf borderId="0" fillId="0" fontId="2" numFmtId="4" xfId="0" applyFont="1" applyNumberFormat="1"/>
    <xf borderId="0" fillId="0" fontId="2" numFmtId="4" xfId="0" applyAlignment="1" applyFont="1" applyNumberFormat="1">
      <alignment horizontal="right"/>
    </xf>
    <xf borderId="0" fillId="0" fontId="2" numFmtId="37" xfId="0" applyFont="1" applyNumberFormat="1"/>
    <xf borderId="0" fillId="0" fontId="2" numFmtId="4" xfId="0" applyAlignment="1" applyFont="1" applyNumberFormat="1">
      <alignment horizontal="center"/>
    </xf>
    <xf borderId="0" fillId="0" fontId="2" numFmtId="37" xfId="0" applyAlignment="1" applyFont="1" applyNumberFormat="1">
      <alignment horizontal="center"/>
    </xf>
    <xf borderId="0" fillId="0" fontId="1" numFmtId="4" xfId="0" applyFont="1" applyNumberFormat="1"/>
    <xf borderId="0" fillId="0" fontId="1" numFmtId="4" xfId="0" applyAlignment="1" applyFont="1" applyNumberFormat="1">
      <alignment horizontal="right"/>
    </xf>
    <xf borderId="0" fillId="0" fontId="1" numFmtId="4" xfId="0" applyAlignment="1" applyFont="1" applyNumberFormat="1">
      <alignment horizontal="center"/>
    </xf>
    <xf borderId="4" fillId="4" fontId="1" numFmtId="39" xfId="0" applyAlignment="1" applyBorder="1" applyFill="1" applyFont="1" applyNumberFormat="1">
      <alignment horizontal="left"/>
    </xf>
    <xf borderId="4" fillId="4" fontId="2" numFmtId="0" xfId="0" applyAlignment="1" applyBorder="1" applyFont="1">
      <alignment horizontal="center"/>
    </xf>
    <xf borderId="4" fillId="4" fontId="1" numFmtId="39" xfId="0" applyAlignment="1" applyBorder="1" applyFont="1" applyNumberFormat="1">
      <alignment horizontal="center"/>
    </xf>
    <xf borderId="4" fillId="4" fontId="1" numFmtId="4" xfId="0" applyAlignment="1" applyBorder="1" applyFont="1" applyNumberFormat="1">
      <alignment horizontal="center"/>
    </xf>
    <xf borderId="4" fillId="4" fontId="1" numFmtId="37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right"/>
    </xf>
    <xf borderId="6" fillId="2" fontId="1" numFmtId="164" xfId="0" applyAlignment="1" applyBorder="1" applyFont="1" applyNumberFormat="1">
      <alignment horizontal="right"/>
    </xf>
    <xf borderId="4" fillId="3" fontId="2" numFmtId="164" xfId="0" applyAlignment="1" applyBorder="1" applyFont="1" applyNumberFormat="1">
      <alignment horizontal="right"/>
    </xf>
    <xf borderId="4" fillId="3" fontId="2" numFmtId="164" xfId="0" applyBorder="1" applyFont="1" applyNumberFormat="1"/>
    <xf borderId="0" fillId="0" fontId="9" numFmtId="164" xfId="0" applyAlignment="1" applyFont="1" applyNumberFormat="1">
      <alignment horizontal="right"/>
    </xf>
    <xf quotePrefix="1" borderId="0" fillId="0" fontId="2" numFmtId="0" xfId="0" applyFont="1"/>
    <xf borderId="0" fillId="0" fontId="2" numFmtId="9" xfId="0" applyFont="1" applyNumberFormat="1"/>
    <xf borderId="0" fillId="0" fontId="2" numFmtId="9" xfId="0" applyAlignment="1" applyFont="1" applyNumberFormat="1">
      <alignment horizontal="center"/>
    </xf>
    <xf borderId="0" fillId="0" fontId="1" numFmtId="3" xfId="0" applyFont="1" applyNumberFormat="1"/>
    <xf borderId="0" fillId="0" fontId="7" numFmtId="15" xfId="0" applyFont="1" applyNumberFormat="1"/>
    <xf borderId="0" fillId="0" fontId="10" numFmtId="164" xfId="0" applyFont="1" applyNumberFormat="1"/>
    <xf borderId="0" fillId="0" fontId="6" numFmtId="39" xfId="0" applyFont="1" applyNumberFormat="1"/>
    <xf borderId="0" fillId="0" fontId="6" numFmtId="0" xfId="0" applyAlignment="1" applyFont="1">
      <alignment horizontal="left"/>
    </xf>
    <xf borderId="7" fillId="5" fontId="6" numFmtId="0" xfId="0" applyAlignment="1" applyBorder="1" applyFill="1" applyFont="1">
      <alignment horizontal="center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7" fillId="0" fontId="7" numFmtId="0" xfId="0" applyAlignment="1" applyBorder="1" applyFont="1">
      <alignment horizontal="center"/>
    </xf>
    <xf borderId="7" fillId="0" fontId="7" numFmtId="0" xfId="0" applyAlignment="1" applyBorder="1" applyFont="1">
      <alignment shrinkToFit="0" vertical="center" wrapText="1"/>
    </xf>
    <xf borderId="7" fillId="0" fontId="7" numFmtId="3" xfId="0" applyBorder="1" applyFont="1" applyNumberFormat="1"/>
    <xf borderId="7" fillId="0" fontId="7" numFmtId="37" xfId="0" applyBorder="1" applyFont="1" applyNumberFormat="1"/>
    <xf borderId="7" fillId="0" fontId="7" numFmtId="164" xfId="0" applyBorder="1" applyFont="1" applyNumberFormat="1"/>
    <xf borderId="7" fillId="0" fontId="7" numFmtId="166" xfId="0" applyBorder="1" applyFont="1" applyNumberFormat="1"/>
    <xf borderId="0" fillId="0" fontId="7" numFmtId="166" xfId="0" applyFont="1" applyNumberFormat="1"/>
    <xf borderId="0" fillId="0" fontId="7" numFmtId="164" xfId="0" applyFont="1" applyNumberFormat="1"/>
    <xf borderId="7" fillId="0" fontId="7" numFmtId="0" xfId="0" applyBorder="1" applyFont="1"/>
    <xf borderId="0" fillId="0" fontId="7" numFmtId="0" xfId="0" applyAlignment="1" applyFont="1">
      <alignment horizontal="center"/>
    </xf>
    <xf borderId="0" fillId="0" fontId="7" numFmtId="3" xfId="0" applyFont="1" applyNumberFormat="1"/>
    <xf borderId="0" fillId="0" fontId="6" numFmtId="0" xfId="0" applyAlignment="1" applyFont="1">
      <alignment horizontal="center"/>
    </xf>
    <xf borderId="9" fillId="0" fontId="6" numFmtId="0" xfId="0" applyAlignment="1" applyBorder="1" applyFont="1">
      <alignment horizontal="center"/>
    </xf>
    <xf borderId="9" fillId="0" fontId="6" numFmtId="3" xfId="0" applyBorder="1" applyFont="1" applyNumberFormat="1"/>
    <xf borderId="9" fillId="0" fontId="6" numFmtId="166" xfId="0" applyBorder="1" applyFont="1" applyNumberFormat="1"/>
    <xf borderId="0" fillId="0" fontId="7" numFmtId="167" xfId="0" applyFont="1" applyNumberFormat="1"/>
    <xf borderId="0" fillId="0" fontId="6" numFmtId="0" xfId="0" applyFont="1"/>
    <xf borderId="7" fillId="6" fontId="6" numFmtId="0" xfId="0" applyAlignment="1" applyBorder="1" applyFill="1" applyFont="1">
      <alignment horizontal="center"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7" fillId="0" fontId="6" numFmtId="164" xfId="0" applyBorder="1" applyFont="1" applyNumberFormat="1"/>
    <xf borderId="0" fillId="0" fontId="7" numFmtId="168" xfId="0" applyFont="1" applyNumberFormat="1"/>
    <xf borderId="0" fillId="0" fontId="7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0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19">
        <v>4.7822898166E9</v>
      </c>
      <c r="E9" s="19">
        <v>2.286614434E7</v>
      </c>
      <c r="F9" s="19">
        <f t="shared" ref="F9:F27" si="2">D9-E9</f>
        <v>4759423672</v>
      </c>
      <c r="G9" s="19">
        <v>4.4445668E9</v>
      </c>
      <c r="H9" s="20">
        <v>7266.0</v>
      </c>
      <c r="I9" s="19">
        <v>6706839.07</v>
      </c>
      <c r="J9" s="20">
        <v>7.520613342E7</v>
      </c>
      <c r="K9" s="20">
        <f t="shared" ref="K9:K27" si="3">I9-J9</f>
        <v>-68499294.35</v>
      </c>
      <c r="L9" s="20">
        <f t="shared" ref="L9:M9" si="1">I9</f>
        <v>6706839.07</v>
      </c>
      <c r="M9" s="20">
        <f t="shared" si="1"/>
        <v>75206133.42</v>
      </c>
      <c r="N9" s="20">
        <f t="shared" ref="N9:N27" si="5">L9-M9</f>
        <v>-68499294.35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19">
        <v>7.923359257800001E8</v>
      </c>
      <c r="E10" s="19">
        <v>1.587006675E7</v>
      </c>
      <c r="F10" s="19">
        <f t="shared" si="2"/>
        <v>776465859</v>
      </c>
      <c r="G10" s="19">
        <v>7.2170990519E8</v>
      </c>
      <c r="H10" s="20">
        <v>4230.0</v>
      </c>
      <c r="I10" s="19">
        <v>4499756.250000001</v>
      </c>
      <c r="J10" s="20">
        <v>1.621719082E7</v>
      </c>
      <c r="K10" s="20">
        <f t="shared" si="3"/>
        <v>-11717434.57</v>
      </c>
      <c r="L10" s="20">
        <f t="shared" ref="L10:M10" si="4">I10</f>
        <v>4499756.25</v>
      </c>
      <c r="M10" s="20">
        <f t="shared" si="4"/>
        <v>16217190.82</v>
      </c>
      <c r="N10" s="20">
        <f t="shared" si="5"/>
        <v>-11717434.57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19">
        <v>1.5556866232399998E9</v>
      </c>
      <c r="E11" s="19">
        <v>1.175428664E7</v>
      </c>
      <c r="F11" s="19">
        <f t="shared" si="2"/>
        <v>1543932337</v>
      </c>
      <c r="G11" s="19">
        <v>1.4656305178E9</v>
      </c>
      <c r="H11" s="20">
        <v>2882.0</v>
      </c>
      <c r="I11" s="19">
        <v>1.8795633773999998E8</v>
      </c>
      <c r="J11" s="20">
        <v>1.0251679120000001E7</v>
      </c>
      <c r="K11" s="20">
        <f t="shared" si="3"/>
        <v>177704658.6</v>
      </c>
      <c r="L11" s="20">
        <f t="shared" ref="L11:M11" si="6">I11</f>
        <v>187956337.7</v>
      </c>
      <c r="M11" s="20">
        <f t="shared" si="6"/>
        <v>10251679.12</v>
      </c>
      <c r="N11" s="20">
        <f t="shared" si="5"/>
        <v>177704658.6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19">
        <v>3.5654467435E8</v>
      </c>
      <c r="E12" s="19">
        <v>1.085456354E7</v>
      </c>
      <c r="F12" s="19">
        <f t="shared" si="2"/>
        <v>345690110.8</v>
      </c>
      <c r="G12" s="19">
        <v>1.7299179683E8</v>
      </c>
      <c r="H12" s="20">
        <v>1719.0</v>
      </c>
      <c r="I12" s="19">
        <v>541004.5</v>
      </c>
      <c r="J12" s="20">
        <v>108166.61</v>
      </c>
      <c r="K12" s="20">
        <f t="shared" si="3"/>
        <v>432837.89</v>
      </c>
      <c r="L12" s="20">
        <f t="shared" ref="L12:M12" si="7">I12</f>
        <v>541004.5</v>
      </c>
      <c r="M12" s="20">
        <f t="shared" si="7"/>
        <v>108166.61</v>
      </c>
      <c r="N12" s="20">
        <f t="shared" si="5"/>
        <v>432837.89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19">
        <v>5.4004161238E8</v>
      </c>
      <c r="E13" s="19">
        <v>1254131.92</v>
      </c>
      <c r="F13" s="19">
        <f t="shared" si="2"/>
        <v>538787480.5</v>
      </c>
      <c r="G13" s="19">
        <v>5.2880600756E8</v>
      </c>
      <c r="H13" s="20">
        <v>1434.0</v>
      </c>
      <c r="I13" s="19">
        <v>763858.11</v>
      </c>
      <c r="J13" s="20">
        <v>3298867.58</v>
      </c>
      <c r="K13" s="20">
        <f t="shared" si="3"/>
        <v>-2535009.47</v>
      </c>
      <c r="L13" s="20">
        <f t="shared" ref="L13:M13" si="8">I13</f>
        <v>763858.11</v>
      </c>
      <c r="M13" s="20">
        <f t="shared" si="8"/>
        <v>3298867.58</v>
      </c>
      <c r="N13" s="20">
        <f t="shared" si="5"/>
        <v>-2535009.47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19">
        <v>4.38939535825E9</v>
      </c>
      <c r="E14" s="19">
        <v>5.687899782E7</v>
      </c>
      <c r="F14" s="19">
        <f t="shared" si="2"/>
        <v>4332516360</v>
      </c>
      <c r="G14" s="19">
        <v>4.2483786659E9</v>
      </c>
      <c r="H14" s="20">
        <v>16239.0</v>
      </c>
      <c r="I14" s="19">
        <v>1.931381296E7</v>
      </c>
      <c r="J14" s="20">
        <v>5.400600418E7</v>
      </c>
      <c r="K14" s="20">
        <f t="shared" si="3"/>
        <v>-34692191.22</v>
      </c>
      <c r="L14" s="20">
        <f t="shared" ref="L14:M14" si="9">I14</f>
        <v>19313812.96</v>
      </c>
      <c r="M14" s="20">
        <f t="shared" si="9"/>
        <v>54006004.18</v>
      </c>
      <c r="N14" s="20">
        <f t="shared" si="5"/>
        <v>-34692191.22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19">
        <v>1.0356467556E8</v>
      </c>
      <c r="E15" s="19">
        <v>1636633.28</v>
      </c>
      <c r="F15" s="19">
        <f t="shared" si="2"/>
        <v>101928042.3</v>
      </c>
      <c r="G15" s="19">
        <v>1.0169772279E8</v>
      </c>
      <c r="H15" s="20">
        <v>556.0</v>
      </c>
      <c r="I15" s="19">
        <v>760936.48</v>
      </c>
      <c r="J15" s="20">
        <v>3170318.62</v>
      </c>
      <c r="K15" s="20">
        <f t="shared" si="3"/>
        <v>-2409382.14</v>
      </c>
      <c r="L15" s="20">
        <f t="shared" ref="L15:M15" si="10">I15</f>
        <v>760936.48</v>
      </c>
      <c r="M15" s="20">
        <f t="shared" si="10"/>
        <v>3170318.62</v>
      </c>
      <c r="N15" s="20">
        <f t="shared" si="5"/>
        <v>-2409382.14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19">
        <v>1.2257232713E8</v>
      </c>
      <c r="E16" s="19">
        <v>1973258.36</v>
      </c>
      <c r="F16" s="19">
        <f t="shared" si="2"/>
        <v>120599068.8</v>
      </c>
      <c r="G16" s="19">
        <v>9.3684327E7</v>
      </c>
      <c r="H16" s="20">
        <v>51.0</v>
      </c>
      <c r="I16" s="19">
        <v>0.0</v>
      </c>
      <c r="J16" s="20">
        <v>0.0</v>
      </c>
      <c r="K16" s="20">
        <f t="shared" si="3"/>
        <v>0</v>
      </c>
      <c r="L16" s="20">
        <f t="shared" ref="L16:M16" si="11">I16</f>
        <v>0</v>
      </c>
      <c r="M16" s="20">
        <f t="shared" si="11"/>
        <v>0</v>
      </c>
      <c r="N16" s="20">
        <f t="shared" si="5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19">
        <v>1.41430317403E9</v>
      </c>
      <c r="E17" s="19">
        <v>7.718357457E7</v>
      </c>
      <c r="F17" s="19">
        <f t="shared" si="2"/>
        <v>1337119599</v>
      </c>
      <c r="G17" s="19">
        <v>1.35593619803E9</v>
      </c>
      <c r="H17" s="20">
        <v>12264.0</v>
      </c>
      <c r="I17" s="19">
        <v>0.0</v>
      </c>
      <c r="J17" s="20">
        <v>2.221478139E7</v>
      </c>
      <c r="K17" s="20">
        <f t="shared" si="3"/>
        <v>-22214781.39</v>
      </c>
      <c r="L17" s="20">
        <f t="shared" ref="L17:M17" si="12">I17</f>
        <v>0</v>
      </c>
      <c r="M17" s="20">
        <f t="shared" si="12"/>
        <v>22214781.39</v>
      </c>
      <c r="N17" s="20">
        <f t="shared" si="5"/>
        <v>-22214781.39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19">
        <v>4.03242454099E9</v>
      </c>
      <c r="E18" s="19">
        <v>1.6336034799E8</v>
      </c>
      <c r="F18" s="19">
        <f t="shared" si="2"/>
        <v>3869064193</v>
      </c>
      <c r="G18" s="19">
        <v>3.55381217285E9</v>
      </c>
      <c r="H18" s="20">
        <v>12231.0</v>
      </c>
      <c r="I18" s="19">
        <v>4691706.97</v>
      </c>
      <c r="J18" s="20">
        <v>2.324252454E7</v>
      </c>
      <c r="K18" s="20">
        <f t="shared" si="3"/>
        <v>-18550817.57</v>
      </c>
      <c r="L18" s="20">
        <f t="shared" ref="L18:M18" si="13">I18</f>
        <v>4691706.97</v>
      </c>
      <c r="M18" s="20">
        <f t="shared" si="13"/>
        <v>23242524.54</v>
      </c>
      <c r="N18" s="20">
        <f t="shared" si="5"/>
        <v>-18550817.57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19">
        <v>2.20493965865185E9</v>
      </c>
      <c r="E19" s="19">
        <v>3.66209401292999E7</v>
      </c>
      <c r="F19" s="19">
        <f t="shared" si="2"/>
        <v>2168318719</v>
      </c>
      <c r="G19" s="19">
        <v>1.89652291254196E9</v>
      </c>
      <c r="H19" s="20">
        <v>5629.0</v>
      </c>
      <c r="I19" s="19">
        <v>7.15938836853E7</v>
      </c>
      <c r="J19" s="20">
        <v>4276017.43</v>
      </c>
      <c r="K19" s="20">
        <f t="shared" si="3"/>
        <v>67317866.26</v>
      </c>
      <c r="L19" s="20">
        <f t="shared" ref="L19:M19" si="14">I19</f>
        <v>71593883.69</v>
      </c>
      <c r="M19" s="20">
        <f t="shared" si="14"/>
        <v>4276017.43</v>
      </c>
      <c r="N19" s="20">
        <f t="shared" si="5"/>
        <v>67317866.26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19">
        <v>1.00392926858037E10</v>
      </c>
      <c r="E20" s="19">
        <v>3.48992131194999E7</v>
      </c>
      <c r="F20" s="19">
        <f t="shared" si="2"/>
        <v>10004393473</v>
      </c>
      <c r="G20" s="19">
        <v>9.23045036437E9</v>
      </c>
      <c r="H20" s="20">
        <v>36180.0</v>
      </c>
      <c r="I20" s="19">
        <v>1.06336585E7</v>
      </c>
      <c r="J20" s="20">
        <v>4.51399380200001E7</v>
      </c>
      <c r="K20" s="20">
        <f t="shared" si="3"/>
        <v>-34506279.52</v>
      </c>
      <c r="L20" s="20">
        <f t="shared" ref="L20:M20" si="15">I20</f>
        <v>10633658.5</v>
      </c>
      <c r="M20" s="20">
        <f t="shared" si="15"/>
        <v>45139938.02</v>
      </c>
      <c r="N20" s="20">
        <f t="shared" si="5"/>
        <v>-34506279.52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19">
        <v>3.22774739647189E8</v>
      </c>
      <c r="E21" s="19">
        <v>758232.590000111</v>
      </c>
      <c r="F21" s="19">
        <f t="shared" si="2"/>
        <v>322016507.1</v>
      </c>
      <c r="G21" s="19">
        <v>3.2067284788E8</v>
      </c>
      <c r="H21" s="20">
        <v>1027.0</v>
      </c>
      <c r="I21" s="19">
        <v>418813.73</v>
      </c>
      <c r="J21" s="20">
        <v>437781.13</v>
      </c>
      <c r="K21" s="20">
        <f t="shared" si="3"/>
        <v>-18967.4</v>
      </c>
      <c r="L21" s="20">
        <f t="shared" ref="L21:M21" si="16">I21</f>
        <v>418813.73</v>
      </c>
      <c r="M21" s="20">
        <f t="shared" si="16"/>
        <v>437781.13</v>
      </c>
      <c r="N21" s="20">
        <f t="shared" si="5"/>
        <v>-18967.4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19">
        <v>4.0086954669056E9</v>
      </c>
      <c r="E22" s="19">
        <v>9.84396074567997E7</v>
      </c>
      <c r="F22" s="19">
        <f t="shared" si="2"/>
        <v>3910255859</v>
      </c>
      <c r="G22" s="19">
        <v>3.88565032214869E9</v>
      </c>
      <c r="H22" s="20">
        <v>27101.0</v>
      </c>
      <c r="I22" s="19">
        <v>1.1088030127E8</v>
      </c>
      <c r="J22" s="20">
        <v>9.414505266E7</v>
      </c>
      <c r="K22" s="20">
        <f t="shared" si="3"/>
        <v>16735248.61</v>
      </c>
      <c r="L22" s="20">
        <f t="shared" ref="L22:M22" si="17">I22</f>
        <v>110880301.3</v>
      </c>
      <c r="M22" s="20">
        <f t="shared" si="17"/>
        <v>94145052.66</v>
      </c>
      <c r="N22" s="20">
        <f t="shared" si="5"/>
        <v>16735248.61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19">
        <v>9.27367544057E9</v>
      </c>
      <c r="E23" s="19">
        <v>1.677531623E7</v>
      </c>
      <c r="F23" s="19">
        <f t="shared" si="2"/>
        <v>9256900124</v>
      </c>
      <c r="G23" s="19">
        <v>9.22523873304E9</v>
      </c>
      <c r="H23" s="20">
        <v>14315.0</v>
      </c>
      <c r="I23" s="19">
        <v>4743499.44</v>
      </c>
      <c r="J23" s="20">
        <v>1.5061920405E8</v>
      </c>
      <c r="K23" s="20">
        <f t="shared" si="3"/>
        <v>-145875704.6</v>
      </c>
      <c r="L23" s="20">
        <f t="shared" ref="L23:M23" si="18">I23</f>
        <v>4743499.44</v>
      </c>
      <c r="M23" s="20">
        <f t="shared" si="18"/>
        <v>150619204.1</v>
      </c>
      <c r="N23" s="20">
        <f t="shared" si="5"/>
        <v>-145875704.6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19">
        <v>3.26971254243E9</v>
      </c>
      <c r="E24" s="19">
        <v>3.595455082E7</v>
      </c>
      <c r="F24" s="19">
        <f t="shared" si="2"/>
        <v>3233757992</v>
      </c>
      <c r="G24" s="19">
        <v>3.07709440222E9</v>
      </c>
      <c r="H24" s="20">
        <v>12463.0</v>
      </c>
      <c r="I24" s="19">
        <v>3.735617725E7</v>
      </c>
      <c r="J24" s="20">
        <v>1177613.99</v>
      </c>
      <c r="K24" s="20">
        <f t="shared" si="3"/>
        <v>36178563.26</v>
      </c>
      <c r="L24" s="20">
        <f t="shared" ref="L24:M24" si="19">I24</f>
        <v>37356177.25</v>
      </c>
      <c r="M24" s="20">
        <f t="shared" si="19"/>
        <v>1177613.99</v>
      </c>
      <c r="N24" s="20">
        <f t="shared" si="5"/>
        <v>36178563.26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19">
        <v>7.46554929721E9</v>
      </c>
      <c r="E25" s="19">
        <v>9.794325135E7</v>
      </c>
      <c r="F25" s="19">
        <f t="shared" si="2"/>
        <v>7367606046</v>
      </c>
      <c r="G25" s="19">
        <v>7.0234986444E9</v>
      </c>
      <c r="H25" s="20">
        <v>66465.0</v>
      </c>
      <c r="I25" s="19">
        <v>4.129183457E7</v>
      </c>
      <c r="J25" s="20">
        <v>1.4418409368E8</v>
      </c>
      <c r="K25" s="20">
        <f t="shared" si="3"/>
        <v>-102892259.1</v>
      </c>
      <c r="L25" s="20">
        <f t="shared" ref="L25:M25" si="20">I25</f>
        <v>41291834.57</v>
      </c>
      <c r="M25" s="20">
        <f t="shared" si="20"/>
        <v>144184093.7</v>
      </c>
      <c r="N25" s="20">
        <f t="shared" si="5"/>
        <v>-102892259.1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19">
        <v>1.221550393747E10</v>
      </c>
      <c r="E26" s="19">
        <v>1.9415136936E8</v>
      </c>
      <c r="F26" s="19">
        <f t="shared" si="2"/>
        <v>12021352568</v>
      </c>
      <c r="G26" s="19">
        <v>1.197273801975E10</v>
      </c>
      <c r="H26" s="20">
        <v>57069.0</v>
      </c>
      <c r="I26" s="19">
        <v>3.9908706058E8</v>
      </c>
      <c r="J26" s="20">
        <v>5.9606951838E8</v>
      </c>
      <c r="K26" s="20">
        <f t="shared" si="3"/>
        <v>-196982457.8</v>
      </c>
      <c r="L26" s="20">
        <f t="shared" ref="L26:M26" si="21">I26</f>
        <v>399087060.6</v>
      </c>
      <c r="M26" s="20">
        <f t="shared" si="21"/>
        <v>596069518.4</v>
      </c>
      <c r="N26" s="20">
        <f t="shared" si="5"/>
        <v>-196982457.8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19">
        <v>6.078857108780004E8</v>
      </c>
      <c r="E27" s="19">
        <v>2758899.479999997</v>
      </c>
      <c r="F27" s="19">
        <f t="shared" si="2"/>
        <v>605126811.4</v>
      </c>
      <c r="G27" s="19">
        <v>5.289531335E8</v>
      </c>
      <c r="H27" s="20">
        <v>1304.0</v>
      </c>
      <c r="I27" s="19">
        <v>297833.86</v>
      </c>
      <c r="J27" s="20">
        <v>3606632.66</v>
      </c>
      <c r="K27" s="20">
        <f t="shared" si="3"/>
        <v>-3308798.8</v>
      </c>
      <c r="L27" s="20">
        <f t="shared" ref="L27:M27" si="22">I27</f>
        <v>297833.86</v>
      </c>
      <c r="M27" s="20">
        <f t="shared" si="22"/>
        <v>3606632.66</v>
      </c>
      <c r="N27" s="20">
        <f t="shared" si="5"/>
        <v>-3308798.8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19"/>
      <c r="E28" s="19"/>
      <c r="F28" s="19"/>
      <c r="G28" s="19"/>
      <c r="H28" s="20"/>
      <c r="I28" s="19"/>
      <c r="J28" s="20"/>
      <c r="K28" s="20"/>
      <c r="L28" s="20"/>
      <c r="M28" s="20"/>
      <c r="N28" s="20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41</v>
      </c>
      <c r="D29" s="19">
        <v>1.3342470212E8</v>
      </c>
      <c r="E29" s="19">
        <v>1368336.56794888</v>
      </c>
      <c r="F29" s="19">
        <f t="shared" ref="F29:F31" si="24">D29-E29</f>
        <v>132056365.6</v>
      </c>
      <c r="G29" s="19">
        <v>1.2990052297E8</v>
      </c>
      <c r="H29" s="20">
        <v>1222.0</v>
      </c>
      <c r="I29" s="19">
        <v>1.866231899E7</v>
      </c>
      <c r="J29" s="20">
        <v>1531528.47</v>
      </c>
      <c r="K29" s="20">
        <f t="shared" ref="K29:K31" si="25">I29-J29</f>
        <v>17130790.52</v>
      </c>
      <c r="L29" s="20">
        <f t="shared" ref="L29:M29" si="23">I29</f>
        <v>18662318.99</v>
      </c>
      <c r="M29" s="20">
        <f t="shared" si="23"/>
        <v>1531528.47</v>
      </c>
      <c r="N29" s="20">
        <f t="shared" ref="N29:N31" si="27">L29-M29</f>
        <v>17130790.52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19">
        <v>3.4194383865E8</v>
      </c>
      <c r="E30" s="19">
        <v>1226623.209</v>
      </c>
      <c r="F30" s="19">
        <f t="shared" si="24"/>
        <v>340717215.4</v>
      </c>
      <c r="G30" s="19">
        <v>3.1886116395E8</v>
      </c>
      <c r="H30" s="20">
        <v>1425.0</v>
      </c>
      <c r="I30" s="19">
        <v>1357758.33</v>
      </c>
      <c r="J30" s="20">
        <v>9542216.68</v>
      </c>
      <c r="K30" s="20">
        <f t="shared" si="25"/>
        <v>-8184458.35</v>
      </c>
      <c r="L30" s="20">
        <f t="shared" ref="L30:M30" si="26">I30</f>
        <v>1357758.33</v>
      </c>
      <c r="M30" s="20">
        <f t="shared" si="26"/>
        <v>9542216.68</v>
      </c>
      <c r="N30" s="20">
        <f t="shared" si="27"/>
        <v>-8184458.35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19">
        <v>4.8721802906E8</v>
      </c>
      <c r="E31" s="19">
        <v>1.53356305E7</v>
      </c>
      <c r="F31" s="19">
        <f t="shared" si="24"/>
        <v>471882398.6</v>
      </c>
      <c r="G31" s="19">
        <v>4.802562814E8</v>
      </c>
      <c r="H31" s="20">
        <v>328363.0</v>
      </c>
      <c r="I31" s="19">
        <v>3.330603562E7</v>
      </c>
      <c r="J31" s="20">
        <v>5.454344657E7</v>
      </c>
      <c r="K31" s="20">
        <f t="shared" si="25"/>
        <v>-21237410.95</v>
      </c>
      <c r="L31" s="20">
        <f t="shared" ref="L31:M31" si="28">I31</f>
        <v>33306035.62</v>
      </c>
      <c r="M31" s="20">
        <f t="shared" si="28"/>
        <v>54543446.57</v>
      </c>
      <c r="N31" s="20">
        <f t="shared" si="27"/>
        <v>-21237410.95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19"/>
      <c r="E32" s="19"/>
      <c r="F32" s="19"/>
      <c r="G32" s="19"/>
      <c r="H32" s="20"/>
      <c r="I32" s="19"/>
      <c r="J32" s="20"/>
      <c r="K32" s="20"/>
      <c r="L32" s="20"/>
      <c r="M32" s="20"/>
      <c r="N32" s="2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19">
        <v>2.21028198727E9</v>
      </c>
      <c r="E33" s="19">
        <v>1638636.63</v>
      </c>
      <c r="F33" s="19">
        <f>D33-E33</f>
        <v>2208643351</v>
      </c>
      <c r="G33" s="19">
        <v>2.20491908982E9</v>
      </c>
      <c r="H33" s="20">
        <v>3231.0</v>
      </c>
      <c r="I33" s="19">
        <v>1034532.0</v>
      </c>
      <c r="J33" s="20">
        <v>7.3813261E7</v>
      </c>
      <c r="K33" s="20">
        <f>I33-J33</f>
        <v>-72778729</v>
      </c>
      <c r="L33" s="20">
        <f t="shared" ref="L33:M33" si="29">I33</f>
        <v>1034532</v>
      </c>
      <c r="M33" s="20">
        <f t="shared" si="29"/>
        <v>73813261</v>
      </c>
      <c r="N33" s="20">
        <f>L33-M33</f>
        <v>-72778729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26">
        <f t="shared" ref="D34:N34" si="30">SUM(D9:D33)</f>
        <v>70670056765</v>
      </c>
      <c r="E34" s="26">
        <f t="shared" si="30"/>
        <v>901502612.7</v>
      </c>
      <c r="F34" s="26">
        <f t="shared" si="30"/>
        <v>69768554152</v>
      </c>
      <c r="G34" s="26">
        <f t="shared" si="30"/>
        <v>66981970552</v>
      </c>
      <c r="H34" s="27">
        <f t="shared" si="30"/>
        <v>614666</v>
      </c>
      <c r="I34" s="26">
        <f t="shared" si="30"/>
        <v>955897959.9</v>
      </c>
      <c r="J34" s="26">
        <f t="shared" si="30"/>
        <v>1386801971</v>
      </c>
      <c r="K34" s="26">
        <f t="shared" si="30"/>
        <v>-430904011.1</v>
      </c>
      <c r="L34" s="26">
        <f t="shared" si="30"/>
        <v>955897959.9</v>
      </c>
      <c r="M34" s="26">
        <f t="shared" si="30"/>
        <v>1386801971</v>
      </c>
      <c r="N34" s="26">
        <f t="shared" si="30"/>
        <v>-430904011.1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19"/>
      <c r="E35" s="19"/>
      <c r="F35" s="19"/>
      <c r="G35" s="19"/>
      <c r="H35" s="20"/>
      <c r="I35" s="19"/>
      <c r="J35" s="20"/>
      <c r="K35" s="20"/>
      <c r="L35" s="20"/>
      <c r="M35" s="20"/>
      <c r="N35" s="2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19">
        <v>3.8273148847799994E7</v>
      </c>
      <c r="E36" s="19">
        <v>879713.2926</v>
      </c>
      <c r="F36" s="19">
        <f t="shared" ref="F36:F37" si="32">D36-E36</f>
        <v>37393435.56</v>
      </c>
      <c r="G36" s="19">
        <v>0.0</v>
      </c>
      <c r="H36" s="20">
        <v>55.0</v>
      </c>
      <c r="I36" s="19">
        <v>199.54</v>
      </c>
      <c r="J36" s="20">
        <v>0.0</v>
      </c>
      <c r="K36" s="20">
        <f t="shared" ref="K36:K37" si="33">I36-J36</f>
        <v>199.54</v>
      </c>
      <c r="L36" s="20">
        <f t="shared" ref="L36:M36" si="31">I36</f>
        <v>199.54</v>
      </c>
      <c r="M36" s="20">
        <f t="shared" si="31"/>
        <v>0</v>
      </c>
      <c r="N36" s="20">
        <f t="shared" ref="N36:N37" si="35">L36-M36</f>
        <v>199.54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19">
        <f>54.64*34312196.64</f>
        <v>1874818424</v>
      </c>
      <c r="E37" s="19">
        <f>54.64*440448.86</f>
        <v>24066125.71</v>
      </c>
      <c r="F37" s="19">
        <f t="shared" si="32"/>
        <v>1850752299</v>
      </c>
      <c r="G37" s="19">
        <v>0.0</v>
      </c>
      <c r="H37" s="20">
        <v>2871.0</v>
      </c>
      <c r="I37" s="19">
        <f>54.64*240117.89</f>
        <v>13120041.51</v>
      </c>
      <c r="J37" s="19">
        <f>54.64*555198.89</f>
        <v>30336067.35</v>
      </c>
      <c r="K37" s="20">
        <f t="shared" si="33"/>
        <v>-17216025.84</v>
      </c>
      <c r="L37" s="20">
        <f t="shared" ref="L37:M37" si="34">I37</f>
        <v>13120041.51</v>
      </c>
      <c r="M37" s="20">
        <f t="shared" si="34"/>
        <v>30336067.35</v>
      </c>
      <c r="N37" s="20">
        <f t="shared" si="35"/>
        <v>-17216025.84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26">
        <f t="shared" ref="D38:N38" si="36">SUM(D36:D37)</f>
        <v>1913091573</v>
      </c>
      <c r="E38" s="26">
        <f t="shared" si="36"/>
        <v>24945839</v>
      </c>
      <c r="F38" s="26">
        <f t="shared" si="36"/>
        <v>1888145734</v>
      </c>
      <c r="G38" s="26">
        <f t="shared" si="36"/>
        <v>0</v>
      </c>
      <c r="H38" s="27">
        <f t="shared" si="36"/>
        <v>2926</v>
      </c>
      <c r="I38" s="26">
        <f t="shared" si="36"/>
        <v>13120241.05</v>
      </c>
      <c r="J38" s="26">
        <f t="shared" si="36"/>
        <v>30336067.35</v>
      </c>
      <c r="K38" s="26">
        <f t="shared" si="36"/>
        <v>-17215826.3</v>
      </c>
      <c r="L38" s="26">
        <f t="shared" si="36"/>
        <v>13120241.05</v>
      </c>
      <c r="M38" s="26">
        <f t="shared" si="36"/>
        <v>30336067.35</v>
      </c>
      <c r="N38" s="26">
        <f t="shared" si="36"/>
        <v>-17215826.3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26">
        <f t="shared" ref="D39:N39" si="37">D34+D38</f>
        <v>72583148338</v>
      </c>
      <c r="E39" s="26">
        <f t="shared" si="37"/>
        <v>926448451.7</v>
      </c>
      <c r="F39" s="26">
        <f t="shared" si="37"/>
        <v>71656699887</v>
      </c>
      <c r="G39" s="26">
        <f t="shared" si="37"/>
        <v>66981970552</v>
      </c>
      <c r="H39" s="27">
        <f t="shared" si="37"/>
        <v>617592</v>
      </c>
      <c r="I39" s="26">
        <f t="shared" si="37"/>
        <v>969018201</v>
      </c>
      <c r="J39" s="26">
        <f t="shared" si="37"/>
        <v>1417138038</v>
      </c>
      <c r="K39" s="26">
        <f t="shared" si="37"/>
        <v>-448119837.4</v>
      </c>
      <c r="L39" s="26">
        <f t="shared" si="37"/>
        <v>969018201</v>
      </c>
      <c r="M39" s="26">
        <f t="shared" si="37"/>
        <v>1417138038</v>
      </c>
      <c r="N39" s="26">
        <f t="shared" si="37"/>
        <v>-448119837.4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19"/>
      <c r="E40" s="19"/>
      <c r="F40" s="19"/>
      <c r="G40" s="19"/>
      <c r="H40" s="20"/>
      <c r="I40" s="19"/>
      <c r="J40" s="20"/>
      <c r="K40" s="20"/>
      <c r="L40" s="20"/>
      <c r="M40" s="20"/>
      <c r="N40" s="2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19"/>
      <c r="E41" s="19"/>
      <c r="F41" s="19"/>
      <c r="G41" s="19"/>
      <c r="H41" s="20"/>
      <c r="I41" s="19"/>
      <c r="J41" s="20"/>
      <c r="K41" s="20"/>
      <c r="L41" s="20"/>
      <c r="M41" s="20"/>
      <c r="N41" s="2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19">
        <v>1.2619964185000001E8</v>
      </c>
      <c r="E42" s="19">
        <v>9166770.58</v>
      </c>
      <c r="F42" s="19">
        <f t="shared" ref="F42:F51" si="39">D42-E42</f>
        <v>117032871.3</v>
      </c>
      <c r="G42" s="19">
        <v>2.75777381E7</v>
      </c>
      <c r="H42" s="20">
        <v>722.0</v>
      </c>
      <c r="I42" s="19">
        <v>318249.68000000005</v>
      </c>
      <c r="J42" s="20">
        <v>266687.3</v>
      </c>
      <c r="K42" s="20">
        <f t="shared" ref="K42:K51" si="40">I42-J42</f>
        <v>51562.38</v>
      </c>
      <c r="L42" s="20">
        <f t="shared" ref="L42:M42" si="38">I42</f>
        <v>318249.68</v>
      </c>
      <c r="M42" s="20">
        <f t="shared" si="38"/>
        <v>266687.3</v>
      </c>
      <c r="N42" s="20">
        <f t="shared" ref="N42:N51" si="42">L42-M42</f>
        <v>51562.38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19">
        <v>6.677691991300001E8</v>
      </c>
      <c r="E43" s="19">
        <v>8.382015999E7</v>
      </c>
      <c r="F43" s="19">
        <f t="shared" si="39"/>
        <v>583949039.1</v>
      </c>
      <c r="G43" s="19">
        <v>2.1372490225E8</v>
      </c>
      <c r="H43" s="20">
        <v>2440.0</v>
      </c>
      <c r="I43" s="19">
        <v>1047414.5</v>
      </c>
      <c r="J43" s="20">
        <v>1930071.6300000004</v>
      </c>
      <c r="K43" s="20">
        <f t="shared" si="40"/>
        <v>-882657.13</v>
      </c>
      <c r="L43" s="20">
        <f t="shared" ref="L43:M43" si="41">I43</f>
        <v>1047414.5</v>
      </c>
      <c r="M43" s="20">
        <f t="shared" si="41"/>
        <v>1930071.63</v>
      </c>
      <c r="N43" s="20">
        <f t="shared" si="42"/>
        <v>-882657.13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19">
        <v>1.09235713686E9</v>
      </c>
      <c r="E44" s="19">
        <v>1.126493488E7</v>
      </c>
      <c r="F44" s="19">
        <f t="shared" si="39"/>
        <v>1081092202</v>
      </c>
      <c r="G44" s="19">
        <v>6.8939086904E8</v>
      </c>
      <c r="H44" s="20">
        <v>4704.0</v>
      </c>
      <c r="I44" s="19">
        <v>1335330.84</v>
      </c>
      <c r="J44" s="20">
        <v>5135919.68</v>
      </c>
      <c r="K44" s="20">
        <f t="shared" si="40"/>
        <v>-3800588.84</v>
      </c>
      <c r="L44" s="20">
        <f t="shared" ref="L44:M44" si="43">I44</f>
        <v>1335330.84</v>
      </c>
      <c r="M44" s="20">
        <f t="shared" si="43"/>
        <v>5135919.68</v>
      </c>
      <c r="N44" s="20">
        <f t="shared" si="42"/>
        <v>-3800588.84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19">
        <v>3.0862544178E8</v>
      </c>
      <c r="E45" s="19">
        <v>1.075362612E7</v>
      </c>
      <c r="F45" s="19">
        <f t="shared" si="39"/>
        <v>297871815.7</v>
      </c>
      <c r="G45" s="19">
        <v>2.4309858626E8</v>
      </c>
      <c r="H45" s="20">
        <v>237.0</v>
      </c>
      <c r="I45" s="19">
        <v>4604623.34</v>
      </c>
      <c r="J45" s="20">
        <v>1.184615237E7</v>
      </c>
      <c r="K45" s="20">
        <f t="shared" si="40"/>
        <v>-7241529.03</v>
      </c>
      <c r="L45" s="20">
        <f t="shared" ref="L45:M45" si="44">I45</f>
        <v>4604623.34</v>
      </c>
      <c r="M45" s="20">
        <f t="shared" si="44"/>
        <v>11846152.37</v>
      </c>
      <c r="N45" s="20">
        <f t="shared" si="42"/>
        <v>-7241529.03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19">
        <v>3.5711594468E8</v>
      </c>
      <c r="E46" s="19">
        <v>4143976.54</v>
      </c>
      <c r="F46" s="19">
        <f t="shared" si="39"/>
        <v>352971968.1</v>
      </c>
      <c r="G46" s="19">
        <v>1.6198539842E8</v>
      </c>
      <c r="H46" s="20">
        <v>56.0</v>
      </c>
      <c r="I46" s="19">
        <v>0.0</v>
      </c>
      <c r="J46" s="20">
        <v>0.0</v>
      </c>
      <c r="K46" s="20">
        <f t="shared" si="40"/>
        <v>0</v>
      </c>
      <c r="L46" s="20">
        <f t="shared" ref="L46:M46" si="45">I46</f>
        <v>0</v>
      </c>
      <c r="M46" s="20">
        <f t="shared" si="45"/>
        <v>0</v>
      </c>
      <c r="N46" s="20">
        <f t="shared" si="42"/>
        <v>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19">
        <v>5.7811697822E8</v>
      </c>
      <c r="E47" s="19">
        <v>1.867782876E7</v>
      </c>
      <c r="F47" s="19">
        <f t="shared" si="39"/>
        <v>559439149.5</v>
      </c>
      <c r="G47" s="19">
        <v>3.17695053E8</v>
      </c>
      <c r="H47" s="20">
        <v>10102.0</v>
      </c>
      <c r="I47" s="19">
        <v>1412333.89</v>
      </c>
      <c r="J47" s="20">
        <v>3559268.92</v>
      </c>
      <c r="K47" s="20">
        <f t="shared" si="40"/>
        <v>-2146935.03</v>
      </c>
      <c r="L47" s="20">
        <f t="shared" ref="L47:M47" si="46">I47</f>
        <v>1412333.89</v>
      </c>
      <c r="M47" s="20">
        <f t="shared" si="46"/>
        <v>3559268.92</v>
      </c>
      <c r="N47" s="20">
        <f t="shared" si="42"/>
        <v>-2146935.03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19">
        <v>2.14878258216E9</v>
      </c>
      <c r="E48" s="19">
        <v>5.319197206E7</v>
      </c>
      <c r="F48" s="19">
        <f t="shared" si="39"/>
        <v>2095590610</v>
      </c>
      <c r="G48" s="19">
        <v>1.12970174565E9</v>
      </c>
      <c r="H48" s="20">
        <v>8191.0</v>
      </c>
      <c r="I48" s="19">
        <v>2288846.4</v>
      </c>
      <c r="J48" s="20">
        <v>2.457680958E7</v>
      </c>
      <c r="K48" s="20">
        <f t="shared" si="40"/>
        <v>-22287963.18</v>
      </c>
      <c r="L48" s="20">
        <f t="shared" ref="L48:M48" si="47">I48</f>
        <v>2288846.4</v>
      </c>
      <c r="M48" s="20">
        <f t="shared" si="47"/>
        <v>24576809.58</v>
      </c>
      <c r="N48" s="20">
        <f t="shared" si="42"/>
        <v>-22287963.18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19">
        <v>1.3957753803E8</v>
      </c>
      <c r="E49" s="19">
        <v>179389.35</v>
      </c>
      <c r="F49" s="19">
        <f t="shared" si="39"/>
        <v>139398148.7</v>
      </c>
      <c r="G49" s="19">
        <v>8.605749695E7</v>
      </c>
      <c r="H49" s="20">
        <v>197.0</v>
      </c>
      <c r="I49" s="19">
        <v>11298.64</v>
      </c>
      <c r="J49" s="20">
        <v>505614.82</v>
      </c>
      <c r="K49" s="20">
        <f t="shared" si="40"/>
        <v>-494316.18</v>
      </c>
      <c r="L49" s="20">
        <f t="shared" ref="L49:M49" si="48">I49</f>
        <v>11298.64</v>
      </c>
      <c r="M49" s="20">
        <f t="shared" si="48"/>
        <v>505614.82</v>
      </c>
      <c r="N49" s="20">
        <f t="shared" si="42"/>
        <v>-494316.18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19">
        <v>7.44096617344E9</v>
      </c>
      <c r="E50" s="19">
        <v>5.709236721E7</v>
      </c>
      <c r="F50" s="19">
        <f t="shared" si="39"/>
        <v>7383873806</v>
      </c>
      <c r="G50" s="19">
        <v>3.8579976459E9</v>
      </c>
      <c r="H50" s="20">
        <v>53657.0</v>
      </c>
      <c r="I50" s="19">
        <v>9276468.15</v>
      </c>
      <c r="J50" s="20">
        <v>7.059164423E7</v>
      </c>
      <c r="K50" s="20">
        <f t="shared" si="40"/>
        <v>-61315176.08</v>
      </c>
      <c r="L50" s="20">
        <f t="shared" ref="L50:M50" si="49">I50</f>
        <v>9276468.15</v>
      </c>
      <c r="M50" s="20">
        <f t="shared" si="49"/>
        <v>70591644.23</v>
      </c>
      <c r="N50" s="20">
        <f t="shared" si="42"/>
        <v>-61315176.08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19">
        <v>1.2129814954E9</v>
      </c>
      <c r="E51" s="19">
        <v>1.895501154E7</v>
      </c>
      <c r="F51" s="19">
        <f t="shared" si="39"/>
        <v>1194026484</v>
      </c>
      <c r="G51" s="19">
        <v>6.8099147365E8</v>
      </c>
      <c r="H51" s="20">
        <v>4998.0</v>
      </c>
      <c r="I51" s="19">
        <v>0.0</v>
      </c>
      <c r="J51" s="20">
        <v>4573571.81</v>
      </c>
      <c r="K51" s="20">
        <f t="shared" si="40"/>
        <v>-4573571.81</v>
      </c>
      <c r="L51" s="20">
        <f t="shared" ref="L51:M51" si="50">I51</f>
        <v>0</v>
      </c>
      <c r="M51" s="20">
        <f t="shared" si="50"/>
        <v>4573571.81</v>
      </c>
      <c r="N51" s="20">
        <f t="shared" si="42"/>
        <v>-4573571.81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19"/>
      <c r="E52" s="19"/>
      <c r="F52" s="19"/>
      <c r="G52" s="19"/>
      <c r="H52" s="20"/>
      <c r="I52" s="19"/>
      <c r="J52" s="20"/>
      <c r="K52" s="20"/>
      <c r="L52" s="20"/>
      <c r="M52" s="20"/>
      <c r="N52" s="2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19">
        <v>7.706913684E7</v>
      </c>
      <c r="E53" s="19">
        <v>298127.43</v>
      </c>
      <c r="F53" s="19">
        <f t="shared" ref="F53:F55" si="52">D53-E53</f>
        <v>76771009.41</v>
      </c>
      <c r="G53" s="19">
        <v>2.29731187E7</v>
      </c>
      <c r="H53" s="20">
        <v>1055.0</v>
      </c>
      <c r="I53" s="19">
        <v>511305.2</v>
      </c>
      <c r="J53" s="20">
        <v>80492.55</v>
      </c>
      <c r="K53" s="20">
        <f t="shared" ref="K53:K55" si="53">I53-J53</f>
        <v>430812.65</v>
      </c>
      <c r="L53" s="20">
        <f t="shared" ref="L53:M53" si="51">I53</f>
        <v>511305.2</v>
      </c>
      <c r="M53" s="20">
        <f t="shared" si="51"/>
        <v>80492.55</v>
      </c>
      <c r="N53" s="20">
        <f t="shared" ref="N53:N55" si="55">L53-M53</f>
        <v>430812.65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19">
        <v>5.779356045E7</v>
      </c>
      <c r="E54" s="19">
        <v>369224.54</v>
      </c>
      <c r="F54" s="19">
        <f t="shared" si="52"/>
        <v>57424335.91</v>
      </c>
      <c r="G54" s="19">
        <v>4.46136186E7</v>
      </c>
      <c r="H54" s="20">
        <v>410.0</v>
      </c>
      <c r="I54" s="19">
        <v>452055.0</v>
      </c>
      <c r="J54" s="20">
        <v>140300.19</v>
      </c>
      <c r="K54" s="20">
        <f t="shared" si="53"/>
        <v>311754.81</v>
      </c>
      <c r="L54" s="20">
        <f t="shared" ref="L54:M54" si="54">I54</f>
        <v>452055</v>
      </c>
      <c r="M54" s="20">
        <f t="shared" si="54"/>
        <v>140300.19</v>
      </c>
      <c r="N54" s="20">
        <f t="shared" si="55"/>
        <v>311754.81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19">
        <v>4.843176413E7</v>
      </c>
      <c r="E55" s="19">
        <v>260874.0</v>
      </c>
      <c r="F55" s="19">
        <f t="shared" si="52"/>
        <v>48170890.13</v>
      </c>
      <c r="G55" s="19">
        <v>4.073410045E7</v>
      </c>
      <c r="H55" s="20">
        <v>191.0</v>
      </c>
      <c r="I55" s="19">
        <v>69478.0</v>
      </c>
      <c r="J55" s="20">
        <v>91381.96</v>
      </c>
      <c r="K55" s="20">
        <f t="shared" si="53"/>
        <v>-21903.96</v>
      </c>
      <c r="L55" s="20">
        <f t="shared" ref="L55:M55" si="56">I55</f>
        <v>69478</v>
      </c>
      <c r="M55" s="20">
        <f t="shared" si="56"/>
        <v>91381.96</v>
      </c>
      <c r="N55" s="20">
        <f t="shared" si="55"/>
        <v>-21903.96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26">
        <f t="shared" ref="D56:N56" si="57">SUM(D42:D55)</f>
        <v>14255786593</v>
      </c>
      <c r="E56" s="26">
        <f t="shared" si="57"/>
        <v>268174263</v>
      </c>
      <c r="F56" s="26">
        <f t="shared" si="57"/>
        <v>13987612330</v>
      </c>
      <c r="G56" s="26">
        <f t="shared" si="57"/>
        <v>7516541747</v>
      </c>
      <c r="H56" s="27">
        <f t="shared" si="57"/>
        <v>86960</v>
      </c>
      <c r="I56" s="26">
        <f t="shared" si="57"/>
        <v>21327403.64</v>
      </c>
      <c r="J56" s="26">
        <f t="shared" si="57"/>
        <v>123297915</v>
      </c>
      <c r="K56" s="26">
        <f t="shared" si="57"/>
        <v>-101970511.4</v>
      </c>
      <c r="L56" s="26">
        <f t="shared" si="57"/>
        <v>21327403.64</v>
      </c>
      <c r="M56" s="26">
        <f t="shared" si="57"/>
        <v>123297915</v>
      </c>
      <c r="N56" s="26">
        <f t="shared" si="57"/>
        <v>-101970511.4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19"/>
      <c r="E57" s="19"/>
      <c r="F57" s="19"/>
      <c r="G57" s="19"/>
      <c r="H57" s="20"/>
      <c r="I57" s="19"/>
      <c r="J57" s="20"/>
      <c r="K57" s="20"/>
      <c r="L57" s="20"/>
      <c r="M57" s="20"/>
      <c r="N57" s="2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65</v>
      </c>
      <c r="D58" s="19">
        <f>54.64*1309550.34</f>
        <v>71553830.58</v>
      </c>
      <c r="E58" s="19">
        <f>54.64*8501.69</f>
        <v>464532.3416</v>
      </c>
      <c r="F58" s="19">
        <f t="shared" ref="F58:F61" si="59">D58-E58</f>
        <v>71089298.24</v>
      </c>
      <c r="G58" s="19">
        <v>0.0</v>
      </c>
      <c r="H58" s="20">
        <v>53.0</v>
      </c>
      <c r="I58" s="19">
        <v>0.0</v>
      </c>
      <c r="J58" s="19">
        <f>54.64*905.53</f>
        <v>49478.1592</v>
      </c>
      <c r="K58" s="20">
        <f t="shared" ref="K58:K61" si="60">I58-J58</f>
        <v>-49478.1592</v>
      </c>
      <c r="L58" s="20">
        <f t="shared" ref="L58:M58" si="58">I58</f>
        <v>0</v>
      </c>
      <c r="M58" s="20">
        <f t="shared" si="58"/>
        <v>49478.1592</v>
      </c>
      <c r="N58" s="20">
        <f t="shared" ref="N58:N61" si="62">L58-M58</f>
        <v>-49478.1592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19">
        <f>54.64*6773298.91</f>
        <v>370093052.4</v>
      </c>
      <c r="E59" s="19">
        <f>54.64*459683.99</f>
        <v>25117133.21</v>
      </c>
      <c r="F59" s="19">
        <f t="shared" si="59"/>
        <v>344975919.2</v>
      </c>
      <c r="G59" s="19">
        <f>54.64*3501696.82</f>
        <v>191332714.2</v>
      </c>
      <c r="H59" s="20">
        <v>264.0</v>
      </c>
      <c r="I59" s="19">
        <f>54.64*98.2</f>
        <v>5365.648</v>
      </c>
      <c r="J59" s="19">
        <f>54.64*54108.64</f>
        <v>2956496.09</v>
      </c>
      <c r="K59" s="20">
        <f t="shared" si="60"/>
        <v>-2951130.442</v>
      </c>
      <c r="L59" s="20">
        <f t="shared" ref="L59:M59" si="61">I59</f>
        <v>5365.648</v>
      </c>
      <c r="M59" s="20">
        <f t="shared" si="61"/>
        <v>2956496.09</v>
      </c>
      <c r="N59" s="20">
        <f t="shared" si="62"/>
        <v>-2951130.442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19">
        <f>54.64*29204466.31</f>
        <v>1595732039</v>
      </c>
      <c r="E60" s="19">
        <f>54.64*603855.9</f>
        <v>32994686.38</v>
      </c>
      <c r="F60" s="19">
        <f t="shared" si="59"/>
        <v>1562737353</v>
      </c>
      <c r="G60" s="19">
        <v>0.0</v>
      </c>
      <c r="H60" s="20">
        <v>4137.0</v>
      </c>
      <c r="I60" s="19">
        <f>54.64*16340.4</f>
        <v>892839.456</v>
      </c>
      <c r="J60" s="19">
        <f>54.64*42879.72</f>
        <v>2342947.901</v>
      </c>
      <c r="K60" s="20">
        <f t="shared" si="60"/>
        <v>-1450108.445</v>
      </c>
      <c r="L60" s="20">
        <f t="shared" ref="L60:M60" si="63">I60</f>
        <v>892839.456</v>
      </c>
      <c r="M60" s="20">
        <f t="shared" si="63"/>
        <v>2342947.901</v>
      </c>
      <c r="N60" s="20">
        <f t="shared" si="62"/>
        <v>-1450108.445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19">
        <f>54.64*5029466.83</f>
        <v>274810067.6</v>
      </c>
      <c r="E61" s="19">
        <f>54.64*114699.82</f>
        <v>6267198.165</v>
      </c>
      <c r="F61" s="19">
        <f t="shared" si="59"/>
        <v>268542869.4</v>
      </c>
      <c r="G61" s="19">
        <v>0.0</v>
      </c>
      <c r="H61" s="20">
        <v>715.0</v>
      </c>
      <c r="I61" s="19">
        <f>54.64*1177.6</f>
        <v>64344.064</v>
      </c>
      <c r="J61" s="19">
        <f>54.64*534064.29</f>
        <v>29181272.81</v>
      </c>
      <c r="K61" s="20">
        <f t="shared" si="60"/>
        <v>-29116928.74</v>
      </c>
      <c r="L61" s="20">
        <f t="shared" ref="L61:M61" si="64">I61</f>
        <v>64344.064</v>
      </c>
      <c r="M61" s="20">
        <f t="shared" si="64"/>
        <v>29181272.81</v>
      </c>
      <c r="N61" s="20">
        <f t="shared" si="62"/>
        <v>-29116928.74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26">
        <f t="shared" ref="D62:N62" si="65">SUM(D58:D61)</f>
        <v>2312188990</v>
      </c>
      <c r="E62" s="26">
        <f t="shared" si="65"/>
        <v>64843550.1</v>
      </c>
      <c r="F62" s="26">
        <f t="shared" si="65"/>
        <v>2247345440</v>
      </c>
      <c r="G62" s="26">
        <f t="shared" si="65"/>
        <v>191332714.2</v>
      </c>
      <c r="H62" s="27">
        <f t="shared" si="65"/>
        <v>5169</v>
      </c>
      <c r="I62" s="26">
        <f t="shared" si="65"/>
        <v>962549.168</v>
      </c>
      <c r="J62" s="26">
        <f t="shared" si="65"/>
        <v>34530194.96</v>
      </c>
      <c r="K62" s="26">
        <f t="shared" si="65"/>
        <v>-33567645.79</v>
      </c>
      <c r="L62" s="26">
        <f t="shared" si="65"/>
        <v>962549.168</v>
      </c>
      <c r="M62" s="26">
        <f t="shared" si="65"/>
        <v>34530194.96</v>
      </c>
      <c r="N62" s="26">
        <f t="shared" si="65"/>
        <v>-33567645.79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26">
        <f t="shared" ref="D63:N63" si="66">D56+D62</f>
        <v>16567975583</v>
      </c>
      <c r="E63" s="26">
        <f t="shared" si="66"/>
        <v>333017813.1</v>
      </c>
      <c r="F63" s="26">
        <f t="shared" si="66"/>
        <v>16234957770</v>
      </c>
      <c r="G63" s="26">
        <f t="shared" si="66"/>
        <v>7707874461</v>
      </c>
      <c r="H63" s="27">
        <f t="shared" si="66"/>
        <v>92129</v>
      </c>
      <c r="I63" s="26">
        <f t="shared" si="66"/>
        <v>22289952.81</v>
      </c>
      <c r="J63" s="26">
        <f t="shared" si="66"/>
        <v>157828110</v>
      </c>
      <c r="K63" s="26">
        <f t="shared" si="66"/>
        <v>-135538157.2</v>
      </c>
      <c r="L63" s="26">
        <f t="shared" si="66"/>
        <v>22289952.81</v>
      </c>
      <c r="M63" s="26">
        <f t="shared" si="66"/>
        <v>157828110</v>
      </c>
      <c r="N63" s="26">
        <f t="shared" si="66"/>
        <v>-135538157.2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19"/>
      <c r="E64" s="19"/>
      <c r="F64" s="19"/>
      <c r="G64" s="19"/>
      <c r="H64" s="20"/>
      <c r="I64" s="19"/>
      <c r="J64" s="20"/>
      <c r="K64" s="20"/>
      <c r="L64" s="20"/>
      <c r="M64" s="20"/>
      <c r="N64" s="2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19"/>
      <c r="E65" s="19"/>
      <c r="F65" s="19"/>
      <c r="G65" s="19"/>
      <c r="H65" s="20"/>
      <c r="I65" s="19"/>
      <c r="J65" s="20"/>
      <c r="K65" s="20"/>
      <c r="L65" s="20"/>
      <c r="M65" s="20"/>
      <c r="N65" s="2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19">
        <v>3.98669298663E10</v>
      </c>
      <c r="E66" s="19">
        <v>3.0613873692E8</v>
      </c>
      <c r="F66" s="19">
        <f t="shared" ref="F66:F76" si="68">D66-E66</f>
        <v>39560791129</v>
      </c>
      <c r="G66" s="19">
        <v>9.246864E8</v>
      </c>
      <c r="H66" s="20">
        <v>25042.0</v>
      </c>
      <c r="I66" s="19">
        <v>3.0267525343E8</v>
      </c>
      <c r="J66" s="20">
        <v>6.9322417338E8</v>
      </c>
      <c r="K66" s="20">
        <f t="shared" ref="K66:K76" si="69">I66-J66</f>
        <v>-390548920</v>
      </c>
      <c r="L66" s="20">
        <f t="shared" ref="L66:M66" si="67">I66</f>
        <v>302675253.4</v>
      </c>
      <c r="M66" s="20">
        <f t="shared" si="67"/>
        <v>693224173.4</v>
      </c>
      <c r="N66" s="20">
        <f t="shared" ref="N66:N76" si="71">L66-M66</f>
        <v>-390548920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19">
        <v>4.6376100527000004E8</v>
      </c>
      <c r="E67" s="19">
        <v>1128505.12</v>
      </c>
      <c r="F67" s="19">
        <f t="shared" si="68"/>
        <v>462632500.2</v>
      </c>
      <c r="G67" s="19">
        <v>0.0</v>
      </c>
      <c r="H67" s="20">
        <v>1085.0</v>
      </c>
      <c r="I67" s="19">
        <v>9254522.830000002</v>
      </c>
      <c r="J67" s="20">
        <v>1.1940398640000004E7</v>
      </c>
      <c r="K67" s="20">
        <f t="shared" si="69"/>
        <v>-2685875.81</v>
      </c>
      <c r="L67" s="20">
        <f t="shared" ref="L67:M67" si="70">I67</f>
        <v>9254522.83</v>
      </c>
      <c r="M67" s="20">
        <f t="shared" si="70"/>
        <v>11940398.64</v>
      </c>
      <c r="N67" s="20">
        <f t="shared" si="71"/>
        <v>-2685875.81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19">
        <v>1.01676446924E9</v>
      </c>
      <c r="E68" s="19">
        <v>1.4564668440000001E7</v>
      </c>
      <c r="F68" s="19">
        <f t="shared" si="68"/>
        <v>1002199801</v>
      </c>
      <c r="G68" s="19">
        <v>0.0</v>
      </c>
      <c r="H68" s="20">
        <v>1980.0</v>
      </c>
      <c r="I68" s="19">
        <v>1496351.9000000076</v>
      </c>
      <c r="J68" s="20">
        <v>3534355.63</v>
      </c>
      <c r="K68" s="20">
        <f t="shared" si="69"/>
        <v>-2038003.73</v>
      </c>
      <c r="L68" s="20">
        <f t="shared" ref="L68:M68" si="72">I68</f>
        <v>1496351.9</v>
      </c>
      <c r="M68" s="20">
        <f t="shared" si="72"/>
        <v>3534355.63</v>
      </c>
      <c r="N68" s="20">
        <f t="shared" si="71"/>
        <v>-2038003.73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19">
        <v>1.9757825069E8</v>
      </c>
      <c r="E69" s="19">
        <v>297225.9</v>
      </c>
      <c r="F69" s="19">
        <f t="shared" si="68"/>
        <v>197281024.8</v>
      </c>
      <c r="G69" s="19">
        <v>4875000.0</v>
      </c>
      <c r="H69" s="20">
        <v>183.0</v>
      </c>
      <c r="I69" s="19">
        <v>576977.99</v>
      </c>
      <c r="J69" s="20">
        <v>65104.65</v>
      </c>
      <c r="K69" s="20">
        <f t="shared" si="69"/>
        <v>511873.34</v>
      </c>
      <c r="L69" s="20">
        <f t="shared" ref="L69:M69" si="73">I69</f>
        <v>576977.99</v>
      </c>
      <c r="M69" s="20">
        <f t="shared" si="73"/>
        <v>65104.65</v>
      </c>
      <c r="N69" s="20">
        <f t="shared" si="71"/>
        <v>511873.34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19">
        <v>1.29928171501E9</v>
      </c>
      <c r="E70" s="19">
        <v>2547752.89</v>
      </c>
      <c r="F70" s="19">
        <f t="shared" si="68"/>
        <v>1296733962</v>
      </c>
      <c r="G70" s="19">
        <v>0.0</v>
      </c>
      <c r="H70" s="20">
        <v>1812.0</v>
      </c>
      <c r="I70" s="19">
        <v>1136526.96</v>
      </c>
      <c r="J70" s="20">
        <v>3258190.18</v>
      </c>
      <c r="K70" s="20">
        <f t="shared" si="69"/>
        <v>-2121663.22</v>
      </c>
      <c r="L70" s="20">
        <f t="shared" ref="L70:M70" si="74">I70</f>
        <v>1136526.96</v>
      </c>
      <c r="M70" s="20">
        <f t="shared" si="74"/>
        <v>3258190.18</v>
      </c>
      <c r="N70" s="20">
        <f t="shared" si="71"/>
        <v>-2121663.22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19">
        <v>8.6062939712E8</v>
      </c>
      <c r="E71" s="19">
        <v>3.697299616E7</v>
      </c>
      <c r="F71" s="19">
        <f t="shared" si="68"/>
        <v>823656401</v>
      </c>
      <c r="G71" s="19">
        <v>0.0</v>
      </c>
      <c r="H71" s="20">
        <v>504.0</v>
      </c>
      <c r="I71" s="19">
        <v>3835006.75</v>
      </c>
      <c r="J71" s="20">
        <v>994028.32</v>
      </c>
      <c r="K71" s="20">
        <f t="shared" si="69"/>
        <v>2840978.43</v>
      </c>
      <c r="L71" s="20">
        <f t="shared" ref="L71:M71" si="75">I71</f>
        <v>3835006.75</v>
      </c>
      <c r="M71" s="20">
        <f t="shared" si="75"/>
        <v>994028.32</v>
      </c>
      <c r="N71" s="20">
        <f t="shared" si="71"/>
        <v>2840978.43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19">
        <v>1.74604917219E9</v>
      </c>
      <c r="E72" s="19">
        <v>2.426338163E7</v>
      </c>
      <c r="F72" s="19">
        <f t="shared" si="68"/>
        <v>1721785791</v>
      </c>
      <c r="G72" s="19">
        <v>0.0</v>
      </c>
      <c r="H72" s="20">
        <v>5040.0</v>
      </c>
      <c r="I72" s="19">
        <v>3332061.41</v>
      </c>
      <c r="J72" s="20">
        <v>3298829.0</v>
      </c>
      <c r="K72" s="20">
        <f t="shared" si="69"/>
        <v>33232.41</v>
      </c>
      <c r="L72" s="20">
        <f t="shared" ref="L72:M72" si="76">I72</f>
        <v>3332061.41</v>
      </c>
      <c r="M72" s="20">
        <f t="shared" si="76"/>
        <v>3298829</v>
      </c>
      <c r="N72" s="20">
        <f t="shared" si="71"/>
        <v>33232.41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19">
        <v>3.08712689634344E8</v>
      </c>
      <c r="E73" s="19">
        <v>547631.456300098</v>
      </c>
      <c r="F73" s="19">
        <f t="shared" si="68"/>
        <v>308165058.2</v>
      </c>
      <c r="G73" s="19">
        <v>0.0</v>
      </c>
      <c r="H73" s="20">
        <v>4147.0</v>
      </c>
      <c r="I73" s="19">
        <v>607368.18</v>
      </c>
      <c r="J73" s="20">
        <v>1699352.2</v>
      </c>
      <c r="K73" s="20">
        <f t="shared" si="69"/>
        <v>-1091984.02</v>
      </c>
      <c r="L73" s="20">
        <f t="shared" ref="L73:M73" si="77">I73</f>
        <v>607368.18</v>
      </c>
      <c r="M73" s="20">
        <f t="shared" si="77"/>
        <v>1699352.2</v>
      </c>
      <c r="N73" s="20">
        <f t="shared" si="71"/>
        <v>-1091984.02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19">
        <v>1.26002450289E9</v>
      </c>
      <c r="E74" s="28">
        <v>2779212.1</v>
      </c>
      <c r="F74" s="19">
        <f t="shared" si="68"/>
        <v>1257245291</v>
      </c>
      <c r="G74" s="19">
        <v>0.0</v>
      </c>
      <c r="H74" s="20">
        <v>752.0</v>
      </c>
      <c r="I74" s="19">
        <v>2.507691392E7</v>
      </c>
      <c r="J74" s="20">
        <v>86377.19</v>
      </c>
      <c r="K74" s="20">
        <f t="shared" si="69"/>
        <v>24990536.73</v>
      </c>
      <c r="L74" s="20">
        <f t="shared" ref="L74:M74" si="78">I74</f>
        <v>25076913.92</v>
      </c>
      <c r="M74" s="20">
        <f t="shared" si="78"/>
        <v>86377.19</v>
      </c>
      <c r="N74" s="20">
        <f t="shared" si="71"/>
        <v>24990536.73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19">
        <v>4.67149396205E9</v>
      </c>
      <c r="E75" s="19">
        <v>7656668.93</v>
      </c>
      <c r="F75" s="19">
        <f t="shared" si="68"/>
        <v>4663837293</v>
      </c>
      <c r="G75" s="19">
        <v>0.0</v>
      </c>
      <c r="H75" s="20">
        <v>16653.0</v>
      </c>
      <c r="I75" s="19">
        <v>1.6229656402E8</v>
      </c>
      <c r="J75" s="20">
        <v>4.957636503E7</v>
      </c>
      <c r="K75" s="20">
        <f t="shared" si="69"/>
        <v>112720199</v>
      </c>
      <c r="L75" s="20">
        <f t="shared" ref="L75:M75" si="79">I75</f>
        <v>162296564</v>
      </c>
      <c r="M75" s="20">
        <f t="shared" si="79"/>
        <v>49576365.03</v>
      </c>
      <c r="N75" s="20">
        <f t="shared" si="71"/>
        <v>112720199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19">
        <v>1.4053813476E8</v>
      </c>
      <c r="E76" s="19">
        <v>442129.35</v>
      </c>
      <c r="F76" s="19">
        <f t="shared" si="68"/>
        <v>140096005.4</v>
      </c>
      <c r="G76" s="19">
        <v>0.0</v>
      </c>
      <c r="H76" s="20">
        <v>2647.0</v>
      </c>
      <c r="I76" s="19">
        <v>521808.44</v>
      </c>
      <c r="J76" s="20">
        <v>523771.71</v>
      </c>
      <c r="K76" s="20">
        <f t="shared" si="69"/>
        <v>-1963.27</v>
      </c>
      <c r="L76" s="20">
        <f t="shared" ref="L76:M76" si="80">I76</f>
        <v>521808.44</v>
      </c>
      <c r="M76" s="20">
        <f t="shared" si="80"/>
        <v>523771.71</v>
      </c>
      <c r="N76" s="20">
        <f t="shared" si="71"/>
        <v>-1963.27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26">
        <f t="shared" ref="D77:N77" si="81">SUM(D66:D76)</f>
        <v>51831763165</v>
      </c>
      <c r="E77" s="26">
        <f t="shared" si="81"/>
        <v>397338908.9</v>
      </c>
      <c r="F77" s="26">
        <f t="shared" si="81"/>
        <v>51434424256</v>
      </c>
      <c r="G77" s="26">
        <f t="shared" si="81"/>
        <v>929561400</v>
      </c>
      <c r="H77" s="27">
        <f t="shared" si="81"/>
        <v>59845</v>
      </c>
      <c r="I77" s="26">
        <f t="shared" si="81"/>
        <v>510809355.8</v>
      </c>
      <c r="J77" s="26">
        <f t="shared" si="81"/>
        <v>768200945.9</v>
      </c>
      <c r="K77" s="26">
        <f t="shared" si="81"/>
        <v>-257391590.1</v>
      </c>
      <c r="L77" s="26">
        <f t="shared" si="81"/>
        <v>510809355.8</v>
      </c>
      <c r="M77" s="26">
        <f t="shared" si="81"/>
        <v>768200945.9</v>
      </c>
      <c r="N77" s="26">
        <f t="shared" si="81"/>
        <v>-257391590.1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19"/>
      <c r="E78" s="19"/>
      <c r="F78" s="19"/>
      <c r="G78" s="19"/>
      <c r="H78" s="20"/>
      <c r="I78" s="19"/>
      <c r="J78" s="20"/>
      <c r="K78" s="20"/>
      <c r="L78" s="20"/>
      <c r="M78" s="20"/>
      <c r="N78" s="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19">
        <f>54.64*250683072.7</f>
        <v>13697323092</v>
      </c>
      <c r="E79" s="19">
        <f>54.64*2181930.88</f>
        <v>119220703.3</v>
      </c>
      <c r="F79" s="19">
        <f t="shared" ref="F79:F85" si="83">D79-E79</f>
        <v>13578102389</v>
      </c>
      <c r="G79" s="19">
        <v>0.0</v>
      </c>
      <c r="H79" s="20">
        <v>8736.0</v>
      </c>
      <c r="I79" s="19">
        <f>54.64*980951.84</f>
        <v>53599208.54</v>
      </c>
      <c r="J79" s="20">
        <f>54.64*1860000.71</f>
        <v>101630438.8</v>
      </c>
      <c r="K79" s="20">
        <f t="shared" ref="K79:K85" si="84">I79-J79</f>
        <v>-48031230.26</v>
      </c>
      <c r="L79" s="20">
        <f t="shared" ref="L79:M79" si="82">I79</f>
        <v>53599208.54</v>
      </c>
      <c r="M79" s="20">
        <f t="shared" si="82"/>
        <v>101630438.8</v>
      </c>
      <c r="N79" s="20">
        <f t="shared" ref="N79:N85" si="86">L79-M79</f>
        <v>-48031230.26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19">
        <v>2.6184269493E8</v>
      </c>
      <c r="E80" s="19">
        <v>2209688.6454000003</v>
      </c>
      <c r="F80" s="19">
        <f t="shared" si="83"/>
        <v>259633006.3</v>
      </c>
      <c r="G80" s="19">
        <v>0.0</v>
      </c>
      <c r="H80" s="20">
        <v>174.0</v>
      </c>
      <c r="I80" s="19">
        <v>0.0</v>
      </c>
      <c r="J80" s="20">
        <v>515175.43</v>
      </c>
      <c r="K80" s="20">
        <f t="shared" si="84"/>
        <v>-515175.43</v>
      </c>
      <c r="L80" s="20">
        <f t="shared" ref="L80:M80" si="85">I80</f>
        <v>0</v>
      </c>
      <c r="M80" s="20">
        <f t="shared" si="85"/>
        <v>515175.43</v>
      </c>
      <c r="N80" s="20">
        <f t="shared" si="86"/>
        <v>-515175.43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19">
        <v>4.282287486192E8</v>
      </c>
      <c r="E81" s="19">
        <v>3019811.8288</v>
      </c>
      <c r="F81" s="19">
        <f t="shared" si="83"/>
        <v>425208936.8</v>
      </c>
      <c r="G81" s="19">
        <v>0.0</v>
      </c>
      <c r="H81" s="20">
        <v>147.0</v>
      </c>
      <c r="I81" s="19">
        <v>1406288.25</v>
      </c>
      <c r="J81" s="20">
        <v>5011682.88</v>
      </c>
      <c r="K81" s="20">
        <f t="shared" si="84"/>
        <v>-3605394.63</v>
      </c>
      <c r="L81" s="20">
        <f t="shared" ref="L81:M81" si="87">I81</f>
        <v>1406288.25</v>
      </c>
      <c r="M81" s="20">
        <f t="shared" si="87"/>
        <v>5011682.88</v>
      </c>
      <c r="N81" s="20">
        <f t="shared" si="86"/>
        <v>-3605394.63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85</v>
      </c>
      <c r="D82" s="19">
        <f>54.64*1168062.5</f>
        <v>63822935</v>
      </c>
      <c r="E82" s="19">
        <f>54.64*245881.27</f>
        <v>13434952.59</v>
      </c>
      <c r="F82" s="19">
        <f t="shared" si="83"/>
        <v>50387982.41</v>
      </c>
      <c r="G82" s="19">
        <v>0.0</v>
      </c>
      <c r="H82" s="20">
        <v>26.0</v>
      </c>
      <c r="I82" s="19">
        <v>0.0</v>
      </c>
      <c r="J82" s="19">
        <v>0.0</v>
      </c>
      <c r="K82" s="20">
        <f t="shared" si="84"/>
        <v>0</v>
      </c>
      <c r="L82" s="20">
        <f t="shared" ref="L82:M82" si="88">I82</f>
        <v>0</v>
      </c>
      <c r="M82" s="20">
        <f t="shared" si="88"/>
        <v>0</v>
      </c>
      <c r="N82" s="20">
        <f t="shared" si="86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19">
        <f>54.64*36988300.73</f>
        <v>2021040752</v>
      </c>
      <c r="E83" s="19">
        <f>54.64*422882.93</f>
        <v>23106323.3</v>
      </c>
      <c r="F83" s="19">
        <f t="shared" si="83"/>
        <v>1997934429</v>
      </c>
      <c r="G83" s="19">
        <v>0.0</v>
      </c>
      <c r="H83" s="20">
        <v>1924.0</v>
      </c>
      <c r="I83" s="19">
        <f>54.64*1390.08</f>
        <v>75953.9712</v>
      </c>
      <c r="J83" s="19">
        <f>54.64*267635.59</f>
        <v>14623608.64</v>
      </c>
      <c r="K83" s="20">
        <f t="shared" si="84"/>
        <v>-14547654.67</v>
      </c>
      <c r="L83" s="20">
        <f t="shared" ref="L83:M83" si="89">I83</f>
        <v>75953.9712</v>
      </c>
      <c r="M83" s="20">
        <f t="shared" si="89"/>
        <v>14623608.64</v>
      </c>
      <c r="N83" s="20">
        <f t="shared" si="86"/>
        <v>-14547654.67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19">
        <v>4232253.42792398</v>
      </c>
      <c r="E84" s="19">
        <v>22979.5642112201</v>
      </c>
      <c r="F84" s="19">
        <f t="shared" si="83"/>
        <v>4209273.864</v>
      </c>
      <c r="G84" s="19">
        <v>0.0</v>
      </c>
      <c r="H84" s="20">
        <v>123.0</v>
      </c>
      <c r="I84" s="19">
        <v>174848.0</v>
      </c>
      <c r="J84" s="20">
        <v>0.0</v>
      </c>
      <c r="K84" s="20">
        <f t="shared" si="84"/>
        <v>174848</v>
      </c>
      <c r="L84" s="20">
        <f t="shared" ref="L84:M84" si="90">I84</f>
        <v>174848</v>
      </c>
      <c r="M84" s="20">
        <f t="shared" si="90"/>
        <v>0</v>
      </c>
      <c r="N84" s="20">
        <f t="shared" si="86"/>
        <v>174848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19">
        <f>54.64*9824643.47</f>
        <v>536818519.2</v>
      </c>
      <c r="E85" s="19">
        <f>54.64*54338.59</f>
        <v>2969060.558</v>
      </c>
      <c r="F85" s="19">
        <f t="shared" si="83"/>
        <v>533849458.6</v>
      </c>
      <c r="G85" s="19">
        <v>0.0</v>
      </c>
      <c r="H85" s="20">
        <v>2531.0</v>
      </c>
      <c r="I85" s="19">
        <f>54.64*1681600.76</f>
        <v>91882665.53</v>
      </c>
      <c r="J85" s="20">
        <f>54.64*107515.79</f>
        <v>5874662.766</v>
      </c>
      <c r="K85" s="20">
        <f t="shared" si="84"/>
        <v>86008002.76</v>
      </c>
      <c r="L85" s="20">
        <f t="shared" ref="L85:M85" si="91">I85</f>
        <v>91882665.53</v>
      </c>
      <c r="M85" s="20">
        <f t="shared" si="91"/>
        <v>5874662.766</v>
      </c>
      <c r="N85" s="20">
        <f t="shared" si="86"/>
        <v>86008002.76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26">
        <f t="shared" ref="D86:N86" si="92">SUM(D79:D85)</f>
        <v>17013308995</v>
      </c>
      <c r="E86" s="26">
        <f t="shared" si="92"/>
        <v>163983519.8</v>
      </c>
      <c r="F86" s="26">
        <f t="shared" si="92"/>
        <v>16849325476</v>
      </c>
      <c r="G86" s="26">
        <f t="shared" si="92"/>
        <v>0</v>
      </c>
      <c r="H86" s="27">
        <f t="shared" si="92"/>
        <v>13661</v>
      </c>
      <c r="I86" s="26">
        <f t="shared" si="92"/>
        <v>147138964.3</v>
      </c>
      <c r="J86" s="26">
        <f t="shared" si="92"/>
        <v>127655568.5</v>
      </c>
      <c r="K86" s="26">
        <f t="shared" si="92"/>
        <v>19483395.78</v>
      </c>
      <c r="L86" s="26">
        <f t="shared" si="92"/>
        <v>147138964.3</v>
      </c>
      <c r="M86" s="26">
        <f t="shared" si="92"/>
        <v>127655568.5</v>
      </c>
      <c r="N86" s="26">
        <f t="shared" si="92"/>
        <v>19483395.78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19">
        <f>15709493.66*59.098624</f>
        <v>928409459</v>
      </c>
      <c r="E87" s="19">
        <f>170101.96*59.098624</f>
        <v>10052791.78</v>
      </c>
      <c r="F87" s="19">
        <f>D87-E87</f>
        <v>918356667.3</v>
      </c>
      <c r="G87" s="19">
        <v>0.0</v>
      </c>
      <c r="H87" s="20">
        <v>658.0</v>
      </c>
      <c r="I87" s="19">
        <f>111553.94*59.098624</f>
        <v>6592684.356</v>
      </c>
      <c r="J87" s="20">
        <f>19958.15*59.098624</f>
        <v>1179499.203</v>
      </c>
      <c r="K87" s="20">
        <f>I87-J87</f>
        <v>5413185.153</v>
      </c>
      <c r="L87" s="20">
        <f t="shared" ref="L87:M87" si="93">I87</f>
        <v>6592684.356</v>
      </c>
      <c r="M87" s="20">
        <f t="shared" si="93"/>
        <v>1179499.203</v>
      </c>
      <c r="N87" s="20">
        <f>L87-M87</f>
        <v>5413185.153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26">
        <f t="shared" ref="D88:N88" si="94">SUM(D87)</f>
        <v>928409459</v>
      </c>
      <c r="E88" s="26">
        <f t="shared" si="94"/>
        <v>10052791.78</v>
      </c>
      <c r="F88" s="26">
        <f t="shared" si="94"/>
        <v>918356667.3</v>
      </c>
      <c r="G88" s="26">
        <f t="shared" si="94"/>
        <v>0</v>
      </c>
      <c r="H88" s="27">
        <f t="shared" si="94"/>
        <v>658</v>
      </c>
      <c r="I88" s="26">
        <f t="shared" si="94"/>
        <v>6592684.356</v>
      </c>
      <c r="J88" s="26">
        <f t="shared" si="94"/>
        <v>1179499.203</v>
      </c>
      <c r="K88" s="26">
        <f t="shared" si="94"/>
        <v>5413185.153</v>
      </c>
      <c r="L88" s="26">
        <f t="shared" si="94"/>
        <v>6592684.356</v>
      </c>
      <c r="M88" s="26">
        <f t="shared" si="94"/>
        <v>1179499.203</v>
      </c>
      <c r="N88" s="26">
        <f t="shared" si="94"/>
        <v>5413185.153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26">
        <f t="shared" ref="D89:N89" si="95">D77+D86+D88</f>
        <v>69773481620</v>
      </c>
      <c r="E89" s="26">
        <f t="shared" si="95"/>
        <v>571375220.4</v>
      </c>
      <c r="F89" s="26">
        <f t="shared" si="95"/>
        <v>69202106399</v>
      </c>
      <c r="G89" s="26">
        <f t="shared" si="95"/>
        <v>929561400</v>
      </c>
      <c r="H89" s="27">
        <f t="shared" si="95"/>
        <v>74164</v>
      </c>
      <c r="I89" s="26">
        <f t="shared" si="95"/>
        <v>664541004.5</v>
      </c>
      <c r="J89" s="26">
        <f t="shared" si="95"/>
        <v>897036013.6</v>
      </c>
      <c r="K89" s="26">
        <f t="shared" si="95"/>
        <v>-232495009.2</v>
      </c>
      <c r="L89" s="26">
        <f t="shared" si="95"/>
        <v>664541004.5</v>
      </c>
      <c r="M89" s="26">
        <f t="shared" si="95"/>
        <v>897036013.6</v>
      </c>
      <c r="N89" s="26">
        <f t="shared" si="95"/>
        <v>-232495009.2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19"/>
      <c r="E90" s="19"/>
      <c r="F90" s="19"/>
      <c r="G90" s="19"/>
      <c r="H90" s="20"/>
      <c r="I90" s="19"/>
      <c r="J90" s="20"/>
      <c r="K90" s="20"/>
      <c r="L90" s="20"/>
      <c r="M90" s="20"/>
      <c r="N90" s="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19"/>
      <c r="E91" s="19"/>
      <c r="F91" s="19"/>
      <c r="G91" s="19"/>
      <c r="H91" s="20"/>
      <c r="I91" s="19"/>
      <c r="J91" s="20"/>
      <c r="K91" s="20"/>
      <c r="L91" s="20"/>
      <c r="M91" s="20"/>
      <c r="N91" s="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19">
        <v>4.078703668677E10</v>
      </c>
      <c r="E92" s="19">
        <v>2.441345362E7</v>
      </c>
      <c r="F92" s="19">
        <f t="shared" ref="F92:F94" si="97">D92-E92</f>
        <v>40762623233</v>
      </c>
      <c r="G92" s="19">
        <v>0.0</v>
      </c>
      <c r="H92" s="20">
        <v>30748.0</v>
      </c>
      <c r="I92" s="19">
        <v>3.02604613119E9</v>
      </c>
      <c r="J92" s="20">
        <v>2.78707356578E9</v>
      </c>
      <c r="K92" s="20">
        <f t="shared" ref="K92:K94" si="98">I92-J92</f>
        <v>238972565.4</v>
      </c>
      <c r="L92" s="20">
        <f t="shared" ref="L92:M92" si="96">I92</f>
        <v>3026046131</v>
      </c>
      <c r="M92" s="20">
        <f t="shared" si="96"/>
        <v>2787073566</v>
      </c>
      <c r="N92" s="20">
        <f t="shared" ref="N92:N94" si="100">L92-M92</f>
        <v>238972565.4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19">
        <v>2.78876963047E9</v>
      </c>
      <c r="E93" s="19">
        <v>6912922.43</v>
      </c>
      <c r="F93" s="19">
        <f t="shared" si="97"/>
        <v>2781856708</v>
      </c>
      <c r="G93" s="19">
        <v>0.0</v>
      </c>
      <c r="H93" s="20">
        <v>724.0</v>
      </c>
      <c r="I93" s="19">
        <v>1.1960676596E8</v>
      </c>
      <c r="J93" s="20">
        <v>1.7086889575E8</v>
      </c>
      <c r="K93" s="20">
        <f t="shared" si="98"/>
        <v>-51262129.79</v>
      </c>
      <c r="L93" s="20">
        <f t="shared" ref="L93:M93" si="99">I93</f>
        <v>119606766</v>
      </c>
      <c r="M93" s="20">
        <f t="shared" si="99"/>
        <v>170868895.8</v>
      </c>
      <c r="N93" s="20">
        <f t="shared" si="100"/>
        <v>-51262129.79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19">
        <v>4.633527515213E10</v>
      </c>
      <c r="E94" s="19">
        <v>2.7667124734E8</v>
      </c>
      <c r="F94" s="19">
        <f t="shared" si="97"/>
        <v>46058603905</v>
      </c>
      <c r="G94" s="19">
        <v>0.0</v>
      </c>
      <c r="H94" s="20">
        <v>66029.0</v>
      </c>
      <c r="I94" s="19">
        <v>2.72938224397E9</v>
      </c>
      <c r="J94" s="20">
        <v>9.0043577789E9</v>
      </c>
      <c r="K94" s="20">
        <f t="shared" si="98"/>
        <v>-6274975535</v>
      </c>
      <c r="L94" s="20">
        <f t="shared" ref="L94:M94" si="101">I94</f>
        <v>2729382244</v>
      </c>
      <c r="M94" s="20">
        <f t="shared" si="101"/>
        <v>9004357779</v>
      </c>
      <c r="N94" s="20">
        <f t="shared" si="100"/>
        <v>-6274975535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19"/>
      <c r="E95" s="19"/>
      <c r="F95" s="19"/>
      <c r="G95" s="19"/>
      <c r="H95" s="20"/>
      <c r="I95" s="19"/>
      <c r="J95" s="20"/>
      <c r="K95" s="20"/>
      <c r="L95" s="20"/>
      <c r="M95" s="20"/>
      <c r="N95" s="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19">
        <v>4.51894361253E9</v>
      </c>
      <c r="E96" s="19">
        <v>3245316.38</v>
      </c>
      <c r="F96" s="19">
        <f>D96-E96</f>
        <v>4515698296</v>
      </c>
      <c r="G96" s="19">
        <v>0.0</v>
      </c>
      <c r="H96" s="20">
        <v>4174.0</v>
      </c>
      <c r="I96" s="19">
        <v>1.58427736059E9</v>
      </c>
      <c r="J96" s="20">
        <v>5.9882373843E8</v>
      </c>
      <c r="K96" s="20">
        <f>I96-J96</f>
        <v>985453622.2</v>
      </c>
      <c r="L96" s="20">
        <f t="shared" ref="L96:M96" si="102">I96</f>
        <v>1584277361</v>
      </c>
      <c r="M96" s="20">
        <f t="shared" si="102"/>
        <v>598823738.4</v>
      </c>
      <c r="N96" s="20">
        <f>L96-M96</f>
        <v>985453622.2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26">
        <f t="shared" ref="D97:N97" si="103">SUM(D92:D94)+D96</f>
        <v>94430025082</v>
      </c>
      <c r="E97" s="26">
        <f t="shared" si="103"/>
        <v>311242939.8</v>
      </c>
      <c r="F97" s="26">
        <f t="shared" si="103"/>
        <v>94118782142</v>
      </c>
      <c r="G97" s="26">
        <f t="shared" si="103"/>
        <v>0</v>
      </c>
      <c r="H97" s="27">
        <f t="shared" si="103"/>
        <v>101675</v>
      </c>
      <c r="I97" s="26">
        <f t="shared" si="103"/>
        <v>7459312502</v>
      </c>
      <c r="J97" s="26">
        <f t="shared" si="103"/>
        <v>12561123979</v>
      </c>
      <c r="K97" s="26">
        <f t="shared" si="103"/>
        <v>-5101811477</v>
      </c>
      <c r="L97" s="26">
        <f t="shared" si="103"/>
        <v>7459312502</v>
      </c>
      <c r="M97" s="26">
        <f t="shared" si="103"/>
        <v>12561123979</v>
      </c>
      <c r="N97" s="26">
        <f t="shared" si="103"/>
        <v>-5101811477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19"/>
      <c r="E98" s="19"/>
      <c r="F98" s="19"/>
      <c r="G98" s="19"/>
      <c r="H98" s="20"/>
      <c r="I98" s="19"/>
      <c r="J98" s="20"/>
      <c r="K98" s="20"/>
      <c r="L98" s="20"/>
      <c r="M98" s="20"/>
      <c r="N98" s="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19">
        <f>54.64*91978325.38</f>
        <v>5025695699</v>
      </c>
      <c r="E99" s="19">
        <f>54.64*1241135.85</f>
        <v>67815662.84</v>
      </c>
      <c r="F99" s="19">
        <f>D99-E99</f>
        <v>4957880036</v>
      </c>
      <c r="G99" s="19">
        <v>0.0</v>
      </c>
      <c r="H99" s="20">
        <v>3421.0</v>
      </c>
      <c r="I99" s="19">
        <f>54.64*24060314.32</f>
        <v>1314655574</v>
      </c>
      <c r="J99" s="19">
        <f>54.64*36576277.42</f>
        <v>1998527798</v>
      </c>
      <c r="K99" s="20">
        <f>I99-J99</f>
        <v>-683872223.8</v>
      </c>
      <c r="L99" s="20">
        <f t="shared" ref="L99:M99" si="104">I99</f>
        <v>1314655574</v>
      </c>
      <c r="M99" s="20">
        <f t="shared" si="104"/>
        <v>1998527798</v>
      </c>
      <c r="N99" s="20">
        <f>L99-M99</f>
        <v>-683872223.8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26">
        <f t="shared" ref="D100:N100" si="105">SUM(D99)</f>
        <v>5025695699</v>
      </c>
      <c r="E100" s="26">
        <f t="shared" si="105"/>
        <v>67815662.84</v>
      </c>
      <c r="F100" s="26">
        <f t="shared" si="105"/>
        <v>4957880036</v>
      </c>
      <c r="G100" s="26">
        <f t="shared" si="105"/>
        <v>0</v>
      </c>
      <c r="H100" s="27">
        <f t="shared" si="105"/>
        <v>3421</v>
      </c>
      <c r="I100" s="26">
        <f t="shared" si="105"/>
        <v>1314655574</v>
      </c>
      <c r="J100" s="26">
        <f t="shared" si="105"/>
        <v>1998527798</v>
      </c>
      <c r="K100" s="26">
        <f t="shared" si="105"/>
        <v>-683872223.8</v>
      </c>
      <c r="L100" s="26">
        <f t="shared" si="105"/>
        <v>1314655574</v>
      </c>
      <c r="M100" s="26">
        <f t="shared" si="105"/>
        <v>1998527798</v>
      </c>
      <c r="N100" s="26">
        <f t="shared" si="105"/>
        <v>-683872223.8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26">
        <f t="shared" ref="D101:N101" si="106">D97+D100</f>
        <v>99455720781</v>
      </c>
      <c r="E101" s="26">
        <f t="shared" si="106"/>
        <v>379058602.6</v>
      </c>
      <c r="F101" s="26">
        <f t="shared" si="106"/>
        <v>99076662178</v>
      </c>
      <c r="G101" s="26">
        <f t="shared" si="106"/>
        <v>0</v>
      </c>
      <c r="H101" s="27">
        <f t="shared" si="106"/>
        <v>105096</v>
      </c>
      <c r="I101" s="26">
        <f t="shared" si="106"/>
        <v>8773968076</v>
      </c>
      <c r="J101" s="26">
        <f t="shared" si="106"/>
        <v>14559651777</v>
      </c>
      <c r="K101" s="26">
        <f t="shared" si="106"/>
        <v>-5785683701</v>
      </c>
      <c r="L101" s="26">
        <f t="shared" si="106"/>
        <v>8773968076</v>
      </c>
      <c r="M101" s="26">
        <f t="shared" si="106"/>
        <v>14559651777</v>
      </c>
      <c r="N101" s="26">
        <f t="shared" si="106"/>
        <v>-5785683701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19"/>
      <c r="E102" s="19"/>
      <c r="F102" s="19"/>
      <c r="G102" s="19"/>
      <c r="H102" s="20"/>
      <c r="I102" s="19"/>
      <c r="J102" s="19"/>
      <c r="K102" s="20"/>
      <c r="L102" s="20"/>
      <c r="M102" s="20"/>
      <c r="N102" s="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19"/>
      <c r="E103" s="19"/>
      <c r="F103" s="19"/>
      <c r="G103" s="19"/>
      <c r="H103" s="20"/>
      <c r="I103" s="19"/>
      <c r="J103" s="19"/>
      <c r="K103" s="20"/>
      <c r="L103" s="20"/>
      <c r="M103" s="20"/>
      <c r="N103" s="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101</v>
      </c>
      <c r="D104" s="19">
        <v>9.53493092106E9</v>
      </c>
      <c r="E104" s="19">
        <v>8.417864184E7</v>
      </c>
      <c r="F104" s="19">
        <f t="shared" ref="F104:F105" si="108">D104-E104</f>
        <v>9450752279</v>
      </c>
      <c r="G104" s="19">
        <v>0.0</v>
      </c>
      <c r="H104" s="20">
        <v>66422.0</v>
      </c>
      <c r="I104" s="19">
        <v>2.0403476781E8</v>
      </c>
      <c r="J104" s="19">
        <v>7.893113639E7</v>
      </c>
      <c r="K104" s="20">
        <f t="shared" ref="K104:K105" si="109">I104-J104</f>
        <v>125103631.4</v>
      </c>
      <c r="L104" s="20">
        <f t="shared" ref="L104:M104" si="107">I104</f>
        <v>204034767.8</v>
      </c>
      <c r="M104" s="20">
        <f t="shared" si="107"/>
        <v>78931136.39</v>
      </c>
      <c r="N104" s="20">
        <f t="shared" ref="N104:N105" si="111">L104-M104</f>
        <v>125103631.4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19">
        <v>3.40705738583E9</v>
      </c>
      <c r="E105" s="19">
        <v>1.288439734E7</v>
      </c>
      <c r="F105" s="19">
        <f t="shared" si="108"/>
        <v>3394172988</v>
      </c>
      <c r="G105" s="19">
        <v>0.0</v>
      </c>
      <c r="H105" s="20">
        <v>5938.0</v>
      </c>
      <c r="I105" s="19">
        <v>2.616005813E7</v>
      </c>
      <c r="J105" s="19">
        <v>5.706323869E7</v>
      </c>
      <c r="K105" s="20">
        <f t="shared" si="109"/>
        <v>-30903180.56</v>
      </c>
      <c r="L105" s="20">
        <f t="shared" ref="L105:M105" si="110">I105</f>
        <v>26160058.13</v>
      </c>
      <c r="M105" s="20">
        <f t="shared" si="110"/>
        <v>57063238.69</v>
      </c>
      <c r="N105" s="20">
        <f t="shared" si="111"/>
        <v>-30903180.56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4" t="s">
        <v>45</v>
      </c>
      <c r="B106" s="2"/>
      <c r="C106" s="3"/>
      <c r="D106" s="26">
        <f t="shared" ref="D106:N106" si="112">D104+D105</f>
        <v>12941988307</v>
      </c>
      <c r="E106" s="26">
        <f t="shared" si="112"/>
        <v>97063039.18</v>
      </c>
      <c r="F106" s="26">
        <f t="shared" si="112"/>
        <v>12844925268</v>
      </c>
      <c r="G106" s="26">
        <f t="shared" si="112"/>
        <v>0</v>
      </c>
      <c r="H106" s="27">
        <f t="shared" si="112"/>
        <v>72360</v>
      </c>
      <c r="I106" s="26">
        <f t="shared" si="112"/>
        <v>230194825.9</v>
      </c>
      <c r="J106" s="26">
        <f t="shared" si="112"/>
        <v>135994375.1</v>
      </c>
      <c r="K106" s="26">
        <f t="shared" si="112"/>
        <v>94200450.86</v>
      </c>
      <c r="L106" s="26">
        <f t="shared" si="112"/>
        <v>230194825.9</v>
      </c>
      <c r="M106" s="26">
        <f t="shared" si="112"/>
        <v>135994375.1</v>
      </c>
      <c r="N106" s="26">
        <f t="shared" si="112"/>
        <v>94200450.86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19"/>
      <c r="E107" s="19"/>
      <c r="F107" s="19"/>
      <c r="G107" s="19"/>
      <c r="H107" s="20"/>
      <c r="I107" s="19"/>
      <c r="J107" s="19"/>
      <c r="K107" s="20"/>
      <c r="L107" s="20"/>
      <c r="M107" s="20"/>
      <c r="N107" s="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104</v>
      </c>
      <c r="D108" s="19">
        <f>54.64*186428711.76</f>
        <v>10186464811</v>
      </c>
      <c r="E108" s="19">
        <f>54.64*1140896.25</f>
        <v>62338571.1</v>
      </c>
      <c r="F108" s="19">
        <f>D108-E108</f>
        <v>10124126239</v>
      </c>
      <c r="G108" s="19">
        <v>0.0</v>
      </c>
      <c r="H108" s="20">
        <v>8297.0</v>
      </c>
      <c r="I108" s="19">
        <f>54.64*2700507.93</f>
        <v>147555753.3</v>
      </c>
      <c r="J108" s="19">
        <f>54.64*1543740.22</f>
        <v>84349965.62</v>
      </c>
      <c r="K108" s="20">
        <f>I108-J108</f>
        <v>63205787.67</v>
      </c>
      <c r="L108" s="20">
        <f t="shared" ref="L108:M108" si="113">I108</f>
        <v>147555753.3</v>
      </c>
      <c r="M108" s="20">
        <f t="shared" si="113"/>
        <v>84349965.62</v>
      </c>
      <c r="N108" s="20">
        <f>L108-M108</f>
        <v>63205787.67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4" t="s">
        <v>89</v>
      </c>
      <c r="B109" s="25"/>
      <c r="C109" s="1"/>
      <c r="D109" s="26">
        <f t="shared" ref="D109:N109" si="114">SUM(D108)</f>
        <v>10186464811</v>
      </c>
      <c r="E109" s="26">
        <f t="shared" si="114"/>
        <v>62338571.1</v>
      </c>
      <c r="F109" s="26">
        <f t="shared" si="114"/>
        <v>10124126239</v>
      </c>
      <c r="G109" s="26">
        <f t="shared" si="114"/>
        <v>0</v>
      </c>
      <c r="H109" s="27">
        <f t="shared" si="114"/>
        <v>8297</v>
      </c>
      <c r="I109" s="26">
        <f t="shared" si="114"/>
        <v>147555753.3</v>
      </c>
      <c r="J109" s="26">
        <f t="shared" si="114"/>
        <v>84349965.62</v>
      </c>
      <c r="K109" s="26">
        <f t="shared" si="114"/>
        <v>63205787.67</v>
      </c>
      <c r="L109" s="26">
        <f t="shared" si="114"/>
        <v>147555753.3</v>
      </c>
      <c r="M109" s="26">
        <f t="shared" si="114"/>
        <v>84349965.62</v>
      </c>
      <c r="N109" s="26">
        <f t="shared" si="114"/>
        <v>63205787.67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105</v>
      </c>
      <c r="B110" s="31"/>
      <c r="C110" s="29"/>
      <c r="D110" s="26">
        <f t="shared" ref="D110:N110" si="115">SUM(D106+D109)</f>
        <v>23128453117</v>
      </c>
      <c r="E110" s="26">
        <f t="shared" si="115"/>
        <v>159401610.3</v>
      </c>
      <c r="F110" s="26">
        <f t="shared" si="115"/>
        <v>22969051507</v>
      </c>
      <c r="G110" s="26">
        <f t="shared" si="115"/>
        <v>0</v>
      </c>
      <c r="H110" s="27">
        <f t="shared" si="115"/>
        <v>80657</v>
      </c>
      <c r="I110" s="26">
        <f t="shared" si="115"/>
        <v>377750579.2</v>
      </c>
      <c r="J110" s="26">
        <f t="shared" si="115"/>
        <v>220344340.7</v>
      </c>
      <c r="K110" s="26">
        <f t="shared" si="115"/>
        <v>157406238.5</v>
      </c>
      <c r="L110" s="26">
        <f t="shared" si="115"/>
        <v>377750579.2</v>
      </c>
      <c r="M110" s="26">
        <f t="shared" si="115"/>
        <v>220344340.7</v>
      </c>
      <c r="N110" s="26">
        <f t="shared" si="115"/>
        <v>157406238.5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106</v>
      </c>
      <c r="B111" s="33"/>
      <c r="C111" s="34"/>
      <c r="D111" s="35">
        <f t="shared" ref="D111:N111" si="116">D39+D63+D89+D101+D110</f>
        <v>281508779439</v>
      </c>
      <c r="E111" s="35">
        <f t="shared" si="116"/>
        <v>2369301698</v>
      </c>
      <c r="F111" s="35">
        <f t="shared" si="116"/>
        <v>279139477741</v>
      </c>
      <c r="G111" s="35">
        <f t="shared" si="116"/>
        <v>75619406413</v>
      </c>
      <c r="H111" s="36">
        <f t="shared" si="116"/>
        <v>969638</v>
      </c>
      <c r="I111" s="35">
        <f t="shared" si="116"/>
        <v>10807567814</v>
      </c>
      <c r="J111" s="35">
        <f t="shared" si="116"/>
        <v>17251998280</v>
      </c>
      <c r="K111" s="35">
        <f t="shared" si="116"/>
        <v>-6444430466</v>
      </c>
      <c r="L111" s="35">
        <f t="shared" si="116"/>
        <v>10807567814</v>
      </c>
      <c r="M111" s="35">
        <f t="shared" si="116"/>
        <v>17251998280</v>
      </c>
      <c r="N111" s="35">
        <f t="shared" si="116"/>
        <v>-6444430466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7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0"/>
      <c r="B113" s="30"/>
      <c r="C113" s="30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0"/>
      <c r="B114" s="30"/>
      <c r="C114" s="30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7"/>
      <c r="B115" s="37"/>
      <c r="C115" s="37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107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19">
        <v>4.593872904E9</v>
      </c>
      <c r="E9" s="19">
        <v>1.2038727E7</v>
      </c>
      <c r="F9" s="19">
        <f t="shared" ref="F9:F27" si="1">D9-E9</f>
        <v>4581834177</v>
      </c>
      <c r="G9" s="19">
        <v>4.291574273E9</v>
      </c>
      <c r="H9" s="20">
        <v>7236.0</v>
      </c>
      <c r="I9" s="19">
        <v>5275082.0</v>
      </c>
      <c r="J9" s="20">
        <v>2.4704237E7</v>
      </c>
      <c r="K9" s="20">
        <f t="shared" ref="K9:K27" si="2">I9-J9</f>
        <v>-19429155</v>
      </c>
      <c r="L9" s="20">
        <f>I9+Jan!L9</f>
        <v>11981921.07</v>
      </c>
      <c r="M9" s="20">
        <f>J9+Jan!M9</f>
        <v>99910370.42</v>
      </c>
      <c r="N9" s="20">
        <f t="shared" ref="N9:N27" si="3">L9-M9</f>
        <v>-87928449.35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19">
        <v>7.8551117992E8</v>
      </c>
      <c r="E10" s="19">
        <v>2.10498734E7</v>
      </c>
      <c r="F10" s="19">
        <f t="shared" si="1"/>
        <v>764461306.5</v>
      </c>
      <c r="G10" s="19">
        <v>7.1177413013E8</v>
      </c>
      <c r="H10" s="20">
        <v>4221.0</v>
      </c>
      <c r="I10" s="19">
        <v>5560274.87</v>
      </c>
      <c r="J10" s="20">
        <v>1.233699945E7</v>
      </c>
      <c r="K10" s="20">
        <f t="shared" si="2"/>
        <v>-6776724.58</v>
      </c>
      <c r="L10" s="20">
        <f>I10+Jan!L10</f>
        <v>10060031.12</v>
      </c>
      <c r="M10" s="20">
        <f>J10+Jan!M10</f>
        <v>28554190.27</v>
      </c>
      <c r="N10" s="20">
        <f t="shared" si="3"/>
        <v>-18494159.15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19">
        <v>1.63168375247E9</v>
      </c>
      <c r="E11" s="19">
        <v>1.0575226878E8</v>
      </c>
      <c r="F11" s="19">
        <f t="shared" si="1"/>
        <v>1525931484</v>
      </c>
      <c r="G11" s="19">
        <v>1.45488823965E9</v>
      </c>
      <c r="H11" s="20">
        <v>2874.0</v>
      </c>
      <c r="I11" s="19">
        <v>1.851460891E8</v>
      </c>
      <c r="J11" s="20">
        <v>1.2266103532E8</v>
      </c>
      <c r="K11" s="20">
        <f t="shared" si="2"/>
        <v>62485053.78</v>
      </c>
      <c r="L11" s="20">
        <f>I11+Jan!L11</f>
        <v>373102426.8</v>
      </c>
      <c r="M11" s="20">
        <f>J11+Jan!M11</f>
        <v>132912714.4</v>
      </c>
      <c r="N11" s="20">
        <f t="shared" si="3"/>
        <v>240189712.4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19">
        <v>3.6020278388E8</v>
      </c>
      <c r="E12" s="19">
        <v>1.776239372E7</v>
      </c>
      <c r="F12" s="19">
        <f t="shared" si="1"/>
        <v>342440390.2</v>
      </c>
      <c r="G12" s="19">
        <v>2.045159469E8</v>
      </c>
      <c r="H12" s="20">
        <v>1743.0</v>
      </c>
      <c r="I12" s="19">
        <v>588897.45</v>
      </c>
      <c r="J12" s="20">
        <v>71172.65</v>
      </c>
      <c r="K12" s="20">
        <f t="shared" si="2"/>
        <v>517724.8</v>
      </c>
      <c r="L12" s="20">
        <f>I12+Jan!L12</f>
        <v>1129901.95</v>
      </c>
      <c r="M12" s="20">
        <f>J12+Jan!M12</f>
        <v>179339.26</v>
      </c>
      <c r="N12" s="20">
        <f t="shared" si="3"/>
        <v>950562.69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19">
        <v>5.3822817226E8</v>
      </c>
      <c r="E13" s="19">
        <v>1229091.08</v>
      </c>
      <c r="F13" s="19">
        <f t="shared" si="1"/>
        <v>536999081.2</v>
      </c>
      <c r="G13" s="19">
        <v>4.2599786662E8</v>
      </c>
      <c r="H13" s="20">
        <v>1428.0</v>
      </c>
      <c r="I13" s="19">
        <v>539284.43</v>
      </c>
      <c r="J13" s="20">
        <v>284725.86</v>
      </c>
      <c r="K13" s="20">
        <f t="shared" si="2"/>
        <v>254558.57</v>
      </c>
      <c r="L13" s="20">
        <f>I13+Jan!L13</f>
        <v>1303142.54</v>
      </c>
      <c r="M13" s="20">
        <f>J13+Jan!M13</f>
        <v>3583593.44</v>
      </c>
      <c r="N13" s="20">
        <f t="shared" si="3"/>
        <v>-2280450.9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19">
        <v>4.20995485645E9</v>
      </c>
      <c r="E14" s="19">
        <v>2.18502524E7</v>
      </c>
      <c r="F14" s="19">
        <f t="shared" si="1"/>
        <v>4188104604</v>
      </c>
      <c r="G14" s="19">
        <v>3.44154122035E9</v>
      </c>
      <c r="H14" s="20">
        <v>16190.0</v>
      </c>
      <c r="I14" s="19">
        <v>1.3071495501E7</v>
      </c>
      <c r="J14" s="20">
        <v>1.705274528E7</v>
      </c>
      <c r="K14" s="20">
        <f t="shared" si="2"/>
        <v>-3981249.779</v>
      </c>
      <c r="L14" s="20">
        <f>I14+Jan!L14</f>
        <v>32385308.46</v>
      </c>
      <c r="M14" s="20">
        <f>J14+Jan!M14</f>
        <v>71058749.46</v>
      </c>
      <c r="N14" s="20">
        <f t="shared" si="3"/>
        <v>-38673441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19">
        <v>9.96217985E7</v>
      </c>
      <c r="E15" s="19">
        <v>1254140.83</v>
      </c>
      <c r="F15" s="19">
        <f t="shared" si="1"/>
        <v>98367657.67</v>
      </c>
      <c r="G15" s="19">
        <v>9.692567541E7</v>
      </c>
      <c r="H15" s="20">
        <v>554.0</v>
      </c>
      <c r="I15" s="19">
        <v>728740.25</v>
      </c>
      <c r="J15" s="20">
        <v>676891.31</v>
      </c>
      <c r="K15" s="20">
        <f t="shared" si="2"/>
        <v>51848.94</v>
      </c>
      <c r="L15" s="20">
        <f>I15+Jan!L15</f>
        <v>1489676.73</v>
      </c>
      <c r="M15" s="20">
        <f>J15+Jan!M15</f>
        <v>3847209.93</v>
      </c>
      <c r="N15" s="20">
        <f t="shared" si="3"/>
        <v>-2357533.2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19">
        <v>1.19846366E8</v>
      </c>
      <c r="E16" s="19">
        <v>2353974.0</v>
      </c>
      <c r="F16" s="19">
        <f t="shared" si="1"/>
        <v>117492392</v>
      </c>
      <c r="G16" s="19">
        <v>1.06689337E8</v>
      </c>
      <c r="H16" s="20">
        <v>50.0</v>
      </c>
      <c r="I16" s="19">
        <v>0.0</v>
      </c>
      <c r="J16" s="20">
        <v>496031.0</v>
      </c>
      <c r="K16" s="20">
        <f t="shared" si="2"/>
        <v>-496031</v>
      </c>
      <c r="L16" s="20">
        <f>I16+Jan!L16</f>
        <v>0</v>
      </c>
      <c r="M16" s="20">
        <f>J16+Jan!M16</f>
        <v>496031</v>
      </c>
      <c r="N16" s="20">
        <f t="shared" si="3"/>
        <v>-496031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19">
        <v>1.356343217E9</v>
      </c>
      <c r="E17" s="19">
        <v>7.4584016E7</v>
      </c>
      <c r="F17" s="19">
        <f t="shared" si="1"/>
        <v>1281759201</v>
      </c>
      <c r="G17" s="19">
        <v>1.301656259E9</v>
      </c>
      <c r="H17" s="20">
        <v>12224.0</v>
      </c>
      <c r="I17" s="19">
        <v>0.0</v>
      </c>
      <c r="J17" s="20">
        <v>6972690.0</v>
      </c>
      <c r="K17" s="20">
        <f t="shared" si="2"/>
        <v>-6972690</v>
      </c>
      <c r="L17" s="20">
        <f>I17+Jan!L17</f>
        <v>0</v>
      </c>
      <c r="M17" s="20">
        <f>J17+Jan!M17</f>
        <v>29187471.39</v>
      </c>
      <c r="N17" s="20">
        <f t="shared" si="3"/>
        <v>-29187471.39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19">
        <v>3.876027145E9</v>
      </c>
      <c r="E18" s="19">
        <v>1.61955174E8</v>
      </c>
      <c r="F18" s="19">
        <f t="shared" si="1"/>
        <v>3714071971</v>
      </c>
      <c r="G18" s="19">
        <v>3.424225386E9</v>
      </c>
      <c r="H18" s="20">
        <v>12187.0</v>
      </c>
      <c r="I18" s="19">
        <v>3137498.0</v>
      </c>
      <c r="J18" s="20">
        <v>2.4799237E7</v>
      </c>
      <c r="K18" s="20">
        <f t="shared" si="2"/>
        <v>-21661739</v>
      </c>
      <c r="L18" s="20">
        <f>I18+Jan!L18</f>
        <v>7829204.97</v>
      </c>
      <c r="M18" s="20">
        <f>J18+Jan!M18</f>
        <v>48041761.54</v>
      </c>
      <c r="N18" s="20">
        <f t="shared" si="3"/>
        <v>-40212556.57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19">
        <v>2.22400157328585E9</v>
      </c>
      <c r="E19" s="19">
        <v>1.64908972893E7</v>
      </c>
      <c r="F19" s="19">
        <f t="shared" si="1"/>
        <v>2207510676</v>
      </c>
      <c r="G19" s="19">
        <v>1.89056768993196E9</v>
      </c>
      <c r="H19" s="20">
        <v>5618.0</v>
      </c>
      <c r="I19" s="19">
        <v>6.201514651E7</v>
      </c>
      <c r="J19" s="20">
        <v>3355607.82</v>
      </c>
      <c r="K19" s="20">
        <f t="shared" si="2"/>
        <v>58659538.69</v>
      </c>
      <c r="L19" s="20">
        <f>I19+Jan!L19</f>
        <v>133609030.2</v>
      </c>
      <c r="M19" s="20">
        <f>J19+Jan!M19</f>
        <v>7631625.25</v>
      </c>
      <c r="N19" s="20">
        <f t="shared" si="3"/>
        <v>125977404.9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19">
        <v>9.9096778986037E9</v>
      </c>
      <c r="E20" s="19">
        <v>1.715778123495E8</v>
      </c>
      <c r="F20" s="19">
        <f t="shared" si="1"/>
        <v>9738100086</v>
      </c>
      <c r="G20" s="19">
        <v>9.04949724919E9</v>
      </c>
      <c r="H20" s="20">
        <v>36023.0</v>
      </c>
      <c r="I20" s="19">
        <v>9950257.57</v>
      </c>
      <c r="J20" s="20">
        <v>2.178868272E7</v>
      </c>
      <c r="K20" s="20">
        <f t="shared" si="2"/>
        <v>-11838425.15</v>
      </c>
      <c r="L20" s="20">
        <f>I20+Jan!L20</f>
        <v>20583916.07</v>
      </c>
      <c r="M20" s="20">
        <f>J20+Jan!M20</f>
        <v>66928620.74</v>
      </c>
      <c r="N20" s="20">
        <f t="shared" si="3"/>
        <v>-46344704.67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19">
        <v>3.14957084517189E8</v>
      </c>
      <c r="E21" s="19">
        <v>4573550.5800001</v>
      </c>
      <c r="F21" s="19">
        <f t="shared" si="1"/>
        <v>310383533.9</v>
      </c>
      <c r="G21" s="19">
        <v>2.9907143508E8</v>
      </c>
      <c r="H21" s="20">
        <v>1019.0</v>
      </c>
      <c r="I21" s="19">
        <v>472211.56</v>
      </c>
      <c r="J21" s="20">
        <v>94734.67</v>
      </c>
      <c r="K21" s="20">
        <f t="shared" si="2"/>
        <v>377476.89</v>
      </c>
      <c r="L21" s="20">
        <f>I21+Jan!L21</f>
        <v>891025.29</v>
      </c>
      <c r="M21" s="20">
        <f>J21+Jan!M21</f>
        <v>532515.8</v>
      </c>
      <c r="N21" s="20">
        <f t="shared" si="3"/>
        <v>358509.49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19">
        <v>3.8516496731696E9</v>
      </c>
      <c r="E22" s="19">
        <v>1.96949796067998E7</v>
      </c>
      <c r="F22" s="19">
        <f t="shared" si="1"/>
        <v>3831954694</v>
      </c>
      <c r="G22" s="19">
        <v>3.77528072869869E9</v>
      </c>
      <c r="H22" s="20">
        <v>26959.0</v>
      </c>
      <c r="I22" s="19">
        <v>1.2249121238E8</v>
      </c>
      <c r="J22" s="20">
        <v>6.140580706E7</v>
      </c>
      <c r="K22" s="20">
        <f t="shared" si="2"/>
        <v>61085405.32</v>
      </c>
      <c r="L22" s="20">
        <f>I22+Jan!L22</f>
        <v>233371513.7</v>
      </c>
      <c r="M22" s="20">
        <f>J22+Jan!M22</f>
        <v>155550859.7</v>
      </c>
      <c r="N22" s="20">
        <f t="shared" si="3"/>
        <v>77820653.93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19">
        <v>8.87610488178E9</v>
      </c>
      <c r="E23" s="19">
        <v>1.666093233E7</v>
      </c>
      <c r="F23" s="19">
        <f t="shared" si="1"/>
        <v>8859443949</v>
      </c>
      <c r="G23" s="19">
        <v>8.80547181324E9</v>
      </c>
      <c r="H23" s="20">
        <v>14248.0</v>
      </c>
      <c r="I23" s="19">
        <v>1027707.34</v>
      </c>
      <c r="J23" s="20">
        <v>7.368717695E7</v>
      </c>
      <c r="K23" s="20">
        <f t="shared" si="2"/>
        <v>-72659469.61</v>
      </c>
      <c r="L23" s="20">
        <f>I23+Jan!L23</f>
        <v>5771206.78</v>
      </c>
      <c r="M23" s="20">
        <f>J23+Jan!M23</f>
        <v>224306381</v>
      </c>
      <c r="N23" s="20">
        <f t="shared" si="3"/>
        <v>-218535174.2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19">
        <v>3.16713296145E9</v>
      </c>
      <c r="E24" s="19">
        <v>1.859148127E7</v>
      </c>
      <c r="F24" s="19">
        <f t="shared" si="1"/>
        <v>3148541480</v>
      </c>
      <c r="G24" s="19">
        <v>2.99546246234E9</v>
      </c>
      <c r="H24" s="20">
        <v>12809.0</v>
      </c>
      <c r="I24" s="19">
        <v>5.227135533E7</v>
      </c>
      <c r="J24" s="20">
        <v>2482560.97</v>
      </c>
      <c r="K24" s="20">
        <f t="shared" si="2"/>
        <v>49788794.36</v>
      </c>
      <c r="L24" s="20">
        <f>I24+Jan!L24</f>
        <v>89627532.58</v>
      </c>
      <c r="M24" s="20">
        <f>J24+Jan!M24</f>
        <v>3660174.96</v>
      </c>
      <c r="N24" s="20">
        <f t="shared" si="3"/>
        <v>85967357.62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19">
        <v>7.122473442E9</v>
      </c>
      <c r="E25" s="19">
        <v>1.37168464E8</v>
      </c>
      <c r="F25" s="19">
        <f t="shared" si="1"/>
        <v>6985304978</v>
      </c>
      <c r="G25" s="19">
        <v>6.7674883E9</v>
      </c>
      <c r="H25" s="20">
        <v>66521.0</v>
      </c>
      <c r="I25" s="19">
        <v>1.9140044E7</v>
      </c>
      <c r="J25" s="20">
        <v>1.3622711E8</v>
      </c>
      <c r="K25" s="20">
        <f t="shared" si="2"/>
        <v>-117087066</v>
      </c>
      <c r="L25" s="20">
        <f>I25+Jan!L25</f>
        <v>60431878.57</v>
      </c>
      <c r="M25" s="20">
        <f>J25+Jan!M25</f>
        <v>280411203.7</v>
      </c>
      <c r="N25" s="20">
        <f t="shared" si="3"/>
        <v>-219979325.1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19">
        <v>1.1914938358E10</v>
      </c>
      <c r="E26" s="19">
        <v>4.0760632E7</v>
      </c>
      <c r="F26" s="19">
        <f t="shared" si="1"/>
        <v>11874177726</v>
      </c>
      <c r="G26" s="19">
        <v>1.1799711686E10</v>
      </c>
      <c r="H26" s="20">
        <v>57153.0</v>
      </c>
      <c r="I26" s="19">
        <v>4.16475333E8</v>
      </c>
      <c r="J26" s="20">
        <v>1.15686641E8</v>
      </c>
      <c r="K26" s="20">
        <f t="shared" si="2"/>
        <v>300788692</v>
      </c>
      <c r="L26" s="20">
        <f>I26+Jan!L26</f>
        <v>815562393.6</v>
      </c>
      <c r="M26" s="20">
        <f>J26+Jan!M26</f>
        <v>711756159.4</v>
      </c>
      <c r="N26" s="20">
        <f t="shared" si="3"/>
        <v>103806234.2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19">
        <v>5.9229189254E8</v>
      </c>
      <c r="E27" s="19">
        <v>1560024.05</v>
      </c>
      <c r="F27" s="19">
        <f t="shared" si="1"/>
        <v>590731868.5</v>
      </c>
      <c r="G27" s="19">
        <v>5.202632271E8</v>
      </c>
      <c r="H27" s="20">
        <v>1303.0</v>
      </c>
      <c r="I27" s="19">
        <v>263765.73</v>
      </c>
      <c r="J27" s="20">
        <v>314979.52</v>
      </c>
      <c r="K27" s="20">
        <f t="shared" si="2"/>
        <v>-51213.79</v>
      </c>
      <c r="L27" s="20">
        <f>I27+Jan!L27</f>
        <v>561599.59</v>
      </c>
      <c r="M27" s="20">
        <f>J27+Jan!M27</f>
        <v>3921612.18</v>
      </c>
      <c r="N27" s="20">
        <f t="shared" si="3"/>
        <v>-3360012.59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19"/>
      <c r="E28" s="19"/>
      <c r="F28" s="19"/>
      <c r="G28" s="19"/>
      <c r="H28" s="20"/>
      <c r="I28" s="19"/>
      <c r="J28" s="20"/>
      <c r="K28" s="20"/>
      <c r="L28" s="20"/>
      <c r="M28" s="20"/>
      <c r="N28" s="20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41</v>
      </c>
      <c r="D29" s="19">
        <v>1.7671353412E8</v>
      </c>
      <c r="E29" s="19">
        <v>2246958.77</v>
      </c>
      <c r="F29" s="19">
        <f t="shared" ref="F29:F31" si="4">D29-E29</f>
        <v>174466575.4</v>
      </c>
      <c r="G29" s="19">
        <v>1.7137741723E8</v>
      </c>
      <c r="H29" s="20">
        <v>1465.0</v>
      </c>
      <c r="I29" s="19">
        <v>4.55518364215E7</v>
      </c>
      <c r="J29" s="20">
        <v>557412.747</v>
      </c>
      <c r="K29" s="20">
        <f t="shared" ref="K29:K31" si="5">I29-J29</f>
        <v>44994423.67</v>
      </c>
      <c r="L29" s="20">
        <f>I29+Jan!L29</f>
        <v>64214155.41</v>
      </c>
      <c r="M29" s="20">
        <f>J29+Jan!M29</f>
        <v>2088941.217</v>
      </c>
      <c r="N29" s="20">
        <f t="shared" ref="N29:N31" si="6">L29-M29</f>
        <v>62125214.19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19">
        <v>3.47821647334E8</v>
      </c>
      <c r="E30" s="19">
        <v>1.0344952399E7</v>
      </c>
      <c r="F30" s="19">
        <f t="shared" si="4"/>
        <v>337476694.9</v>
      </c>
      <c r="G30" s="19">
        <v>3.1460403036E8</v>
      </c>
      <c r="H30" s="20">
        <v>1429.0</v>
      </c>
      <c r="I30" s="19">
        <v>3264446.15</v>
      </c>
      <c r="J30" s="20">
        <v>2521190.79</v>
      </c>
      <c r="K30" s="20">
        <f t="shared" si="5"/>
        <v>743255.36</v>
      </c>
      <c r="L30" s="20">
        <f>I30+Jan!L30</f>
        <v>4622204.48</v>
      </c>
      <c r="M30" s="20">
        <f>J30+Jan!M30</f>
        <v>12063407.47</v>
      </c>
      <c r="N30" s="20">
        <f t="shared" si="6"/>
        <v>-7441202.99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19">
        <v>4.699685112E8</v>
      </c>
      <c r="E31" s="19">
        <v>7064764.44</v>
      </c>
      <c r="F31" s="19">
        <f t="shared" si="4"/>
        <v>462903746.8</v>
      </c>
      <c r="G31" s="19">
        <v>4.582456523E8</v>
      </c>
      <c r="H31" s="20">
        <v>434548.0</v>
      </c>
      <c r="I31" s="19">
        <v>2.517046116E7</v>
      </c>
      <c r="J31" s="20">
        <v>1.736628478E7</v>
      </c>
      <c r="K31" s="20">
        <f t="shared" si="5"/>
        <v>7804176.38</v>
      </c>
      <c r="L31" s="20">
        <f>I31+Jan!L31</f>
        <v>58476496.78</v>
      </c>
      <c r="M31" s="20">
        <f>J31+Jan!M31</f>
        <v>71909731.35</v>
      </c>
      <c r="N31" s="20">
        <f t="shared" si="6"/>
        <v>-13433234.57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19"/>
      <c r="E32" s="19"/>
      <c r="F32" s="19"/>
      <c r="G32" s="19"/>
      <c r="H32" s="20"/>
      <c r="I32" s="19"/>
      <c r="J32" s="20"/>
      <c r="K32" s="20"/>
      <c r="L32" s="20"/>
      <c r="M32" s="20"/>
      <c r="N32" s="2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19">
        <v>2.13656121378E9</v>
      </c>
      <c r="E33" s="19">
        <v>3745023.15</v>
      </c>
      <c r="F33" s="19">
        <f>D33-E33</f>
        <v>2132816191</v>
      </c>
      <c r="G33" s="19">
        <v>2.12973028788E9</v>
      </c>
      <c r="H33" s="20">
        <v>3245.0</v>
      </c>
      <c r="I33" s="19">
        <v>2057862.0</v>
      </c>
      <c r="J33" s="20">
        <v>0.0</v>
      </c>
      <c r="K33" s="20">
        <f>I33-J33</f>
        <v>2057862</v>
      </c>
      <c r="L33" s="20">
        <f>I33+Jan!L33</f>
        <v>3092394</v>
      </c>
      <c r="M33" s="20">
        <f>J33+Jan!M33</f>
        <v>73813261</v>
      </c>
      <c r="N33" s="20">
        <f>L33-M33</f>
        <v>-70720867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26">
        <f t="shared" ref="D34:N34" si="7">SUM(D9:D33)</f>
        <v>68675584847</v>
      </c>
      <c r="E34" s="26">
        <f t="shared" si="7"/>
        <v>870310383.4</v>
      </c>
      <c r="F34" s="26">
        <f t="shared" si="7"/>
        <v>67805274464</v>
      </c>
      <c r="G34" s="26">
        <f t="shared" si="7"/>
        <v>64436560313</v>
      </c>
      <c r="H34" s="27">
        <f t="shared" si="7"/>
        <v>721047</v>
      </c>
      <c r="I34" s="26">
        <f t="shared" si="7"/>
        <v>974199000.8</v>
      </c>
      <c r="J34" s="26">
        <f t="shared" si="7"/>
        <v>645543953.9</v>
      </c>
      <c r="K34" s="26">
        <f t="shared" si="7"/>
        <v>328655046.9</v>
      </c>
      <c r="L34" s="26">
        <f t="shared" si="7"/>
        <v>1930096961</v>
      </c>
      <c r="M34" s="26">
        <f t="shared" si="7"/>
        <v>2032345925</v>
      </c>
      <c r="N34" s="26">
        <f t="shared" si="7"/>
        <v>-102248964.2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19"/>
      <c r="E35" s="19"/>
      <c r="F35" s="19"/>
      <c r="G35" s="19"/>
      <c r="H35" s="20"/>
      <c r="I35" s="19"/>
      <c r="J35" s="20"/>
      <c r="K35" s="20"/>
      <c r="L35" s="20"/>
      <c r="M35" s="20"/>
      <c r="N35" s="2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19">
        <v>3.600294716E7</v>
      </c>
      <c r="E36" s="19">
        <v>910124.83</v>
      </c>
      <c r="F36" s="19">
        <f t="shared" ref="F36:F37" si="8">D36-E36</f>
        <v>35092822.33</v>
      </c>
      <c r="G36" s="19">
        <v>0.0</v>
      </c>
      <c r="H36" s="20">
        <v>54.0</v>
      </c>
      <c r="I36" s="19">
        <v>67873.86</v>
      </c>
      <c r="J36" s="19">
        <v>0.0</v>
      </c>
      <c r="K36" s="20">
        <f t="shared" ref="K36:K37" si="9">I36-J36</f>
        <v>67873.86</v>
      </c>
      <c r="L36" s="20">
        <f>I36+Jan!L36</f>
        <v>68073.4</v>
      </c>
      <c r="M36" s="20">
        <f>J36+Jan!M36</f>
        <v>0</v>
      </c>
      <c r="N36" s="20">
        <f t="shared" ref="N36:N37" si="10">L36-M36</f>
        <v>68073.4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19">
        <v>1.82796233093E9</v>
      </c>
      <c r="E37" s="19">
        <v>8697686.77</v>
      </c>
      <c r="F37" s="19">
        <f t="shared" si="8"/>
        <v>1819264644</v>
      </c>
      <c r="G37" s="19">
        <v>0.0</v>
      </c>
      <c r="H37" s="20">
        <v>2879.0</v>
      </c>
      <c r="I37" s="19">
        <v>3800635.96</v>
      </c>
      <c r="J37" s="19">
        <v>1.957747808E7</v>
      </c>
      <c r="K37" s="20">
        <f t="shared" si="9"/>
        <v>-15776842.12</v>
      </c>
      <c r="L37" s="20">
        <f>I37+Jan!L37</f>
        <v>16920677.47</v>
      </c>
      <c r="M37" s="20">
        <f>J37+Jan!M37</f>
        <v>49913545.43</v>
      </c>
      <c r="N37" s="20">
        <f t="shared" si="10"/>
        <v>-32992867.96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26">
        <f t="shared" ref="D38:N38" si="11">SUM(D36:D37)</f>
        <v>1863965278</v>
      </c>
      <c r="E38" s="26">
        <f t="shared" si="11"/>
        <v>9607811.6</v>
      </c>
      <c r="F38" s="26">
        <f t="shared" si="11"/>
        <v>1854357466</v>
      </c>
      <c r="G38" s="26">
        <f t="shared" si="11"/>
        <v>0</v>
      </c>
      <c r="H38" s="27">
        <f t="shared" si="11"/>
        <v>2933</v>
      </c>
      <c r="I38" s="26">
        <f t="shared" si="11"/>
        <v>3868509.82</v>
      </c>
      <c r="J38" s="26">
        <f t="shared" si="11"/>
        <v>19577478.08</v>
      </c>
      <c r="K38" s="26">
        <f t="shared" si="11"/>
        <v>-15708968.26</v>
      </c>
      <c r="L38" s="26">
        <f t="shared" si="11"/>
        <v>16988750.87</v>
      </c>
      <c r="M38" s="26">
        <f t="shared" si="11"/>
        <v>49913545.43</v>
      </c>
      <c r="N38" s="26">
        <f t="shared" si="11"/>
        <v>-32924794.56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26">
        <f t="shared" ref="D39:N39" si="12">D34+D38</f>
        <v>70539550125</v>
      </c>
      <c r="E39" s="26">
        <f t="shared" si="12"/>
        <v>879918195</v>
      </c>
      <c r="F39" s="26">
        <f t="shared" si="12"/>
        <v>69659631930</v>
      </c>
      <c r="G39" s="26">
        <f t="shared" si="12"/>
        <v>64436560313</v>
      </c>
      <c r="H39" s="27">
        <f t="shared" si="12"/>
        <v>723980</v>
      </c>
      <c r="I39" s="26">
        <f t="shared" si="12"/>
        <v>978067510.6</v>
      </c>
      <c r="J39" s="26">
        <f t="shared" si="12"/>
        <v>665121432</v>
      </c>
      <c r="K39" s="26">
        <f t="shared" si="12"/>
        <v>312946078.6</v>
      </c>
      <c r="L39" s="26">
        <f t="shared" si="12"/>
        <v>1947085712</v>
      </c>
      <c r="M39" s="26">
        <f t="shared" si="12"/>
        <v>2082259470</v>
      </c>
      <c r="N39" s="26">
        <f t="shared" si="12"/>
        <v>-135173758.8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19"/>
      <c r="E40" s="19"/>
      <c r="F40" s="19"/>
      <c r="G40" s="19"/>
      <c r="H40" s="20"/>
      <c r="I40" s="19"/>
      <c r="J40" s="20"/>
      <c r="K40" s="20"/>
      <c r="L40" s="20"/>
      <c r="M40" s="20"/>
      <c r="N40" s="2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19"/>
      <c r="E41" s="19"/>
      <c r="F41" s="19"/>
      <c r="G41" s="19"/>
      <c r="H41" s="20"/>
      <c r="I41" s="19"/>
      <c r="J41" s="20"/>
      <c r="K41" s="20"/>
      <c r="L41" s="20"/>
      <c r="M41" s="20"/>
      <c r="N41" s="2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19">
        <v>1.178249448E8</v>
      </c>
      <c r="E42" s="19">
        <v>2052774.97</v>
      </c>
      <c r="F42" s="19">
        <f t="shared" ref="F42:F51" si="13">D42-E42</f>
        <v>115772169.8</v>
      </c>
      <c r="G42" s="19">
        <v>2.915516928E7</v>
      </c>
      <c r="H42" s="20">
        <v>722.0</v>
      </c>
      <c r="I42" s="19">
        <v>294604.87</v>
      </c>
      <c r="J42" s="20">
        <v>165504.09</v>
      </c>
      <c r="K42" s="20">
        <f t="shared" ref="K42:K51" si="14">I42-J42</f>
        <v>129100.78</v>
      </c>
      <c r="L42" s="20">
        <f>I42+Jan!L42</f>
        <v>612854.55</v>
      </c>
      <c r="M42" s="20">
        <f>J42+Jan!M42</f>
        <v>432191.39</v>
      </c>
      <c r="N42" s="20">
        <f t="shared" ref="N42:N51" si="15">L42-M42</f>
        <v>180663.16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19">
        <v>5.8733468554E8</v>
      </c>
      <c r="E43" s="19">
        <v>1.11200794E7</v>
      </c>
      <c r="F43" s="19">
        <f t="shared" si="13"/>
        <v>576214606.1</v>
      </c>
      <c r="G43" s="19">
        <v>2.3992903532E8</v>
      </c>
      <c r="H43" s="20">
        <v>2429.0</v>
      </c>
      <c r="I43" s="19">
        <v>1058123.5</v>
      </c>
      <c r="J43" s="20">
        <v>1.051880723E7</v>
      </c>
      <c r="K43" s="20">
        <f t="shared" si="14"/>
        <v>-9460683.73</v>
      </c>
      <c r="L43" s="20">
        <f>I43+Jan!L43</f>
        <v>2105538</v>
      </c>
      <c r="M43" s="20">
        <f>J43+Jan!M43</f>
        <v>12448878.86</v>
      </c>
      <c r="N43" s="20">
        <f t="shared" si="15"/>
        <v>-10343340.86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19">
        <v>1.06095756211E9</v>
      </c>
      <c r="E44" s="19">
        <v>6332406.78</v>
      </c>
      <c r="F44" s="19">
        <f t="shared" si="13"/>
        <v>1054625155</v>
      </c>
      <c r="G44" s="19">
        <v>5.5201376012E8</v>
      </c>
      <c r="H44" s="20">
        <v>4688.0</v>
      </c>
      <c r="I44" s="19">
        <v>1163040.71</v>
      </c>
      <c r="J44" s="20">
        <v>4113169.4</v>
      </c>
      <c r="K44" s="20">
        <f t="shared" si="14"/>
        <v>-2950128.69</v>
      </c>
      <c r="L44" s="20">
        <f>I44+Jan!L44</f>
        <v>2498371.55</v>
      </c>
      <c r="M44" s="20">
        <f>J44+Jan!M44</f>
        <v>9249089.08</v>
      </c>
      <c r="N44" s="20">
        <f t="shared" si="15"/>
        <v>-6750717.53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19">
        <v>2.8443674649E8</v>
      </c>
      <c r="E45" s="19">
        <v>1055455.47</v>
      </c>
      <c r="F45" s="19">
        <f t="shared" si="13"/>
        <v>283381291</v>
      </c>
      <c r="G45" s="19">
        <v>1.7929856254E8</v>
      </c>
      <c r="H45" s="20">
        <v>237.0</v>
      </c>
      <c r="I45" s="19">
        <v>4505725.93</v>
      </c>
      <c r="J45" s="20">
        <v>1.649253489E7</v>
      </c>
      <c r="K45" s="20">
        <f t="shared" si="14"/>
        <v>-11986808.96</v>
      </c>
      <c r="L45" s="20">
        <f>I45+Jan!L45</f>
        <v>9110349.27</v>
      </c>
      <c r="M45" s="20">
        <f>J45+Jan!M45</f>
        <v>28338687.26</v>
      </c>
      <c r="N45" s="20">
        <f t="shared" si="15"/>
        <v>-19228337.99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19">
        <v>3.5178492477E8</v>
      </c>
      <c r="E46" s="19">
        <v>4220203.51</v>
      </c>
      <c r="F46" s="19">
        <f t="shared" si="13"/>
        <v>347564721.3</v>
      </c>
      <c r="G46" s="19">
        <v>1.5637282959E8</v>
      </c>
      <c r="H46" s="20">
        <v>55.0</v>
      </c>
      <c r="I46" s="19">
        <v>0.0</v>
      </c>
      <c r="J46" s="20">
        <v>168529.0</v>
      </c>
      <c r="K46" s="20">
        <f t="shared" si="14"/>
        <v>-168529</v>
      </c>
      <c r="L46" s="20">
        <f>I46+Jan!L46</f>
        <v>0</v>
      </c>
      <c r="M46" s="20">
        <f>J46+Jan!M46</f>
        <v>168529</v>
      </c>
      <c r="N46" s="20">
        <f t="shared" si="15"/>
        <v>-168529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19">
        <v>5.64076019E8</v>
      </c>
      <c r="E47" s="19">
        <v>1.8049588E7</v>
      </c>
      <c r="F47" s="19">
        <f t="shared" si="13"/>
        <v>546026431</v>
      </c>
      <c r="G47" s="19">
        <v>3.06332735E8</v>
      </c>
      <c r="H47" s="20">
        <v>10092.0</v>
      </c>
      <c r="I47" s="19">
        <v>300871.0</v>
      </c>
      <c r="J47" s="20">
        <v>1650087.0</v>
      </c>
      <c r="K47" s="20">
        <f t="shared" si="14"/>
        <v>-1349216</v>
      </c>
      <c r="L47" s="20">
        <f>I47+Jan!L47</f>
        <v>1713204.89</v>
      </c>
      <c r="M47" s="20">
        <f>J47+Jan!M47</f>
        <v>5209355.92</v>
      </c>
      <c r="N47" s="20">
        <f t="shared" si="15"/>
        <v>-3496151.03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19">
        <v>2.096410633E9</v>
      </c>
      <c r="E48" s="19">
        <v>5.2703577E7</v>
      </c>
      <c r="F48" s="19">
        <f t="shared" si="13"/>
        <v>2043707056</v>
      </c>
      <c r="G48" s="19">
        <v>1.790795424E9</v>
      </c>
      <c r="H48" s="20">
        <v>8175.0</v>
      </c>
      <c r="I48" s="19">
        <v>1749857.0</v>
      </c>
      <c r="J48" s="20">
        <v>6492626.0</v>
      </c>
      <c r="K48" s="20">
        <f t="shared" si="14"/>
        <v>-4742769</v>
      </c>
      <c r="L48" s="20">
        <f>I48+Jan!L48</f>
        <v>4038703.4</v>
      </c>
      <c r="M48" s="20">
        <f>J48+Jan!M48</f>
        <v>31069435.58</v>
      </c>
      <c r="N48" s="20">
        <f t="shared" si="15"/>
        <v>-27030732.18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19">
        <v>1.36914104E8</v>
      </c>
      <c r="E49" s="19">
        <v>160986.0</v>
      </c>
      <c r="F49" s="19">
        <f t="shared" si="13"/>
        <v>136753118</v>
      </c>
      <c r="G49" s="19">
        <v>8.3431779E7</v>
      </c>
      <c r="H49" s="20">
        <v>196.0</v>
      </c>
      <c r="I49" s="19">
        <v>10000.0</v>
      </c>
      <c r="J49" s="20">
        <v>43771.0</v>
      </c>
      <c r="K49" s="20">
        <f t="shared" si="14"/>
        <v>-33771</v>
      </c>
      <c r="L49" s="20">
        <f>I49+Jan!L49</f>
        <v>21298.64</v>
      </c>
      <c r="M49" s="20">
        <f>J49+Jan!M49</f>
        <v>549385.82</v>
      </c>
      <c r="N49" s="20">
        <f t="shared" si="15"/>
        <v>-528087.18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19">
        <v>7.214953701E9</v>
      </c>
      <c r="E50" s="19">
        <v>4.0277844E7</v>
      </c>
      <c r="F50" s="19">
        <f t="shared" si="13"/>
        <v>7174675857</v>
      </c>
      <c r="G50" s="19">
        <v>3.963500503E9</v>
      </c>
      <c r="H50" s="20">
        <v>53691.0</v>
      </c>
      <c r="I50" s="19">
        <v>7388076.0</v>
      </c>
      <c r="J50" s="20">
        <v>5.3931125E7</v>
      </c>
      <c r="K50" s="20">
        <f t="shared" si="14"/>
        <v>-46543049</v>
      </c>
      <c r="L50" s="20">
        <f>I50+Jan!L50</f>
        <v>16664544.15</v>
      </c>
      <c r="M50" s="20">
        <f>J50+Jan!M50</f>
        <v>124522769.2</v>
      </c>
      <c r="N50" s="20">
        <f t="shared" si="15"/>
        <v>-107858225.1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19">
        <v>1.165671247E9</v>
      </c>
      <c r="E51" s="19">
        <v>1.0912187E7</v>
      </c>
      <c r="F51" s="19">
        <f t="shared" si="13"/>
        <v>1154759060</v>
      </c>
      <c r="G51" s="19">
        <v>6.71160748E8</v>
      </c>
      <c r="H51" s="20">
        <v>4998.0</v>
      </c>
      <c r="I51" s="19">
        <v>0.0</v>
      </c>
      <c r="J51" s="20">
        <v>9387859.0</v>
      </c>
      <c r="K51" s="20">
        <f t="shared" si="14"/>
        <v>-9387859</v>
      </c>
      <c r="L51" s="20">
        <f>I51+Jan!L51</f>
        <v>0</v>
      </c>
      <c r="M51" s="20">
        <f>J51+Jan!M51</f>
        <v>13961430.81</v>
      </c>
      <c r="N51" s="20">
        <f t="shared" si="15"/>
        <v>-13961430.81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19"/>
      <c r="E52" s="19"/>
      <c r="F52" s="19"/>
      <c r="G52" s="19"/>
      <c r="H52" s="20"/>
      <c r="I52" s="19"/>
      <c r="J52" s="20"/>
      <c r="K52" s="20"/>
      <c r="L52" s="20"/>
      <c r="M52" s="20"/>
      <c r="N52" s="2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19">
        <v>7.6254665E7</v>
      </c>
      <c r="E53" s="19">
        <v>336932.0</v>
      </c>
      <c r="F53" s="19">
        <f t="shared" ref="F53:F55" si="16">D53-E53</f>
        <v>75917733</v>
      </c>
      <c r="G53" s="19">
        <v>2.16445E7</v>
      </c>
      <c r="H53" s="20">
        <v>1066.0</v>
      </c>
      <c r="I53" s="19">
        <v>432120.0</v>
      </c>
      <c r="J53" s="20">
        <v>90647.0</v>
      </c>
      <c r="K53" s="20">
        <f t="shared" ref="K53:K55" si="17">I53-J53</f>
        <v>341473</v>
      </c>
      <c r="L53" s="20">
        <f>I53+Jan!L53</f>
        <v>943425.2</v>
      </c>
      <c r="M53" s="20">
        <f>J53+Jan!M53</f>
        <v>171139.55</v>
      </c>
      <c r="N53" s="20">
        <f t="shared" ref="N53:N55" si="18">L53-M53</f>
        <v>772285.65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19">
        <v>5.6064518E7</v>
      </c>
      <c r="E54" s="19">
        <v>348141.0</v>
      </c>
      <c r="F54" s="19">
        <f t="shared" si="16"/>
        <v>55716377</v>
      </c>
      <c r="G54" s="19">
        <v>4.3479171E7</v>
      </c>
      <c r="H54" s="20">
        <v>415.0</v>
      </c>
      <c r="I54" s="19">
        <v>114547.0</v>
      </c>
      <c r="J54" s="20">
        <v>46389.0</v>
      </c>
      <c r="K54" s="20">
        <f t="shared" si="17"/>
        <v>68158</v>
      </c>
      <c r="L54" s="20">
        <f>I54+Jan!L54</f>
        <v>566602</v>
      </c>
      <c r="M54" s="20">
        <f>J54+Jan!M54</f>
        <v>186689.19</v>
      </c>
      <c r="N54" s="20">
        <f t="shared" si="18"/>
        <v>379912.81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19">
        <v>4.6991363E7</v>
      </c>
      <c r="E55" s="19">
        <v>290656.0</v>
      </c>
      <c r="F55" s="19">
        <f t="shared" si="16"/>
        <v>46700707</v>
      </c>
      <c r="G55" s="19">
        <v>3.9341893E7</v>
      </c>
      <c r="H55" s="20">
        <v>194.0</v>
      </c>
      <c r="I55" s="19">
        <v>63937.0</v>
      </c>
      <c r="J55" s="20">
        <v>0.0</v>
      </c>
      <c r="K55" s="20">
        <f t="shared" si="17"/>
        <v>63937</v>
      </c>
      <c r="L55" s="20">
        <f>I55+Jan!L55</f>
        <v>133415</v>
      </c>
      <c r="M55" s="20">
        <f>J55+Jan!M55</f>
        <v>91381.96</v>
      </c>
      <c r="N55" s="20">
        <f t="shared" si="18"/>
        <v>42033.04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26">
        <f t="shared" ref="D56:N56" si="19">SUM(D42:D55)</f>
        <v>13759675114</v>
      </c>
      <c r="E56" s="26">
        <f t="shared" si="19"/>
        <v>147860831.1</v>
      </c>
      <c r="F56" s="26">
        <f t="shared" si="19"/>
        <v>13611814283</v>
      </c>
      <c r="G56" s="26">
        <f t="shared" si="19"/>
        <v>8076456110</v>
      </c>
      <c r="H56" s="27">
        <f t="shared" si="19"/>
        <v>86958</v>
      </c>
      <c r="I56" s="26">
        <f t="shared" si="19"/>
        <v>17080903.01</v>
      </c>
      <c r="J56" s="26">
        <f t="shared" si="19"/>
        <v>103101048.6</v>
      </c>
      <c r="K56" s="26">
        <f t="shared" si="19"/>
        <v>-86020145.6</v>
      </c>
      <c r="L56" s="26">
        <f t="shared" si="19"/>
        <v>38408306.65</v>
      </c>
      <c r="M56" s="26">
        <f t="shared" si="19"/>
        <v>226398963.7</v>
      </c>
      <c r="N56" s="26">
        <f t="shared" si="19"/>
        <v>-187990657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19"/>
      <c r="E57" s="19"/>
      <c r="F57" s="19"/>
      <c r="G57" s="19"/>
      <c r="H57" s="20"/>
      <c r="I57" s="19"/>
      <c r="J57" s="20"/>
      <c r="K57" s="20"/>
      <c r="L57" s="20"/>
      <c r="M57" s="20"/>
      <c r="N57" s="2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108</v>
      </c>
      <c r="D58" s="19">
        <v>7.109382076E7</v>
      </c>
      <c r="E58" s="19">
        <v>346255.14</v>
      </c>
      <c r="F58" s="19">
        <f t="shared" ref="F58:F61" si="20">D58-E58</f>
        <v>70747565.62</v>
      </c>
      <c r="G58" s="19">
        <v>0.0</v>
      </c>
      <c r="H58" s="20">
        <v>52.0</v>
      </c>
      <c r="I58" s="19">
        <v>0.0</v>
      </c>
      <c r="J58" s="19">
        <v>57147.59</v>
      </c>
      <c r="K58" s="20">
        <f t="shared" ref="K58:K61" si="21">I58-J58</f>
        <v>-57147.59</v>
      </c>
      <c r="L58" s="20">
        <f>I58+Jan!L58</f>
        <v>0</v>
      </c>
      <c r="M58" s="20">
        <f>J58+Jan!M58</f>
        <v>106625.7492</v>
      </c>
      <c r="N58" s="20">
        <f t="shared" ref="N58:N61" si="22">L58-M58</f>
        <v>-106625.7492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19">
        <v>3.48260441E8</v>
      </c>
      <c r="E59" s="19">
        <v>2.3496914E7</v>
      </c>
      <c r="F59" s="19">
        <f t="shared" si="20"/>
        <v>324763527</v>
      </c>
      <c r="G59" s="19">
        <v>1.74989281E8</v>
      </c>
      <c r="H59" s="20">
        <v>261.0</v>
      </c>
      <c r="I59" s="19">
        <v>0.0</v>
      </c>
      <c r="J59" s="19">
        <v>379026.0</v>
      </c>
      <c r="K59" s="20">
        <f t="shared" si="21"/>
        <v>-379026</v>
      </c>
      <c r="L59" s="20">
        <f>I59+Jan!L59</f>
        <v>5365.648</v>
      </c>
      <c r="M59" s="20">
        <f>J59+Jan!M59</f>
        <v>3335522.09</v>
      </c>
      <c r="N59" s="20">
        <f t="shared" si="22"/>
        <v>-3330156.442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19">
        <v>1.53832813942E9</v>
      </c>
      <c r="E60" s="19">
        <v>4112839.36</v>
      </c>
      <c r="F60" s="19">
        <f t="shared" si="20"/>
        <v>1534215300</v>
      </c>
      <c r="G60" s="19">
        <v>0.0</v>
      </c>
      <c r="H60" s="20">
        <v>4140.0</v>
      </c>
      <c r="I60" s="19">
        <v>1427065.83</v>
      </c>
      <c r="J60" s="19">
        <v>1.004683634E7</v>
      </c>
      <c r="K60" s="20">
        <f t="shared" si="21"/>
        <v>-8619770.51</v>
      </c>
      <c r="L60" s="20">
        <f>I60+Jan!L60</f>
        <v>2319905.286</v>
      </c>
      <c r="M60" s="20">
        <f>J60+Jan!M60</f>
        <v>12389784.24</v>
      </c>
      <c r="N60" s="20">
        <f t="shared" si="22"/>
        <v>-10069878.95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19">
        <v>2.6439595203E8</v>
      </c>
      <c r="E61" s="19">
        <v>893040.03</v>
      </c>
      <c r="F61" s="19">
        <f t="shared" si="20"/>
        <v>263502912</v>
      </c>
      <c r="G61" s="19">
        <v>0.0</v>
      </c>
      <c r="H61" s="20">
        <v>716.0</v>
      </c>
      <c r="I61" s="19">
        <v>580965.0</v>
      </c>
      <c r="J61" s="19">
        <v>1447451.61</v>
      </c>
      <c r="K61" s="20">
        <f t="shared" si="21"/>
        <v>-866486.61</v>
      </c>
      <c r="L61" s="20">
        <f>I61+Jan!L61</f>
        <v>645309.064</v>
      </c>
      <c r="M61" s="20">
        <f>J61+Jan!M61</f>
        <v>30628724.42</v>
      </c>
      <c r="N61" s="20">
        <f t="shared" si="22"/>
        <v>-29983415.35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26">
        <f t="shared" ref="D62:N62" si="23">SUM(D58:D61)</f>
        <v>2222078353</v>
      </c>
      <c r="E62" s="26">
        <f t="shared" si="23"/>
        <v>28849048.53</v>
      </c>
      <c r="F62" s="26">
        <f t="shared" si="23"/>
        <v>2193229305</v>
      </c>
      <c r="G62" s="26">
        <f t="shared" si="23"/>
        <v>174989281</v>
      </c>
      <c r="H62" s="27">
        <f t="shared" si="23"/>
        <v>5169</v>
      </c>
      <c r="I62" s="26">
        <f t="shared" si="23"/>
        <v>2008030.83</v>
      </c>
      <c r="J62" s="26">
        <f t="shared" si="23"/>
        <v>11930461.54</v>
      </c>
      <c r="K62" s="26">
        <f t="shared" si="23"/>
        <v>-9922430.71</v>
      </c>
      <c r="L62" s="26">
        <f t="shared" si="23"/>
        <v>2970579.998</v>
      </c>
      <c r="M62" s="26">
        <f t="shared" si="23"/>
        <v>46460656.5</v>
      </c>
      <c r="N62" s="26">
        <f t="shared" si="23"/>
        <v>-43490076.5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26">
        <f t="shared" ref="D63:N63" si="24">D56+D62</f>
        <v>15981753467</v>
      </c>
      <c r="E63" s="26">
        <f t="shared" si="24"/>
        <v>176709879.7</v>
      </c>
      <c r="F63" s="26">
        <f t="shared" si="24"/>
        <v>15805043587</v>
      </c>
      <c r="G63" s="26">
        <f t="shared" si="24"/>
        <v>8251445391</v>
      </c>
      <c r="H63" s="27">
        <f t="shared" si="24"/>
        <v>92127</v>
      </c>
      <c r="I63" s="26">
        <f t="shared" si="24"/>
        <v>19088933.84</v>
      </c>
      <c r="J63" s="26">
        <f t="shared" si="24"/>
        <v>115031510.2</v>
      </c>
      <c r="K63" s="26">
        <f t="shared" si="24"/>
        <v>-95942576.31</v>
      </c>
      <c r="L63" s="26">
        <f t="shared" si="24"/>
        <v>41378886.65</v>
      </c>
      <c r="M63" s="26">
        <f t="shared" si="24"/>
        <v>272859620.1</v>
      </c>
      <c r="N63" s="26">
        <f t="shared" si="24"/>
        <v>-231480733.5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19"/>
      <c r="E64" s="19"/>
      <c r="F64" s="19"/>
      <c r="G64" s="19"/>
      <c r="H64" s="20"/>
      <c r="I64" s="19"/>
      <c r="J64" s="20"/>
      <c r="K64" s="20"/>
      <c r="L64" s="20"/>
      <c r="M64" s="20"/>
      <c r="N64" s="2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19"/>
      <c r="E65" s="19"/>
      <c r="F65" s="19"/>
      <c r="G65" s="19"/>
      <c r="H65" s="20"/>
      <c r="I65" s="19"/>
      <c r="J65" s="20"/>
      <c r="K65" s="20"/>
      <c r="L65" s="20"/>
      <c r="M65" s="20"/>
      <c r="N65" s="2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19">
        <v>3.9557541588E10</v>
      </c>
      <c r="E66" s="19">
        <v>2.49478809E8</v>
      </c>
      <c r="F66" s="19">
        <f t="shared" ref="F66:F76" si="25">D66-E66</f>
        <v>39308062779</v>
      </c>
      <c r="G66" s="19">
        <v>9.285364E8</v>
      </c>
      <c r="H66" s="20">
        <v>24899.0</v>
      </c>
      <c r="I66" s="19">
        <v>2.42673218E8</v>
      </c>
      <c r="J66" s="20">
        <v>5.52573883E8</v>
      </c>
      <c r="K66" s="20">
        <f t="shared" ref="K66:K76" si="26">I66-J66</f>
        <v>-309900665</v>
      </c>
      <c r="L66" s="20">
        <f>I66+Jan!L66</f>
        <v>545348471.4</v>
      </c>
      <c r="M66" s="20">
        <f>J66+Jan!M66</f>
        <v>1245798056</v>
      </c>
      <c r="N66" s="20">
        <f t="shared" ref="N66:N76" si="27">L66-M66</f>
        <v>-700449585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19">
        <v>4.719528861E8</v>
      </c>
      <c r="E67" s="19">
        <v>4094797.92</v>
      </c>
      <c r="F67" s="19">
        <f t="shared" si="25"/>
        <v>467858088.2</v>
      </c>
      <c r="G67" s="19">
        <v>0.0</v>
      </c>
      <c r="H67" s="20">
        <v>1087.0</v>
      </c>
      <c r="I67" s="19">
        <v>8935649.53</v>
      </c>
      <c r="J67" s="20">
        <v>4390251.95</v>
      </c>
      <c r="K67" s="20">
        <f t="shared" si="26"/>
        <v>4545397.58</v>
      </c>
      <c r="L67" s="20">
        <f>I67+Jan!L67</f>
        <v>18190172.36</v>
      </c>
      <c r="M67" s="20">
        <f>J67+Jan!M67</f>
        <v>16330650.59</v>
      </c>
      <c r="N67" s="20">
        <f t="shared" si="27"/>
        <v>1859521.77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19">
        <v>1.02240055607E9</v>
      </c>
      <c r="E68" s="19">
        <v>1.372878864E7</v>
      </c>
      <c r="F68" s="19">
        <f t="shared" si="25"/>
        <v>1008671767</v>
      </c>
      <c r="G68" s="19">
        <v>0.0</v>
      </c>
      <c r="H68" s="20">
        <v>1977.0</v>
      </c>
      <c r="I68" s="19">
        <v>8811746.71</v>
      </c>
      <c r="J68" s="20">
        <v>1727581.8</v>
      </c>
      <c r="K68" s="20">
        <f t="shared" si="26"/>
        <v>7084164.91</v>
      </c>
      <c r="L68" s="20">
        <f>I68+Jan!L68</f>
        <v>10308098.61</v>
      </c>
      <c r="M68" s="20">
        <f>J68+Jan!M68</f>
        <v>5261937.43</v>
      </c>
      <c r="N68" s="20">
        <f t="shared" si="27"/>
        <v>5046161.18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19">
        <v>1.97146258E8</v>
      </c>
      <c r="E69" s="19">
        <v>162819.0</v>
      </c>
      <c r="F69" s="19">
        <f t="shared" si="25"/>
        <v>196983439</v>
      </c>
      <c r="G69" s="19">
        <v>4925000.0</v>
      </c>
      <c r="H69" s="20">
        <v>188.0</v>
      </c>
      <c r="I69" s="19">
        <v>654486.0</v>
      </c>
      <c r="J69" s="20">
        <v>269367.0</v>
      </c>
      <c r="K69" s="20">
        <f t="shared" si="26"/>
        <v>385119</v>
      </c>
      <c r="L69" s="20">
        <f>I69+Jan!L69</f>
        <v>1231463.99</v>
      </c>
      <c r="M69" s="20">
        <f>J69+Jan!M69</f>
        <v>334471.65</v>
      </c>
      <c r="N69" s="20">
        <f t="shared" si="27"/>
        <v>896992.34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19">
        <v>1.35053398937E9</v>
      </c>
      <c r="E70" s="19">
        <v>3855272.77</v>
      </c>
      <c r="F70" s="19">
        <f t="shared" si="25"/>
        <v>1346678717</v>
      </c>
      <c r="G70" s="19">
        <v>0.0</v>
      </c>
      <c r="H70" s="20">
        <v>1819.0</v>
      </c>
      <c r="I70" s="19">
        <v>6.014706817E7</v>
      </c>
      <c r="J70" s="20">
        <v>7860566.49</v>
      </c>
      <c r="K70" s="20">
        <f t="shared" si="26"/>
        <v>52286501.68</v>
      </c>
      <c r="L70" s="20">
        <f>I70+Jan!L70</f>
        <v>61283595.13</v>
      </c>
      <c r="M70" s="20">
        <f>J70+Jan!M70</f>
        <v>11118756.67</v>
      </c>
      <c r="N70" s="20">
        <f t="shared" si="27"/>
        <v>50164838.46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19">
        <v>7.62866999E8</v>
      </c>
      <c r="E71" s="19">
        <v>3.693639E7</v>
      </c>
      <c r="F71" s="19">
        <f t="shared" si="25"/>
        <v>725930609</v>
      </c>
      <c r="G71" s="19">
        <v>0.0</v>
      </c>
      <c r="H71" s="20">
        <v>504.0</v>
      </c>
      <c r="I71" s="19">
        <v>1589421.0</v>
      </c>
      <c r="J71" s="20">
        <v>1.00348887E8</v>
      </c>
      <c r="K71" s="20">
        <f t="shared" si="26"/>
        <v>-98759466</v>
      </c>
      <c r="L71" s="20">
        <f>I71+Jan!L71</f>
        <v>5424427.75</v>
      </c>
      <c r="M71" s="20">
        <f>J71+Jan!M71</f>
        <v>101342915.3</v>
      </c>
      <c r="N71" s="20">
        <f t="shared" si="27"/>
        <v>-95918487.57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19">
        <v>1.731138338E9</v>
      </c>
      <c r="E72" s="19">
        <v>2.5064687E7</v>
      </c>
      <c r="F72" s="19">
        <f t="shared" si="25"/>
        <v>1706073651</v>
      </c>
      <c r="G72" s="19">
        <v>0.0</v>
      </c>
      <c r="H72" s="20">
        <v>5021.0</v>
      </c>
      <c r="I72" s="19">
        <v>3956151.0</v>
      </c>
      <c r="J72" s="20">
        <v>1.0358312E7</v>
      </c>
      <c r="K72" s="20">
        <f t="shared" si="26"/>
        <v>-6402161</v>
      </c>
      <c r="L72" s="20">
        <f>I72+Jan!L72</f>
        <v>7288212.41</v>
      </c>
      <c r="M72" s="20">
        <f>J72+Jan!M72</f>
        <v>13657141</v>
      </c>
      <c r="N72" s="20">
        <f t="shared" si="27"/>
        <v>-6368928.59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19">
        <v>3.08492864604344E8</v>
      </c>
      <c r="E73" s="19">
        <v>785011.876300101</v>
      </c>
      <c r="F73" s="19">
        <f t="shared" si="25"/>
        <v>307707852.7</v>
      </c>
      <c r="G73" s="19">
        <v>0.0</v>
      </c>
      <c r="H73" s="20">
        <v>4155.0</v>
      </c>
      <c r="I73" s="19">
        <v>1787242.83</v>
      </c>
      <c r="J73" s="20">
        <v>1988795.55</v>
      </c>
      <c r="K73" s="20">
        <f t="shared" si="26"/>
        <v>-201552.72</v>
      </c>
      <c r="L73" s="20">
        <f>I73+Jan!L73</f>
        <v>2394611.01</v>
      </c>
      <c r="M73" s="20">
        <f>J73+Jan!M73</f>
        <v>3688147.75</v>
      </c>
      <c r="N73" s="20">
        <f t="shared" si="27"/>
        <v>-1293536.74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19">
        <v>1.31051214895E9</v>
      </c>
      <c r="E74" s="19">
        <v>2707380.53</v>
      </c>
      <c r="F74" s="19">
        <f t="shared" si="25"/>
        <v>1307804768</v>
      </c>
      <c r="G74" s="19">
        <v>0.0</v>
      </c>
      <c r="H74" s="20">
        <v>826.0</v>
      </c>
      <c r="I74" s="19">
        <v>5.18503941E7</v>
      </c>
      <c r="J74" s="20">
        <v>2615076.64</v>
      </c>
      <c r="K74" s="20">
        <f t="shared" si="26"/>
        <v>49235317.46</v>
      </c>
      <c r="L74" s="20">
        <f>I74+Jan!L74</f>
        <v>76927308.02</v>
      </c>
      <c r="M74" s="20">
        <f>J74+Jan!M74</f>
        <v>2701453.83</v>
      </c>
      <c r="N74" s="20">
        <f t="shared" si="27"/>
        <v>74225854.19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19">
        <v>4.929364845E9</v>
      </c>
      <c r="E75" s="19">
        <v>1.07367033E8</v>
      </c>
      <c r="F75" s="19">
        <f t="shared" si="25"/>
        <v>4821997812</v>
      </c>
      <c r="G75" s="19">
        <v>0.0</v>
      </c>
      <c r="H75" s="20">
        <v>16766.0</v>
      </c>
      <c r="I75" s="19">
        <v>3.00277807E8</v>
      </c>
      <c r="J75" s="20">
        <v>1.33438808E8</v>
      </c>
      <c r="K75" s="20">
        <f t="shared" si="26"/>
        <v>166838999</v>
      </c>
      <c r="L75" s="20">
        <f>I75+Jan!L75</f>
        <v>462574371</v>
      </c>
      <c r="M75" s="20">
        <f>J75+Jan!M75</f>
        <v>183015173</v>
      </c>
      <c r="N75" s="20">
        <f t="shared" si="27"/>
        <v>279559198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19">
        <v>1.39753544E8</v>
      </c>
      <c r="E76" s="19">
        <v>476194.0</v>
      </c>
      <c r="F76" s="19">
        <f t="shared" si="25"/>
        <v>139277350</v>
      </c>
      <c r="G76" s="19">
        <v>0.0</v>
      </c>
      <c r="H76" s="20">
        <v>2655.0</v>
      </c>
      <c r="I76" s="19">
        <v>472411.0</v>
      </c>
      <c r="J76" s="20">
        <v>1014697.0</v>
      </c>
      <c r="K76" s="20">
        <f t="shared" si="26"/>
        <v>-542286</v>
      </c>
      <c r="L76" s="20">
        <f>I76+Jan!L76</f>
        <v>994219.44</v>
      </c>
      <c r="M76" s="20">
        <f>J76+Jan!M76</f>
        <v>1538468.71</v>
      </c>
      <c r="N76" s="20">
        <f t="shared" si="27"/>
        <v>-544249.27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26">
        <f t="shared" ref="D77:N77" si="28">SUM(D66:D76)</f>
        <v>51781704017</v>
      </c>
      <c r="E77" s="26">
        <f t="shared" si="28"/>
        <v>444657183.7</v>
      </c>
      <c r="F77" s="26">
        <f t="shared" si="28"/>
        <v>51337046833</v>
      </c>
      <c r="G77" s="26">
        <f t="shared" si="28"/>
        <v>933461400</v>
      </c>
      <c r="H77" s="27">
        <f t="shared" si="28"/>
        <v>59897</v>
      </c>
      <c r="I77" s="26">
        <f t="shared" si="28"/>
        <v>681155595.3</v>
      </c>
      <c r="J77" s="26">
        <f t="shared" si="28"/>
        <v>816586226.4</v>
      </c>
      <c r="K77" s="26">
        <f t="shared" si="28"/>
        <v>-135430631.1</v>
      </c>
      <c r="L77" s="26">
        <f t="shared" si="28"/>
        <v>1191964951</v>
      </c>
      <c r="M77" s="26">
        <f t="shared" si="28"/>
        <v>1584787172</v>
      </c>
      <c r="N77" s="26">
        <f t="shared" si="28"/>
        <v>-392822221.2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19"/>
      <c r="E78" s="19"/>
      <c r="F78" s="19"/>
      <c r="G78" s="19"/>
      <c r="H78" s="20"/>
      <c r="I78" s="19"/>
      <c r="J78" s="20"/>
      <c r="K78" s="20"/>
      <c r="L78" s="20"/>
      <c r="M78" s="20"/>
      <c r="N78" s="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19">
        <v>1.3761133166E10</v>
      </c>
      <c r="E79" s="19">
        <v>1.19318293E8</v>
      </c>
      <c r="F79" s="19">
        <f t="shared" ref="F79:F85" si="29">D79-E79</f>
        <v>13641814873</v>
      </c>
      <c r="G79" s="19">
        <v>0.0</v>
      </c>
      <c r="H79" s="20">
        <v>8684.0</v>
      </c>
      <c r="I79" s="19">
        <v>5.1611027E7</v>
      </c>
      <c r="J79" s="20">
        <v>1.37086523E8</v>
      </c>
      <c r="K79" s="20">
        <f t="shared" ref="K79:K85" si="30">I79-J79</f>
        <v>-85475496</v>
      </c>
      <c r="L79" s="20">
        <f>I79+Jan!L79</f>
        <v>105210235.5</v>
      </c>
      <c r="M79" s="20">
        <f>J79+Jan!M79</f>
        <v>238716961.8</v>
      </c>
      <c r="N79" s="20">
        <f t="shared" ref="N79:N85" si="31">L79-M79</f>
        <v>-133506726.3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19">
        <v>2.607355494E8</v>
      </c>
      <c r="E80" s="19">
        <v>3215448.73</v>
      </c>
      <c r="F80" s="19">
        <f t="shared" si="29"/>
        <v>257520100.7</v>
      </c>
      <c r="G80" s="19">
        <v>0.0</v>
      </c>
      <c r="H80" s="20">
        <v>178.0</v>
      </c>
      <c r="I80" s="19">
        <v>982824.58</v>
      </c>
      <c r="J80" s="20">
        <v>1635325.73</v>
      </c>
      <c r="K80" s="20">
        <f t="shared" si="30"/>
        <v>-652501.15</v>
      </c>
      <c r="L80" s="20">
        <f>I80+Jan!L80</f>
        <v>982824.58</v>
      </c>
      <c r="M80" s="20">
        <f>J80+Jan!M80</f>
        <v>2150501.16</v>
      </c>
      <c r="N80" s="20">
        <f t="shared" si="31"/>
        <v>-1167676.58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19">
        <v>4.3658613057E8</v>
      </c>
      <c r="E81" s="19">
        <v>3062843.05</v>
      </c>
      <c r="F81" s="19">
        <f t="shared" si="29"/>
        <v>433523287.5</v>
      </c>
      <c r="G81" s="19">
        <v>0.0</v>
      </c>
      <c r="H81" s="20">
        <v>154.0</v>
      </c>
      <c r="I81" s="19">
        <v>4453005.21</v>
      </c>
      <c r="J81" s="20">
        <v>49640.08</v>
      </c>
      <c r="K81" s="20">
        <f t="shared" si="30"/>
        <v>4403365.13</v>
      </c>
      <c r="L81" s="20">
        <f>I81+Jan!L81</f>
        <v>5859293.46</v>
      </c>
      <c r="M81" s="20">
        <f>J81+Jan!M81</f>
        <v>5061322.96</v>
      </c>
      <c r="N81" s="20">
        <f t="shared" si="31"/>
        <v>797970.5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109</v>
      </c>
      <c r="D82" s="19">
        <v>6.3460767E7</v>
      </c>
      <c r="E82" s="19">
        <v>1.3746483E7</v>
      </c>
      <c r="F82" s="19">
        <f t="shared" si="29"/>
        <v>49714284</v>
      </c>
      <c r="G82" s="19">
        <v>0.0</v>
      </c>
      <c r="H82" s="20">
        <v>27.0</v>
      </c>
      <c r="I82" s="19">
        <v>0.0</v>
      </c>
      <c r="J82" s="20">
        <v>0.0</v>
      </c>
      <c r="K82" s="20">
        <f t="shared" si="30"/>
        <v>0</v>
      </c>
      <c r="L82" s="20">
        <f>I82+Jan!L82</f>
        <v>0</v>
      </c>
      <c r="M82" s="20">
        <f>J82+Jan!M82</f>
        <v>0</v>
      </c>
      <c r="N82" s="20">
        <f t="shared" si="31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19">
        <v>2.007898828E9</v>
      </c>
      <c r="E83" s="19">
        <v>2.3177564E7</v>
      </c>
      <c r="F83" s="19">
        <f t="shared" si="29"/>
        <v>1984721264</v>
      </c>
      <c r="G83" s="19">
        <v>0.0</v>
      </c>
      <c r="H83" s="20">
        <v>1912.0</v>
      </c>
      <c r="I83" s="19">
        <v>21884.0</v>
      </c>
      <c r="J83" s="20">
        <v>3700611.0</v>
      </c>
      <c r="K83" s="20">
        <f t="shared" si="30"/>
        <v>-3678727</v>
      </c>
      <c r="L83" s="20">
        <f>I83+Jan!L83</f>
        <v>97837.9712</v>
      </c>
      <c r="M83" s="20">
        <f>J83+Jan!M83</f>
        <v>18324219.64</v>
      </c>
      <c r="N83" s="20">
        <f t="shared" si="31"/>
        <v>-18226381.67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19">
        <v>2.341850426625338E8</v>
      </c>
      <c r="E84" s="19">
        <v>1445677.4121068083</v>
      </c>
      <c r="F84" s="19">
        <f t="shared" si="29"/>
        <v>232739365.3</v>
      </c>
      <c r="G84" s="19">
        <v>0.0</v>
      </c>
      <c r="H84" s="20">
        <v>123.0</v>
      </c>
      <c r="I84" s="19">
        <v>5533.0</v>
      </c>
      <c r="J84" s="20">
        <v>0.0</v>
      </c>
      <c r="K84" s="20">
        <f t="shared" si="30"/>
        <v>5533</v>
      </c>
      <c r="L84" s="20">
        <f>I84+Jan!L84</f>
        <v>180381</v>
      </c>
      <c r="M84" s="20">
        <f>J84+Jan!M84</f>
        <v>0</v>
      </c>
      <c r="N84" s="20">
        <f t="shared" si="31"/>
        <v>180381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19">
        <v>5.2785099361E8</v>
      </c>
      <c r="E85" s="19">
        <v>2875234.52</v>
      </c>
      <c r="F85" s="19">
        <f t="shared" si="29"/>
        <v>524975759.1</v>
      </c>
      <c r="G85" s="19">
        <v>0.0</v>
      </c>
      <c r="H85" s="20">
        <v>2532.0</v>
      </c>
      <c r="I85" s="19">
        <v>2207211.63</v>
      </c>
      <c r="J85" s="20">
        <v>2118507.13</v>
      </c>
      <c r="K85" s="20">
        <f t="shared" si="30"/>
        <v>88704.5</v>
      </c>
      <c r="L85" s="20">
        <f>I85+Jan!L85</f>
        <v>94089877.16</v>
      </c>
      <c r="M85" s="20">
        <f>J85+Jan!M85</f>
        <v>7993169.896</v>
      </c>
      <c r="N85" s="20">
        <f t="shared" si="31"/>
        <v>86096707.26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26">
        <f t="shared" ref="D86:N86" si="32">SUM(D79:D85)</f>
        <v>17291850477</v>
      </c>
      <c r="E86" s="26">
        <f t="shared" si="32"/>
        <v>166841543.7</v>
      </c>
      <c r="F86" s="26">
        <f t="shared" si="32"/>
        <v>17125008934</v>
      </c>
      <c r="G86" s="26">
        <f t="shared" si="32"/>
        <v>0</v>
      </c>
      <c r="H86" s="27">
        <f t="shared" si="32"/>
        <v>13610</v>
      </c>
      <c r="I86" s="26">
        <f t="shared" si="32"/>
        <v>59281485.42</v>
      </c>
      <c r="J86" s="26">
        <f t="shared" si="32"/>
        <v>144590606.9</v>
      </c>
      <c r="K86" s="26">
        <f t="shared" si="32"/>
        <v>-85309121.52</v>
      </c>
      <c r="L86" s="26">
        <f t="shared" si="32"/>
        <v>206420449.7</v>
      </c>
      <c r="M86" s="26">
        <f t="shared" si="32"/>
        <v>272246175.4</v>
      </c>
      <c r="N86" s="26">
        <f t="shared" si="32"/>
        <v>-65825725.74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19">
        <v>9.21604036E8</v>
      </c>
      <c r="E87" s="19">
        <v>7077020.0</v>
      </c>
      <c r="F87" s="19">
        <f>D87-E87</f>
        <v>914527016</v>
      </c>
      <c r="G87" s="19">
        <v>0.0</v>
      </c>
      <c r="H87" s="20">
        <v>655.0</v>
      </c>
      <c r="I87" s="19">
        <v>8706183.0</v>
      </c>
      <c r="J87" s="20">
        <v>3045328.0</v>
      </c>
      <c r="K87" s="20">
        <f>I87-J87</f>
        <v>5660855</v>
      </c>
      <c r="L87" s="20">
        <f>I87+Jan!L87</f>
        <v>15298867.36</v>
      </c>
      <c r="M87" s="20">
        <f>J87+Jan!M87</f>
        <v>4224827.203</v>
      </c>
      <c r="N87" s="20">
        <f>L87-M87</f>
        <v>11074040.15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26">
        <f t="shared" ref="D88:N88" si="33">SUM(D87)</f>
        <v>921604036</v>
      </c>
      <c r="E88" s="26">
        <f t="shared" si="33"/>
        <v>7077020</v>
      </c>
      <c r="F88" s="26">
        <f t="shared" si="33"/>
        <v>914527016</v>
      </c>
      <c r="G88" s="26">
        <f t="shared" si="33"/>
        <v>0</v>
      </c>
      <c r="H88" s="27">
        <f t="shared" si="33"/>
        <v>655</v>
      </c>
      <c r="I88" s="26">
        <f t="shared" si="33"/>
        <v>8706183</v>
      </c>
      <c r="J88" s="26">
        <f t="shared" si="33"/>
        <v>3045328</v>
      </c>
      <c r="K88" s="26">
        <f t="shared" si="33"/>
        <v>5660855</v>
      </c>
      <c r="L88" s="26">
        <f t="shared" si="33"/>
        <v>15298867.36</v>
      </c>
      <c r="M88" s="26">
        <f t="shared" si="33"/>
        <v>4224827.203</v>
      </c>
      <c r="N88" s="26">
        <f t="shared" si="33"/>
        <v>11074040.15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26">
        <f t="shared" ref="D89:N89" si="34">D77+D86+D88</f>
        <v>69995158530</v>
      </c>
      <c r="E89" s="26">
        <f t="shared" si="34"/>
        <v>618575747.4</v>
      </c>
      <c r="F89" s="26">
        <f t="shared" si="34"/>
        <v>69376582783</v>
      </c>
      <c r="G89" s="26">
        <f t="shared" si="34"/>
        <v>933461400</v>
      </c>
      <c r="H89" s="27">
        <f t="shared" si="34"/>
        <v>74162</v>
      </c>
      <c r="I89" s="26">
        <f t="shared" si="34"/>
        <v>749143263.8</v>
      </c>
      <c r="J89" s="26">
        <f t="shared" si="34"/>
        <v>964222161.4</v>
      </c>
      <c r="K89" s="26">
        <f t="shared" si="34"/>
        <v>-215078897.6</v>
      </c>
      <c r="L89" s="26">
        <f t="shared" si="34"/>
        <v>1413684268</v>
      </c>
      <c r="M89" s="26">
        <f t="shared" si="34"/>
        <v>1861258175</v>
      </c>
      <c r="N89" s="26">
        <f t="shared" si="34"/>
        <v>-447573906.8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19"/>
      <c r="E90" s="19"/>
      <c r="F90" s="19"/>
      <c r="G90" s="19"/>
      <c r="H90" s="20"/>
      <c r="I90" s="19"/>
      <c r="J90" s="20"/>
      <c r="K90" s="20"/>
      <c r="L90" s="20"/>
      <c r="M90" s="20"/>
      <c r="N90" s="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19"/>
      <c r="E91" s="19"/>
      <c r="F91" s="19"/>
      <c r="G91" s="19"/>
      <c r="H91" s="20"/>
      <c r="I91" s="19"/>
      <c r="J91" s="20"/>
      <c r="K91" s="20"/>
      <c r="L91" s="20"/>
      <c r="M91" s="20"/>
      <c r="N91" s="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19">
        <v>3.9244415346E10</v>
      </c>
      <c r="E92" s="19">
        <v>2.2048133E7</v>
      </c>
      <c r="F92" s="19">
        <f t="shared" ref="F92:F94" si="35">D92-E92</f>
        <v>39222367213</v>
      </c>
      <c r="G92" s="19">
        <v>0.0</v>
      </c>
      <c r="H92" s="20">
        <v>30173.0</v>
      </c>
      <c r="I92" s="19">
        <v>2.124597522E9</v>
      </c>
      <c r="J92" s="20">
        <v>1.956896351E9</v>
      </c>
      <c r="K92" s="20">
        <f t="shared" ref="K92:K94" si="36">I92-J92</f>
        <v>167701171</v>
      </c>
      <c r="L92" s="20">
        <f>I92+Jan!L92</f>
        <v>5150643653</v>
      </c>
      <c r="M92" s="20">
        <f>J92+Jan!M92</f>
        <v>4743969917</v>
      </c>
      <c r="N92" s="20">
        <f t="shared" ref="N92:N94" si="37">L92-M92</f>
        <v>406673736.4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19">
        <v>2.67148005947E9</v>
      </c>
      <c r="E93" s="19">
        <v>7.789493064E7</v>
      </c>
      <c r="F93" s="19">
        <f t="shared" si="35"/>
        <v>2593585129</v>
      </c>
      <c r="G93" s="19">
        <v>0.0</v>
      </c>
      <c r="H93" s="20">
        <v>738.0</v>
      </c>
      <c r="I93" s="19">
        <v>3.343875772E7</v>
      </c>
      <c r="J93" s="20">
        <v>2.27804546E8</v>
      </c>
      <c r="K93" s="20">
        <f t="shared" si="36"/>
        <v>-194365788.3</v>
      </c>
      <c r="L93" s="20">
        <f>I93+Jan!L93</f>
        <v>153045523.7</v>
      </c>
      <c r="M93" s="20">
        <f>J93+Jan!M93</f>
        <v>398673441.8</v>
      </c>
      <c r="N93" s="20">
        <f t="shared" si="37"/>
        <v>-245627918.1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19">
        <v>4.3458718901E10</v>
      </c>
      <c r="E94" s="19">
        <v>4.28199966E8</v>
      </c>
      <c r="F94" s="19">
        <f t="shared" si="35"/>
        <v>43030518935</v>
      </c>
      <c r="G94" s="19">
        <v>0.0</v>
      </c>
      <c r="H94" s="20">
        <v>66321.0</v>
      </c>
      <c r="I94" s="19">
        <v>2.503012141E9</v>
      </c>
      <c r="J94" s="20">
        <v>5.624319829E9</v>
      </c>
      <c r="K94" s="20">
        <f t="shared" si="36"/>
        <v>-3121307688</v>
      </c>
      <c r="L94" s="20">
        <f>I94+Jan!L94</f>
        <v>5232394385</v>
      </c>
      <c r="M94" s="20">
        <f>J94+Jan!M94</f>
        <v>14628677608</v>
      </c>
      <c r="N94" s="20">
        <f t="shared" si="37"/>
        <v>-9396283223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19"/>
      <c r="E95" s="19"/>
      <c r="F95" s="19"/>
      <c r="G95" s="19"/>
      <c r="H95" s="20"/>
      <c r="I95" s="19"/>
      <c r="J95" s="20"/>
      <c r="K95" s="20"/>
      <c r="L95" s="20"/>
      <c r="M95" s="20"/>
      <c r="N95" s="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19">
        <v>5.68363683551E9</v>
      </c>
      <c r="E96" s="19">
        <v>3332829.87</v>
      </c>
      <c r="F96" s="19">
        <f>D96-E96</f>
        <v>5680304006</v>
      </c>
      <c r="G96" s="19">
        <v>0.0</v>
      </c>
      <c r="H96" s="20">
        <v>4634.0</v>
      </c>
      <c r="I96" s="19">
        <v>1.69268969444E9</v>
      </c>
      <c r="J96" s="20">
        <v>5.4229828385E8</v>
      </c>
      <c r="K96" s="20">
        <f>I96-J96</f>
        <v>1150391411</v>
      </c>
      <c r="L96" s="20">
        <f>I96+Jan!L96</f>
        <v>3276967055</v>
      </c>
      <c r="M96" s="20">
        <f>J96+Jan!M96</f>
        <v>1141122022</v>
      </c>
      <c r="N96" s="20">
        <f>L96-M96</f>
        <v>2135845033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26">
        <f t="shared" ref="D97:N97" si="38">SUM(D92:D94)+D96</f>
        <v>91058251142</v>
      </c>
      <c r="E97" s="26">
        <f t="shared" si="38"/>
        <v>531475859.5</v>
      </c>
      <c r="F97" s="26">
        <f t="shared" si="38"/>
        <v>90526775282</v>
      </c>
      <c r="G97" s="26">
        <f t="shared" si="38"/>
        <v>0</v>
      </c>
      <c r="H97" s="27">
        <f t="shared" si="38"/>
        <v>101866</v>
      </c>
      <c r="I97" s="26">
        <f t="shared" si="38"/>
        <v>6353738115</v>
      </c>
      <c r="J97" s="26">
        <f t="shared" si="38"/>
        <v>8351319010</v>
      </c>
      <c r="K97" s="26">
        <f t="shared" si="38"/>
        <v>-1997580895</v>
      </c>
      <c r="L97" s="26">
        <f t="shared" si="38"/>
        <v>13813050617</v>
      </c>
      <c r="M97" s="26">
        <f t="shared" si="38"/>
        <v>20912442989</v>
      </c>
      <c r="N97" s="26">
        <f t="shared" si="38"/>
        <v>-7099392372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19"/>
      <c r="E98" s="19"/>
      <c r="F98" s="19"/>
      <c r="G98" s="19"/>
      <c r="H98" s="20"/>
      <c r="I98" s="19"/>
      <c r="J98" s="20"/>
      <c r="K98" s="20"/>
      <c r="L98" s="20"/>
      <c r="M98" s="20"/>
      <c r="N98" s="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19">
        <v>4.8058773679E9</v>
      </c>
      <c r="E99" s="19">
        <v>4.525995771E7</v>
      </c>
      <c r="F99" s="19">
        <f>D99-E99</f>
        <v>4760617410</v>
      </c>
      <c r="G99" s="19">
        <v>0.0</v>
      </c>
      <c r="H99" s="20">
        <v>3451.0</v>
      </c>
      <c r="I99" s="19">
        <v>8.2106291255E8</v>
      </c>
      <c r="J99" s="19">
        <v>1.08980458735E9</v>
      </c>
      <c r="K99" s="20">
        <f>I99-J99</f>
        <v>-268741674.8</v>
      </c>
      <c r="L99" s="20">
        <f>I99+Jan!L99</f>
        <v>2135718487</v>
      </c>
      <c r="M99" s="20">
        <f>J99+Jan!M99</f>
        <v>3088332386</v>
      </c>
      <c r="N99" s="20">
        <f>L99-M99</f>
        <v>-952613898.6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26">
        <f t="shared" ref="D100:N100" si="39">SUM(D99)</f>
        <v>4805877368</v>
      </c>
      <c r="E100" s="26">
        <f t="shared" si="39"/>
        <v>45259957.71</v>
      </c>
      <c r="F100" s="26">
        <f t="shared" si="39"/>
        <v>4760617410</v>
      </c>
      <c r="G100" s="26">
        <f t="shared" si="39"/>
        <v>0</v>
      </c>
      <c r="H100" s="27">
        <f t="shared" si="39"/>
        <v>3451</v>
      </c>
      <c r="I100" s="26">
        <f t="shared" si="39"/>
        <v>821062912.6</v>
      </c>
      <c r="J100" s="26">
        <f t="shared" si="39"/>
        <v>1089804587</v>
      </c>
      <c r="K100" s="26">
        <f t="shared" si="39"/>
        <v>-268741674.8</v>
      </c>
      <c r="L100" s="26">
        <f t="shared" si="39"/>
        <v>2135718487</v>
      </c>
      <c r="M100" s="26">
        <f t="shared" si="39"/>
        <v>3088332386</v>
      </c>
      <c r="N100" s="26">
        <f t="shared" si="39"/>
        <v>-952613898.6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26">
        <f t="shared" ref="D101:N101" si="40">D97+D100</f>
        <v>95864128510</v>
      </c>
      <c r="E101" s="26">
        <f t="shared" si="40"/>
        <v>576735817.2</v>
      </c>
      <c r="F101" s="26">
        <f t="shared" si="40"/>
        <v>95287392693</v>
      </c>
      <c r="G101" s="26">
        <f t="shared" si="40"/>
        <v>0</v>
      </c>
      <c r="H101" s="27">
        <f t="shared" si="40"/>
        <v>105317</v>
      </c>
      <c r="I101" s="26">
        <f t="shared" si="40"/>
        <v>7174801028</v>
      </c>
      <c r="J101" s="26">
        <f t="shared" si="40"/>
        <v>9441123597</v>
      </c>
      <c r="K101" s="26">
        <f t="shared" si="40"/>
        <v>-2266322569</v>
      </c>
      <c r="L101" s="26">
        <f t="shared" si="40"/>
        <v>15948769104</v>
      </c>
      <c r="M101" s="26">
        <f t="shared" si="40"/>
        <v>24000775374</v>
      </c>
      <c r="N101" s="26">
        <f t="shared" si="40"/>
        <v>-8052006270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19"/>
      <c r="E102" s="19"/>
      <c r="F102" s="19"/>
      <c r="G102" s="19"/>
      <c r="H102" s="20"/>
      <c r="I102" s="19"/>
      <c r="J102" s="19"/>
      <c r="K102" s="20"/>
      <c r="L102" s="20"/>
      <c r="M102" s="20"/>
      <c r="N102" s="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19"/>
      <c r="E103" s="19"/>
      <c r="F103" s="19"/>
      <c r="G103" s="19"/>
      <c r="H103" s="20"/>
      <c r="I103" s="19"/>
      <c r="J103" s="19"/>
      <c r="K103" s="20"/>
      <c r="L103" s="20"/>
      <c r="M103" s="20"/>
      <c r="N103" s="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101</v>
      </c>
      <c r="D104" s="19">
        <v>9.34722402127E9</v>
      </c>
      <c r="E104" s="19">
        <v>2.038880603E7</v>
      </c>
      <c r="F104" s="19">
        <f t="shared" ref="F104:F105" si="41">D104-E104</f>
        <v>9326835215</v>
      </c>
      <c r="G104" s="19">
        <v>0.0</v>
      </c>
      <c r="H104" s="20">
        <v>88186.0</v>
      </c>
      <c r="I104" s="19">
        <v>8.714037175999999E7</v>
      </c>
      <c r="J104" s="19">
        <v>2.2659741650999996E8</v>
      </c>
      <c r="K104" s="20">
        <f t="shared" ref="K104:K105" si="42">I104-J104</f>
        <v>-139457044.8</v>
      </c>
      <c r="L104" s="20">
        <f>I104+Jan!L104</f>
        <v>291175139.6</v>
      </c>
      <c r="M104" s="20">
        <f>J104+Jan!M104</f>
        <v>305528552.9</v>
      </c>
      <c r="N104" s="20">
        <f t="shared" ref="N104:N105" si="43">L104-M104</f>
        <v>-14353413.33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19">
        <v>3.344004435E9</v>
      </c>
      <c r="E105" s="19">
        <v>1.2944973E7</v>
      </c>
      <c r="F105" s="19">
        <f t="shared" si="41"/>
        <v>3331059462</v>
      </c>
      <c r="G105" s="19">
        <v>0.0</v>
      </c>
      <c r="H105" s="20">
        <v>6016.0</v>
      </c>
      <c r="I105" s="19">
        <v>2.180226E7</v>
      </c>
      <c r="J105" s="19">
        <v>3.9290342E7</v>
      </c>
      <c r="K105" s="20">
        <f t="shared" si="42"/>
        <v>-17488082</v>
      </c>
      <c r="L105" s="20">
        <f>I105+Jan!L105</f>
        <v>47962318.13</v>
      </c>
      <c r="M105" s="20">
        <f>J105+Jan!M105</f>
        <v>96353580.69</v>
      </c>
      <c r="N105" s="20">
        <f t="shared" si="43"/>
        <v>-48391262.56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4" t="s">
        <v>45</v>
      </c>
      <c r="B106" s="2"/>
      <c r="C106" s="3"/>
      <c r="D106" s="26">
        <f t="shared" ref="D106:N106" si="44">D104+D105</f>
        <v>12691228456</v>
      </c>
      <c r="E106" s="26">
        <f t="shared" si="44"/>
        <v>33333779.03</v>
      </c>
      <c r="F106" s="26">
        <f t="shared" si="44"/>
        <v>12657894677</v>
      </c>
      <c r="G106" s="26">
        <f t="shared" si="44"/>
        <v>0</v>
      </c>
      <c r="H106" s="27">
        <f t="shared" si="44"/>
        <v>94202</v>
      </c>
      <c r="I106" s="26">
        <f t="shared" si="44"/>
        <v>108942631.8</v>
      </c>
      <c r="J106" s="26">
        <f t="shared" si="44"/>
        <v>265887758.5</v>
      </c>
      <c r="K106" s="26">
        <f t="shared" si="44"/>
        <v>-156945126.8</v>
      </c>
      <c r="L106" s="26">
        <f t="shared" si="44"/>
        <v>339137457.7</v>
      </c>
      <c r="M106" s="26">
        <f t="shared" si="44"/>
        <v>401882133.6</v>
      </c>
      <c r="N106" s="26">
        <f t="shared" si="44"/>
        <v>-62744675.89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19"/>
      <c r="E107" s="19"/>
      <c r="F107" s="19"/>
      <c r="G107" s="19"/>
      <c r="H107" s="20"/>
      <c r="I107" s="19"/>
      <c r="J107" s="19"/>
      <c r="K107" s="20"/>
      <c r="L107" s="20"/>
      <c r="M107" s="20"/>
      <c r="N107" s="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104</v>
      </c>
      <c r="D108" s="19">
        <f>55.33*183469842.73</f>
        <v>10151386398</v>
      </c>
      <c r="E108" s="19">
        <f>55.33*271122.89</f>
        <v>15001229.5</v>
      </c>
      <c r="F108" s="19">
        <f>D108-E108</f>
        <v>10136385169</v>
      </c>
      <c r="G108" s="19"/>
      <c r="H108" s="20">
        <v>8303.0</v>
      </c>
      <c r="I108" s="19">
        <f>55.33*1465555.12</f>
        <v>81089164.79</v>
      </c>
      <c r="J108" s="19">
        <f>55.33*1551782.05</f>
        <v>85860100.83</v>
      </c>
      <c r="K108" s="20">
        <f>I108-J108</f>
        <v>-4770936.037</v>
      </c>
      <c r="L108" s="20">
        <f>I108+Jan!L108</f>
        <v>228644918.1</v>
      </c>
      <c r="M108" s="20">
        <f>J108+Jan!M108</f>
        <v>170210066.4</v>
      </c>
      <c r="N108" s="20">
        <f>L108-M108</f>
        <v>58434851.64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4" t="s">
        <v>89</v>
      </c>
      <c r="B109" s="25"/>
      <c r="C109" s="1"/>
      <c r="D109" s="26">
        <f t="shared" ref="D109:N109" si="45">SUM(D108)</f>
        <v>10151386398</v>
      </c>
      <c r="E109" s="26">
        <f t="shared" si="45"/>
        <v>15001229.5</v>
      </c>
      <c r="F109" s="26">
        <f t="shared" si="45"/>
        <v>10136385169</v>
      </c>
      <c r="G109" s="26">
        <f t="shared" si="45"/>
        <v>0</v>
      </c>
      <c r="H109" s="27">
        <f t="shared" si="45"/>
        <v>8303</v>
      </c>
      <c r="I109" s="26">
        <f t="shared" si="45"/>
        <v>81089164.79</v>
      </c>
      <c r="J109" s="26">
        <f t="shared" si="45"/>
        <v>85860100.83</v>
      </c>
      <c r="K109" s="26">
        <f t="shared" si="45"/>
        <v>-4770936.037</v>
      </c>
      <c r="L109" s="26">
        <f t="shared" si="45"/>
        <v>228644918.1</v>
      </c>
      <c r="M109" s="26">
        <f t="shared" si="45"/>
        <v>170210066.4</v>
      </c>
      <c r="N109" s="26">
        <f t="shared" si="45"/>
        <v>58434851.64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105</v>
      </c>
      <c r="B110" s="31"/>
      <c r="C110" s="29"/>
      <c r="D110" s="26">
        <f t="shared" ref="D110:N110" si="46">SUM(D106+D109)</f>
        <v>22842614855</v>
      </c>
      <c r="E110" s="26">
        <f t="shared" si="46"/>
        <v>48335008.53</v>
      </c>
      <c r="F110" s="26">
        <f t="shared" si="46"/>
        <v>22794279846</v>
      </c>
      <c r="G110" s="26">
        <f t="shared" si="46"/>
        <v>0</v>
      </c>
      <c r="H110" s="27">
        <f t="shared" si="46"/>
        <v>102505</v>
      </c>
      <c r="I110" s="26">
        <f t="shared" si="46"/>
        <v>190031796.5</v>
      </c>
      <c r="J110" s="26">
        <f t="shared" si="46"/>
        <v>351747859.3</v>
      </c>
      <c r="K110" s="26">
        <f t="shared" si="46"/>
        <v>-161716062.8</v>
      </c>
      <c r="L110" s="26">
        <f t="shared" si="46"/>
        <v>567782375.8</v>
      </c>
      <c r="M110" s="26">
        <f t="shared" si="46"/>
        <v>572092200</v>
      </c>
      <c r="N110" s="26">
        <f t="shared" si="46"/>
        <v>-4309824.253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106</v>
      </c>
      <c r="B111" s="33"/>
      <c r="C111" s="34"/>
      <c r="D111" s="35">
        <f t="shared" ref="D111:N111" si="47">D39+D63+D89+D101+D110</f>
        <v>275223205487</v>
      </c>
      <c r="E111" s="35">
        <f t="shared" si="47"/>
        <v>2300274648</v>
      </c>
      <c r="F111" s="35">
        <f t="shared" si="47"/>
        <v>272922930839</v>
      </c>
      <c r="G111" s="35">
        <f t="shared" si="47"/>
        <v>73621467104</v>
      </c>
      <c r="H111" s="36">
        <f t="shared" si="47"/>
        <v>1098091</v>
      </c>
      <c r="I111" s="35">
        <f t="shared" si="47"/>
        <v>9111132532</v>
      </c>
      <c r="J111" s="35">
        <f t="shared" si="47"/>
        <v>11537246560</v>
      </c>
      <c r="K111" s="35">
        <f t="shared" si="47"/>
        <v>-2426114028</v>
      </c>
      <c r="L111" s="35">
        <f t="shared" si="47"/>
        <v>19918700346</v>
      </c>
      <c r="M111" s="35">
        <f t="shared" si="47"/>
        <v>28789244840</v>
      </c>
      <c r="N111" s="35">
        <f t="shared" si="47"/>
        <v>-8870544494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7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0"/>
      <c r="B113" s="30"/>
      <c r="C113" s="30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0"/>
      <c r="B114" s="30"/>
      <c r="C114" s="30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7"/>
      <c r="B115" s="37"/>
      <c r="C115" s="37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107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19">
        <v>4.593872904E9</v>
      </c>
      <c r="E9" s="19">
        <v>1.2038727E7</v>
      </c>
      <c r="F9" s="19">
        <f t="shared" ref="F9:F27" si="1">D9-E9</f>
        <v>4581834177</v>
      </c>
      <c r="G9" s="19">
        <v>4.291574273E9</v>
      </c>
      <c r="H9" s="20">
        <v>7236.0</v>
      </c>
      <c r="I9" s="19">
        <v>5275082.0</v>
      </c>
      <c r="J9" s="20">
        <v>2.4704237E7</v>
      </c>
      <c r="K9" s="20">
        <f t="shared" ref="K9:K27" si="2">I9-J9</f>
        <v>-19429155</v>
      </c>
      <c r="L9" s="20">
        <f>I9+Jan!L9</f>
        <v>11981921.07</v>
      </c>
      <c r="M9" s="20">
        <f>J9+Jan!M9</f>
        <v>99910370.42</v>
      </c>
      <c r="N9" s="20">
        <f t="shared" ref="N9:N27" si="3">L9-M9</f>
        <v>-87928449.35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19">
        <v>7.8551117992E8</v>
      </c>
      <c r="E10" s="19">
        <v>2.10498734E7</v>
      </c>
      <c r="F10" s="19">
        <f t="shared" si="1"/>
        <v>764461306.5</v>
      </c>
      <c r="G10" s="19">
        <v>7.1177413013E8</v>
      </c>
      <c r="H10" s="20">
        <v>4221.0</v>
      </c>
      <c r="I10" s="19">
        <v>5560274.87</v>
      </c>
      <c r="J10" s="20">
        <v>1.233699945E7</v>
      </c>
      <c r="K10" s="20">
        <f t="shared" si="2"/>
        <v>-6776724.58</v>
      </c>
      <c r="L10" s="20">
        <f>I10+Jan!L10</f>
        <v>10060031.12</v>
      </c>
      <c r="M10" s="20">
        <f>J10+Jan!M10</f>
        <v>28554190.27</v>
      </c>
      <c r="N10" s="20">
        <f t="shared" si="3"/>
        <v>-18494159.15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19">
        <v>1.63168375247E9</v>
      </c>
      <c r="E11" s="19">
        <v>1.0575226878E8</v>
      </c>
      <c r="F11" s="19">
        <f t="shared" si="1"/>
        <v>1525931484</v>
      </c>
      <c r="G11" s="19">
        <v>1.45488823965E9</v>
      </c>
      <c r="H11" s="20">
        <v>2874.0</v>
      </c>
      <c r="I11" s="19">
        <v>1.851460891E8</v>
      </c>
      <c r="J11" s="20">
        <v>1.2266103532E8</v>
      </c>
      <c r="K11" s="20">
        <f t="shared" si="2"/>
        <v>62485053.78</v>
      </c>
      <c r="L11" s="20">
        <f>I11+Jan!L11</f>
        <v>373102426.8</v>
      </c>
      <c r="M11" s="20">
        <f>J11+Jan!M11</f>
        <v>132912714.4</v>
      </c>
      <c r="N11" s="20">
        <f t="shared" si="3"/>
        <v>240189712.4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19">
        <v>3.6020278388E8</v>
      </c>
      <c r="E12" s="19">
        <v>1.776239372E7</v>
      </c>
      <c r="F12" s="19">
        <f t="shared" si="1"/>
        <v>342440390.2</v>
      </c>
      <c r="G12" s="19">
        <v>2.045159469E8</v>
      </c>
      <c r="H12" s="20">
        <v>1743.0</v>
      </c>
      <c r="I12" s="19">
        <v>588897.45</v>
      </c>
      <c r="J12" s="20">
        <v>71172.65</v>
      </c>
      <c r="K12" s="20">
        <f t="shared" si="2"/>
        <v>517724.8</v>
      </c>
      <c r="L12" s="20">
        <f>I12+Jan!L12</f>
        <v>1129901.95</v>
      </c>
      <c r="M12" s="20">
        <f>J12+Jan!M12</f>
        <v>179339.26</v>
      </c>
      <c r="N12" s="20">
        <f t="shared" si="3"/>
        <v>950562.69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19">
        <v>5.3822817226E8</v>
      </c>
      <c r="E13" s="19">
        <v>1229091.08</v>
      </c>
      <c r="F13" s="19">
        <f t="shared" si="1"/>
        <v>536999081.2</v>
      </c>
      <c r="G13" s="19">
        <v>4.2599786662E8</v>
      </c>
      <c r="H13" s="20">
        <v>1428.0</v>
      </c>
      <c r="I13" s="19">
        <v>539284.43</v>
      </c>
      <c r="J13" s="20">
        <v>284725.86</v>
      </c>
      <c r="K13" s="20">
        <f t="shared" si="2"/>
        <v>254558.57</v>
      </c>
      <c r="L13" s="20">
        <f>I13+Jan!L13</f>
        <v>1303142.54</v>
      </c>
      <c r="M13" s="20">
        <f>J13+Jan!M13</f>
        <v>3583593.44</v>
      </c>
      <c r="N13" s="20">
        <f t="shared" si="3"/>
        <v>-2280450.9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19">
        <v>4.20995485645E9</v>
      </c>
      <c r="E14" s="19">
        <v>2.18502524E7</v>
      </c>
      <c r="F14" s="19">
        <f t="shared" si="1"/>
        <v>4188104604</v>
      </c>
      <c r="G14" s="19">
        <v>3.44154122035E9</v>
      </c>
      <c r="H14" s="20">
        <v>16190.0</v>
      </c>
      <c r="I14" s="19">
        <v>1.3071495501E7</v>
      </c>
      <c r="J14" s="20">
        <v>1.705274528E7</v>
      </c>
      <c r="K14" s="20">
        <f t="shared" si="2"/>
        <v>-3981249.779</v>
      </c>
      <c r="L14" s="20">
        <f>I14+Jan!L14</f>
        <v>32385308.46</v>
      </c>
      <c r="M14" s="20">
        <f>J14+Jan!M14</f>
        <v>71058749.46</v>
      </c>
      <c r="N14" s="20">
        <f t="shared" si="3"/>
        <v>-38673441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19">
        <v>9.96217985E7</v>
      </c>
      <c r="E15" s="19">
        <v>1254140.83</v>
      </c>
      <c r="F15" s="19">
        <f t="shared" si="1"/>
        <v>98367657.67</v>
      </c>
      <c r="G15" s="19">
        <v>9.692567541E7</v>
      </c>
      <c r="H15" s="20">
        <v>554.0</v>
      </c>
      <c r="I15" s="19">
        <v>728740.25</v>
      </c>
      <c r="J15" s="20">
        <v>676891.31</v>
      </c>
      <c r="K15" s="20">
        <f t="shared" si="2"/>
        <v>51848.94</v>
      </c>
      <c r="L15" s="20">
        <f>I15+Jan!L15</f>
        <v>1489676.73</v>
      </c>
      <c r="M15" s="20">
        <f>J15+Jan!M15</f>
        <v>3847209.93</v>
      </c>
      <c r="N15" s="20">
        <f t="shared" si="3"/>
        <v>-2357533.2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19">
        <v>1.19846366E8</v>
      </c>
      <c r="E16" s="19">
        <v>2353974.0</v>
      </c>
      <c r="F16" s="19">
        <f t="shared" si="1"/>
        <v>117492392</v>
      </c>
      <c r="G16" s="19">
        <v>1.06689337E8</v>
      </c>
      <c r="H16" s="20">
        <v>50.0</v>
      </c>
      <c r="I16" s="19">
        <v>0.0</v>
      </c>
      <c r="J16" s="20">
        <v>496031.0</v>
      </c>
      <c r="K16" s="20">
        <f t="shared" si="2"/>
        <v>-496031</v>
      </c>
      <c r="L16" s="20">
        <f>I16+Jan!L16</f>
        <v>0</v>
      </c>
      <c r="M16" s="20">
        <f>J16+Jan!M16</f>
        <v>496031</v>
      </c>
      <c r="N16" s="20">
        <f t="shared" si="3"/>
        <v>-496031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19">
        <v>1.356343217E9</v>
      </c>
      <c r="E17" s="19">
        <v>7.4584016E7</v>
      </c>
      <c r="F17" s="19">
        <f t="shared" si="1"/>
        <v>1281759201</v>
      </c>
      <c r="G17" s="19">
        <v>1.301656259E9</v>
      </c>
      <c r="H17" s="20">
        <v>12224.0</v>
      </c>
      <c r="I17" s="19">
        <v>0.0</v>
      </c>
      <c r="J17" s="20">
        <v>6972690.0</v>
      </c>
      <c r="K17" s="20">
        <f t="shared" si="2"/>
        <v>-6972690</v>
      </c>
      <c r="L17" s="20">
        <f>I17+Jan!L17</f>
        <v>0</v>
      </c>
      <c r="M17" s="20">
        <f>J17+Jan!M17</f>
        <v>29187471.39</v>
      </c>
      <c r="N17" s="20">
        <f t="shared" si="3"/>
        <v>-29187471.39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19">
        <v>3.876027145E9</v>
      </c>
      <c r="E18" s="19">
        <v>1.61955174E8</v>
      </c>
      <c r="F18" s="19">
        <f t="shared" si="1"/>
        <v>3714071971</v>
      </c>
      <c r="G18" s="19">
        <v>3.424225386E9</v>
      </c>
      <c r="H18" s="20">
        <v>12187.0</v>
      </c>
      <c r="I18" s="19">
        <v>3137498.0</v>
      </c>
      <c r="J18" s="20">
        <v>2.4799237E7</v>
      </c>
      <c r="K18" s="20">
        <f t="shared" si="2"/>
        <v>-21661739</v>
      </c>
      <c r="L18" s="20">
        <f>I18+Jan!L18</f>
        <v>7829204.97</v>
      </c>
      <c r="M18" s="20">
        <f>J18+Jan!M18</f>
        <v>48041761.54</v>
      </c>
      <c r="N18" s="20">
        <f t="shared" si="3"/>
        <v>-40212556.57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19">
        <v>2.22400157328585E9</v>
      </c>
      <c r="E19" s="19">
        <v>1.64908972893E7</v>
      </c>
      <c r="F19" s="19">
        <f t="shared" si="1"/>
        <v>2207510676</v>
      </c>
      <c r="G19" s="19">
        <v>1.89056768993196E9</v>
      </c>
      <c r="H19" s="20">
        <v>5618.0</v>
      </c>
      <c r="I19" s="19">
        <v>6.201514651E7</v>
      </c>
      <c r="J19" s="20">
        <v>3355607.82</v>
      </c>
      <c r="K19" s="20">
        <f t="shared" si="2"/>
        <v>58659538.69</v>
      </c>
      <c r="L19" s="20">
        <f>I19+Jan!L19</f>
        <v>133609030.2</v>
      </c>
      <c r="M19" s="20">
        <f>J19+Jan!M19</f>
        <v>7631625.25</v>
      </c>
      <c r="N19" s="20">
        <f t="shared" si="3"/>
        <v>125977404.9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19">
        <v>9.9096778986037E9</v>
      </c>
      <c r="E20" s="19">
        <v>1.715778123495E8</v>
      </c>
      <c r="F20" s="19">
        <f t="shared" si="1"/>
        <v>9738100086</v>
      </c>
      <c r="G20" s="19">
        <v>9.04949724919E9</v>
      </c>
      <c r="H20" s="20">
        <v>36023.0</v>
      </c>
      <c r="I20" s="19">
        <v>9950257.57</v>
      </c>
      <c r="J20" s="20">
        <v>2.178868272E7</v>
      </c>
      <c r="K20" s="20">
        <f t="shared" si="2"/>
        <v>-11838425.15</v>
      </c>
      <c r="L20" s="20">
        <f>I20+Jan!L20</f>
        <v>20583916.07</v>
      </c>
      <c r="M20" s="20">
        <f>J20+Jan!M20</f>
        <v>66928620.74</v>
      </c>
      <c r="N20" s="20">
        <f t="shared" si="3"/>
        <v>-46344704.67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19">
        <v>3.14957084517189E8</v>
      </c>
      <c r="E21" s="19">
        <v>4573550.5800001</v>
      </c>
      <c r="F21" s="19">
        <f t="shared" si="1"/>
        <v>310383533.9</v>
      </c>
      <c r="G21" s="19">
        <v>2.9907143508E8</v>
      </c>
      <c r="H21" s="20">
        <v>1019.0</v>
      </c>
      <c r="I21" s="19">
        <v>472211.56</v>
      </c>
      <c r="J21" s="20">
        <v>94734.67</v>
      </c>
      <c r="K21" s="20">
        <f t="shared" si="2"/>
        <v>377476.89</v>
      </c>
      <c r="L21" s="20">
        <f>I21+Jan!L21</f>
        <v>891025.29</v>
      </c>
      <c r="M21" s="20">
        <f>J21+Jan!M21</f>
        <v>532515.8</v>
      </c>
      <c r="N21" s="20">
        <f t="shared" si="3"/>
        <v>358509.49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19">
        <v>3.8516496731696E9</v>
      </c>
      <c r="E22" s="19">
        <v>1.96949796067998E7</v>
      </c>
      <c r="F22" s="19">
        <f t="shared" si="1"/>
        <v>3831954694</v>
      </c>
      <c r="G22" s="19">
        <v>3.77528072869869E9</v>
      </c>
      <c r="H22" s="20">
        <v>26959.0</v>
      </c>
      <c r="I22" s="19">
        <v>1.2249121238E8</v>
      </c>
      <c r="J22" s="20">
        <v>6.140580706E7</v>
      </c>
      <c r="K22" s="20">
        <f t="shared" si="2"/>
        <v>61085405.32</v>
      </c>
      <c r="L22" s="20">
        <f>I22+Jan!L22</f>
        <v>233371513.7</v>
      </c>
      <c r="M22" s="20">
        <f>J22+Jan!M22</f>
        <v>155550859.7</v>
      </c>
      <c r="N22" s="20">
        <f t="shared" si="3"/>
        <v>77820653.93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19">
        <v>8.87610488178E9</v>
      </c>
      <c r="E23" s="19">
        <v>1.666093233E7</v>
      </c>
      <c r="F23" s="19">
        <f t="shared" si="1"/>
        <v>8859443949</v>
      </c>
      <c r="G23" s="19">
        <v>8.80547181324E9</v>
      </c>
      <c r="H23" s="20">
        <v>14248.0</v>
      </c>
      <c r="I23" s="19">
        <v>1027707.34</v>
      </c>
      <c r="J23" s="20">
        <v>7.368717695E7</v>
      </c>
      <c r="K23" s="20">
        <f t="shared" si="2"/>
        <v>-72659469.61</v>
      </c>
      <c r="L23" s="20">
        <f>I23+Jan!L23</f>
        <v>5771206.78</v>
      </c>
      <c r="M23" s="20">
        <f>J23+Jan!M23</f>
        <v>224306381</v>
      </c>
      <c r="N23" s="20">
        <f t="shared" si="3"/>
        <v>-218535174.2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19">
        <v>3.16713296145E9</v>
      </c>
      <c r="E24" s="19">
        <v>1.859148127E7</v>
      </c>
      <c r="F24" s="19">
        <f t="shared" si="1"/>
        <v>3148541480</v>
      </c>
      <c r="G24" s="19">
        <v>2.99546246234E9</v>
      </c>
      <c r="H24" s="20">
        <v>12809.0</v>
      </c>
      <c r="I24" s="19">
        <v>5.227135533E7</v>
      </c>
      <c r="J24" s="20">
        <v>2482560.97</v>
      </c>
      <c r="K24" s="20">
        <f t="shared" si="2"/>
        <v>49788794.36</v>
      </c>
      <c r="L24" s="20">
        <f>I24+Jan!L24</f>
        <v>89627532.58</v>
      </c>
      <c r="M24" s="20">
        <f>J24+Jan!M24</f>
        <v>3660174.96</v>
      </c>
      <c r="N24" s="20">
        <f t="shared" si="3"/>
        <v>85967357.62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19">
        <v>7.122473442E9</v>
      </c>
      <c r="E25" s="19">
        <v>1.37168464E8</v>
      </c>
      <c r="F25" s="19">
        <f t="shared" si="1"/>
        <v>6985304978</v>
      </c>
      <c r="G25" s="19">
        <v>6.7674883E9</v>
      </c>
      <c r="H25" s="20">
        <v>66521.0</v>
      </c>
      <c r="I25" s="19">
        <v>1.9140044E7</v>
      </c>
      <c r="J25" s="20">
        <v>1.3622711E8</v>
      </c>
      <c r="K25" s="20">
        <f t="shared" si="2"/>
        <v>-117087066</v>
      </c>
      <c r="L25" s="20">
        <f>I25+Jan!L25</f>
        <v>60431878.57</v>
      </c>
      <c r="M25" s="20">
        <f>J25+Jan!M25</f>
        <v>280411203.7</v>
      </c>
      <c r="N25" s="20">
        <f t="shared" si="3"/>
        <v>-219979325.1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19">
        <v>1.1914938358E10</v>
      </c>
      <c r="E26" s="19">
        <v>4.0760632E7</v>
      </c>
      <c r="F26" s="19">
        <f t="shared" si="1"/>
        <v>11874177726</v>
      </c>
      <c r="G26" s="19">
        <v>1.1799711686E10</v>
      </c>
      <c r="H26" s="20">
        <v>57153.0</v>
      </c>
      <c r="I26" s="19">
        <v>4.16475333E8</v>
      </c>
      <c r="J26" s="20">
        <v>1.15686641E8</v>
      </c>
      <c r="K26" s="20">
        <f t="shared" si="2"/>
        <v>300788692</v>
      </c>
      <c r="L26" s="20">
        <f>I26+Jan!L26</f>
        <v>815562393.6</v>
      </c>
      <c r="M26" s="20">
        <f>J26+Jan!M26</f>
        <v>711756159.4</v>
      </c>
      <c r="N26" s="20">
        <f t="shared" si="3"/>
        <v>103806234.2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19">
        <v>5.9229189254E8</v>
      </c>
      <c r="E27" s="19">
        <v>1560024.05</v>
      </c>
      <c r="F27" s="19">
        <f t="shared" si="1"/>
        <v>590731868.5</v>
      </c>
      <c r="G27" s="19">
        <v>5.202632271E8</v>
      </c>
      <c r="H27" s="20">
        <v>1303.0</v>
      </c>
      <c r="I27" s="19">
        <v>263765.73</v>
      </c>
      <c r="J27" s="20">
        <v>314979.52</v>
      </c>
      <c r="K27" s="20">
        <f t="shared" si="2"/>
        <v>-51213.79</v>
      </c>
      <c r="L27" s="20">
        <f>I27+Jan!L27</f>
        <v>561599.59</v>
      </c>
      <c r="M27" s="20">
        <f>J27+Jan!M27</f>
        <v>3921612.18</v>
      </c>
      <c r="N27" s="20">
        <f t="shared" si="3"/>
        <v>-3360012.59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19"/>
      <c r="E28" s="19"/>
      <c r="F28" s="19"/>
      <c r="G28" s="19"/>
      <c r="H28" s="20"/>
      <c r="I28" s="19"/>
      <c r="J28" s="20"/>
      <c r="K28" s="20"/>
      <c r="L28" s="20"/>
      <c r="M28" s="20"/>
      <c r="N28" s="20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110</v>
      </c>
      <c r="D29" s="19">
        <v>1.7671353412E8</v>
      </c>
      <c r="E29" s="19">
        <v>2246958.77</v>
      </c>
      <c r="F29" s="19">
        <f t="shared" ref="F29:F31" si="4">D29-E29</f>
        <v>174466575.4</v>
      </c>
      <c r="G29" s="19">
        <v>1.7137741723E8</v>
      </c>
      <c r="H29" s="20">
        <v>1465.0</v>
      </c>
      <c r="I29" s="38">
        <v>4.959125816E7</v>
      </c>
      <c r="J29" s="39">
        <v>608149.37</v>
      </c>
      <c r="K29" s="20">
        <f t="shared" ref="K29:K31" si="5">I29-J29</f>
        <v>48983108.79</v>
      </c>
      <c r="L29" s="20">
        <f>I29+Jan!L29</f>
        <v>68253577.15</v>
      </c>
      <c r="M29" s="20">
        <f>J29+Jan!M29</f>
        <v>2139677.84</v>
      </c>
      <c r="N29" s="20">
        <f t="shared" ref="N29:N31" si="6">L29-M29</f>
        <v>66113899.31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19">
        <v>3.47821647334E8</v>
      </c>
      <c r="E30" s="19">
        <v>1.0344952399E7</v>
      </c>
      <c r="F30" s="19">
        <f t="shared" si="4"/>
        <v>337476694.9</v>
      </c>
      <c r="G30" s="19">
        <v>3.1460403036E8</v>
      </c>
      <c r="H30" s="20">
        <v>1429.0</v>
      </c>
      <c r="I30" s="19">
        <v>3264446.15</v>
      </c>
      <c r="J30" s="20">
        <v>2521190.79</v>
      </c>
      <c r="K30" s="20">
        <f t="shared" si="5"/>
        <v>743255.36</v>
      </c>
      <c r="L30" s="20">
        <f>I30+Jan!L30</f>
        <v>4622204.48</v>
      </c>
      <c r="M30" s="20">
        <f>J30+Jan!M30</f>
        <v>12063407.47</v>
      </c>
      <c r="N30" s="20">
        <f t="shared" si="6"/>
        <v>-7441202.99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19">
        <v>4.699685112E8</v>
      </c>
      <c r="E31" s="19">
        <v>7064764.44</v>
      </c>
      <c r="F31" s="19">
        <f t="shared" si="4"/>
        <v>462903746.8</v>
      </c>
      <c r="G31" s="19">
        <v>4.582456523E8</v>
      </c>
      <c r="H31" s="20">
        <v>434548.0</v>
      </c>
      <c r="I31" s="19">
        <v>2.517046116E7</v>
      </c>
      <c r="J31" s="20">
        <v>1.736628478E7</v>
      </c>
      <c r="K31" s="20">
        <f t="shared" si="5"/>
        <v>7804176.38</v>
      </c>
      <c r="L31" s="20">
        <f>I31+Jan!L31</f>
        <v>58476496.78</v>
      </c>
      <c r="M31" s="20">
        <f>J31+Jan!M31</f>
        <v>71909731.35</v>
      </c>
      <c r="N31" s="20">
        <f t="shared" si="6"/>
        <v>-13433234.57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19"/>
      <c r="E32" s="19"/>
      <c r="F32" s="19"/>
      <c r="G32" s="19"/>
      <c r="H32" s="20"/>
      <c r="I32" s="19"/>
      <c r="J32" s="20"/>
      <c r="K32" s="20"/>
      <c r="L32" s="20"/>
      <c r="M32" s="20"/>
      <c r="N32" s="2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19">
        <v>2.13656121378E9</v>
      </c>
      <c r="E33" s="19">
        <v>3745023.15</v>
      </c>
      <c r="F33" s="19">
        <f>D33-E33</f>
        <v>2132816191</v>
      </c>
      <c r="G33" s="19">
        <v>2.12973028788E9</v>
      </c>
      <c r="H33" s="20">
        <v>3245.0</v>
      </c>
      <c r="I33" s="19">
        <v>2057862.0</v>
      </c>
      <c r="J33" s="20">
        <v>0.0</v>
      </c>
      <c r="K33" s="20">
        <f>I33-J33</f>
        <v>2057862</v>
      </c>
      <c r="L33" s="20">
        <f>I33+Jan!L33</f>
        <v>3092394</v>
      </c>
      <c r="M33" s="20">
        <f>J33+Jan!M33</f>
        <v>73813261</v>
      </c>
      <c r="N33" s="20">
        <f>L33-M33</f>
        <v>-70720867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26">
        <f t="shared" ref="D34:N34" si="7">SUM(D9:D33)</f>
        <v>68675584847</v>
      </c>
      <c r="E34" s="26">
        <f t="shared" si="7"/>
        <v>870310383.4</v>
      </c>
      <c r="F34" s="26">
        <f t="shared" si="7"/>
        <v>67805274464</v>
      </c>
      <c r="G34" s="26">
        <f t="shared" si="7"/>
        <v>64436560313</v>
      </c>
      <c r="H34" s="27">
        <f t="shared" si="7"/>
        <v>721047</v>
      </c>
      <c r="I34" s="26">
        <f t="shared" si="7"/>
        <v>978238422.5</v>
      </c>
      <c r="J34" s="26">
        <f t="shared" si="7"/>
        <v>645594690.5</v>
      </c>
      <c r="K34" s="26">
        <f t="shared" si="7"/>
        <v>332643732</v>
      </c>
      <c r="L34" s="26">
        <f t="shared" si="7"/>
        <v>1934136382</v>
      </c>
      <c r="M34" s="26">
        <f t="shared" si="7"/>
        <v>2032396662</v>
      </c>
      <c r="N34" s="26">
        <f t="shared" si="7"/>
        <v>-98260279.12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19"/>
      <c r="E35" s="19"/>
      <c r="F35" s="19"/>
      <c r="G35" s="19"/>
      <c r="H35" s="20"/>
      <c r="I35" s="19"/>
      <c r="J35" s="20"/>
      <c r="K35" s="20"/>
      <c r="L35" s="20"/>
      <c r="M35" s="20"/>
      <c r="N35" s="2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19">
        <v>3.600294716E7</v>
      </c>
      <c r="E36" s="19">
        <v>910124.83</v>
      </c>
      <c r="F36" s="19">
        <f t="shared" ref="F36:F37" si="8">D36-E36</f>
        <v>35092822.33</v>
      </c>
      <c r="G36" s="19">
        <v>0.0</v>
      </c>
      <c r="H36" s="20">
        <v>54.0</v>
      </c>
      <c r="I36" s="19">
        <v>67873.86</v>
      </c>
      <c r="J36" s="19">
        <v>0.0</v>
      </c>
      <c r="K36" s="20">
        <f t="shared" ref="K36:K37" si="9">I36-J36</f>
        <v>67873.86</v>
      </c>
      <c r="L36" s="20">
        <f>I36+Jan!L36</f>
        <v>68073.4</v>
      </c>
      <c r="M36" s="20">
        <f>J36+Jan!M36</f>
        <v>0</v>
      </c>
      <c r="N36" s="20">
        <f t="shared" ref="N36:N37" si="10">L36-M36</f>
        <v>68073.4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19">
        <v>1.82796233093E9</v>
      </c>
      <c r="E37" s="19">
        <v>8697686.77</v>
      </c>
      <c r="F37" s="19">
        <f t="shared" si="8"/>
        <v>1819264644</v>
      </c>
      <c r="G37" s="19">
        <v>0.0</v>
      </c>
      <c r="H37" s="20">
        <v>2879.0</v>
      </c>
      <c r="I37" s="19">
        <v>3800635.96</v>
      </c>
      <c r="J37" s="19">
        <v>1.957747808E7</v>
      </c>
      <c r="K37" s="20">
        <f t="shared" si="9"/>
        <v>-15776842.12</v>
      </c>
      <c r="L37" s="20">
        <f>I37+Jan!L37</f>
        <v>16920677.47</v>
      </c>
      <c r="M37" s="20">
        <f>J37+Jan!M37</f>
        <v>49913545.43</v>
      </c>
      <c r="N37" s="20">
        <f t="shared" si="10"/>
        <v>-32992867.96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26">
        <f t="shared" ref="D38:N38" si="11">SUM(D36:D37)</f>
        <v>1863965278</v>
      </c>
      <c r="E38" s="26">
        <f t="shared" si="11"/>
        <v>9607811.6</v>
      </c>
      <c r="F38" s="26">
        <f t="shared" si="11"/>
        <v>1854357466</v>
      </c>
      <c r="G38" s="26">
        <f t="shared" si="11"/>
        <v>0</v>
      </c>
      <c r="H38" s="27">
        <f t="shared" si="11"/>
        <v>2933</v>
      </c>
      <c r="I38" s="26">
        <f t="shared" si="11"/>
        <v>3868509.82</v>
      </c>
      <c r="J38" s="26">
        <f t="shared" si="11"/>
        <v>19577478.08</v>
      </c>
      <c r="K38" s="26">
        <f t="shared" si="11"/>
        <v>-15708968.26</v>
      </c>
      <c r="L38" s="26">
        <f t="shared" si="11"/>
        <v>16988750.87</v>
      </c>
      <c r="M38" s="26">
        <f t="shared" si="11"/>
        <v>49913545.43</v>
      </c>
      <c r="N38" s="26">
        <f t="shared" si="11"/>
        <v>-32924794.56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26">
        <f t="shared" ref="D39:N39" si="12">D34+D38</f>
        <v>70539550125</v>
      </c>
      <c r="E39" s="26">
        <f t="shared" si="12"/>
        <v>879918195</v>
      </c>
      <c r="F39" s="26">
        <f t="shared" si="12"/>
        <v>69659631930</v>
      </c>
      <c r="G39" s="26">
        <f t="shared" si="12"/>
        <v>64436560313</v>
      </c>
      <c r="H39" s="27">
        <f t="shared" si="12"/>
        <v>723980</v>
      </c>
      <c r="I39" s="26">
        <f t="shared" si="12"/>
        <v>982106932.3</v>
      </c>
      <c r="J39" s="26">
        <f t="shared" si="12"/>
        <v>665172168.6</v>
      </c>
      <c r="K39" s="26">
        <f t="shared" si="12"/>
        <v>316934763.7</v>
      </c>
      <c r="L39" s="26">
        <f t="shared" si="12"/>
        <v>1951125133</v>
      </c>
      <c r="M39" s="26">
        <f t="shared" si="12"/>
        <v>2082310207</v>
      </c>
      <c r="N39" s="26">
        <f t="shared" si="12"/>
        <v>-131185073.7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19"/>
      <c r="E40" s="19"/>
      <c r="F40" s="19"/>
      <c r="G40" s="19"/>
      <c r="H40" s="20"/>
      <c r="I40" s="19"/>
      <c r="J40" s="20"/>
      <c r="K40" s="20"/>
      <c r="L40" s="20"/>
      <c r="M40" s="20"/>
      <c r="N40" s="2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19"/>
      <c r="E41" s="19"/>
      <c r="F41" s="19"/>
      <c r="G41" s="19"/>
      <c r="H41" s="20"/>
      <c r="I41" s="19"/>
      <c r="J41" s="20"/>
      <c r="K41" s="20"/>
      <c r="L41" s="20"/>
      <c r="M41" s="20"/>
      <c r="N41" s="2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19">
        <v>1.178249448E8</v>
      </c>
      <c r="E42" s="19">
        <v>2052774.97</v>
      </c>
      <c r="F42" s="19">
        <f t="shared" ref="F42:F51" si="13">D42-E42</f>
        <v>115772169.8</v>
      </c>
      <c r="G42" s="19">
        <v>2.915516928E7</v>
      </c>
      <c r="H42" s="20">
        <v>722.0</v>
      </c>
      <c r="I42" s="19">
        <v>294604.87</v>
      </c>
      <c r="J42" s="20">
        <v>165504.09</v>
      </c>
      <c r="K42" s="20">
        <f t="shared" ref="K42:K51" si="14">I42-J42</f>
        <v>129100.78</v>
      </c>
      <c r="L42" s="20">
        <f>I42+Jan!L42</f>
        <v>612854.55</v>
      </c>
      <c r="M42" s="20">
        <f>J42+Jan!M42</f>
        <v>432191.39</v>
      </c>
      <c r="N42" s="20">
        <f t="shared" ref="N42:N51" si="15">L42-M42</f>
        <v>180663.16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19">
        <v>5.8733468554E8</v>
      </c>
      <c r="E43" s="19">
        <v>1.11200794E7</v>
      </c>
      <c r="F43" s="19">
        <f t="shared" si="13"/>
        <v>576214606.1</v>
      </c>
      <c r="G43" s="19">
        <v>2.3992903532E8</v>
      </c>
      <c r="H43" s="20">
        <v>2429.0</v>
      </c>
      <c r="I43" s="19">
        <v>1058123.5</v>
      </c>
      <c r="J43" s="20">
        <v>1.051880723E7</v>
      </c>
      <c r="K43" s="20">
        <f t="shared" si="14"/>
        <v>-9460683.73</v>
      </c>
      <c r="L43" s="20">
        <f>I43+Jan!L43</f>
        <v>2105538</v>
      </c>
      <c r="M43" s="20">
        <f>J43+Jan!M43</f>
        <v>12448878.86</v>
      </c>
      <c r="N43" s="20">
        <f t="shared" si="15"/>
        <v>-10343340.86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19">
        <v>1.06095756211E9</v>
      </c>
      <c r="E44" s="19">
        <v>6332406.78</v>
      </c>
      <c r="F44" s="19">
        <f t="shared" si="13"/>
        <v>1054625155</v>
      </c>
      <c r="G44" s="19">
        <v>5.5201376012E8</v>
      </c>
      <c r="H44" s="20">
        <v>4688.0</v>
      </c>
      <c r="I44" s="19">
        <v>1163040.71</v>
      </c>
      <c r="J44" s="20">
        <v>4113169.4</v>
      </c>
      <c r="K44" s="20">
        <f t="shared" si="14"/>
        <v>-2950128.69</v>
      </c>
      <c r="L44" s="20">
        <f>I44+Jan!L44</f>
        <v>2498371.55</v>
      </c>
      <c r="M44" s="20">
        <f>J44+Jan!M44</f>
        <v>9249089.08</v>
      </c>
      <c r="N44" s="20">
        <f t="shared" si="15"/>
        <v>-6750717.53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19">
        <v>2.8443674649E8</v>
      </c>
      <c r="E45" s="19">
        <v>1055455.47</v>
      </c>
      <c r="F45" s="19">
        <f t="shared" si="13"/>
        <v>283381291</v>
      </c>
      <c r="G45" s="19">
        <v>1.7929856254E8</v>
      </c>
      <c r="H45" s="20">
        <v>237.0</v>
      </c>
      <c r="I45" s="19">
        <v>4505725.93</v>
      </c>
      <c r="J45" s="20">
        <v>1.649253489E7</v>
      </c>
      <c r="K45" s="20">
        <f t="shared" si="14"/>
        <v>-11986808.96</v>
      </c>
      <c r="L45" s="20">
        <f>I45+Jan!L45</f>
        <v>9110349.27</v>
      </c>
      <c r="M45" s="20">
        <f>J45+Jan!M45</f>
        <v>28338687.26</v>
      </c>
      <c r="N45" s="20">
        <f t="shared" si="15"/>
        <v>-19228337.99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19">
        <v>3.5178492477E8</v>
      </c>
      <c r="E46" s="19">
        <v>4220203.51</v>
      </c>
      <c r="F46" s="19">
        <f t="shared" si="13"/>
        <v>347564721.3</v>
      </c>
      <c r="G46" s="19">
        <v>1.5637282959E8</v>
      </c>
      <c r="H46" s="20">
        <v>55.0</v>
      </c>
      <c r="I46" s="19">
        <v>0.0</v>
      </c>
      <c r="J46" s="20">
        <v>168529.0</v>
      </c>
      <c r="K46" s="20">
        <f t="shared" si="14"/>
        <v>-168529</v>
      </c>
      <c r="L46" s="20">
        <f>I46+Jan!L46</f>
        <v>0</v>
      </c>
      <c r="M46" s="20">
        <f>J46+Jan!M46</f>
        <v>168529</v>
      </c>
      <c r="N46" s="20">
        <f t="shared" si="15"/>
        <v>-168529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19">
        <v>5.64076019E8</v>
      </c>
      <c r="E47" s="19">
        <v>1.8049588E7</v>
      </c>
      <c r="F47" s="19">
        <f t="shared" si="13"/>
        <v>546026431</v>
      </c>
      <c r="G47" s="19">
        <v>3.06332735E8</v>
      </c>
      <c r="H47" s="20">
        <v>10092.0</v>
      </c>
      <c r="I47" s="19">
        <v>300871.0</v>
      </c>
      <c r="J47" s="20">
        <v>1650087.0</v>
      </c>
      <c r="K47" s="20">
        <f t="shared" si="14"/>
        <v>-1349216</v>
      </c>
      <c r="L47" s="20">
        <f>I47+Jan!L47</f>
        <v>1713204.89</v>
      </c>
      <c r="M47" s="20">
        <f>J47+Jan!M47</f>
        <v>5209355.92</v>
      </c>
      <c r="N47" s="20">
        <f t="shared" si="15"/>
        <v>-3496151.03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19">
        <v>2.096410633E9</v>
      </c>
      <c r="E48" s="19">
        <v>5.2703577E7</v>
      </c>
      <c r="F48" s="19">
        <f t="shared" si="13"/>
        <v>2043707056</v>
      </c>
      <c r="G48" s="19">
        <v>1.790795424E9</v>
      </c>
      <c r="H48" s="20">
        <v>8175.0</v>
      </c>
      <c r="I48" s="19">
        <v>1749857.0</v>
      </c>
      <c r="J48" s="20">
        <v>6492626.0</v>
      </c>
      <c r="K48" s="20">
        <f t="shared" si="14"/>
        <v>-4742769</v>
      </c>
      <c r="L48" s="20">
        <f>I48+Jan!L48</f>
        <v>4038703.4</v>
      </c>
      <c r="M48" s="20">
        <f>J48+Jan!M48</f>
        <v>31069435.58</v>
      </c>
      <c r="N48" s="20">
        <f t="shared" si="15"/>
        <v>-27030732.18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19">
        <v>1.36914104E8</v>
      </c>
      <c r="E49" s="19">
        <v>160986.0</v>
      </c>
      <c r="F49" s="19">
        <f t="shared" si="13"/>
        <v>136753118</v>
      </c>
      <c r="G49" s="19">
        <v>8.3431779E7</v>
      </c>
      <c r="H49" s="20">
        <v>196.0</v>
      </c>
      <c r="I49" s="19">
        <v>10000.0</v>
      </c>
      <c r="J49" s="20">
        <v>43771.0</v>
      </c>
      <c r="K49" s="20">
        <f t="shared" si="14"/>
        <v>-33771</v>
      </c>
      <c r="L49" s="20">
        <f>I49+Jan!L49</f>
        <v>21298.64</v>
      </c>
      <c r="M49" s="20">
        <f>J49+Jan!M49</f>
        <v>549385.82</v>
      </c>
      <c r="N49" s="20">
        <f t="shared" si="15"/>
        <v>-528087.18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19">
        <v>7.214953701E9</v>
      </c>
      <c r="E50" s="19">
        <v>4.0277844E7</v>
      </c>
      <c r="F50" s="19">
        <f t="shared" si="13"/>
        <v>7174675857</v>
      </c>
      <c r="G50" s="19">
        <v>3.963500503E9</v>
      </c>
      <c r="H50" s="20">
        <v>53691.0</v>
      </c>
      <c r="I50" s="19">
        <v>7388076.0</v>
      </c>
      <c r="J50" s="20">
        <v>5.3931125E7</v>
      </c>
      <c r="K50" s="20">
        <f t="shared" si="14"/>
        <v>-46543049</v>
      </c>
      <c r="L50" s="20">
        <f>I50+Jan!L50</f>
        <v>16664544.15</v>
      </c>
      <c r="M50" s="20">
        <f>J50+Jan!M50</f>
        <v>124522769.2</v>
      </c>
      <c r="N50" s="20">
        <f t="shared" si="15"/>
        <v>-107858225.1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19">
        <v>1.165671247E9</v>
      </c>
      <c r="E51" s="19">
        <v>1.0912187E7</v>
      </c>
      <c r="F51" s="19">
        <f t="shared" si="13"/>
        <v>1154759060</v>
      </c>
      <c r="G51" s="19">
        <v>6.71160748E8</v>
      </c>
      <c r="H51" s="20">
        <v>4998.0</v>
      </c>
      <c r="I51" s="19">
        <v>0.0</v>
      </c>
      <c r="J51" s="20">
        <v>9387859.0</v>
      </c>
      <c r="K51" s="20">
        <f t="shared" si="14"/>
        <v>-9387859</v>
      </c>
      <c r="L51" s="20">
        <f>I51+Jan!L51</f>
        <v>0</v>
      </c>
      <c r="M51" s="20">
        <f>J51+Jan!M51</f>
        <v>13961430.81</v>
      </c>
      <c r="N51" s="20">
        <f t="shared" si="15"/>
        <v>-13961430.81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19"/>
      <c r="E52" s="19"/>
      <c r="F52" s="19"/>
      <c r="G52" s="19"/>
      <c r="H52" s="20"/>
      <c r="I52" s="19"/>
      <c r="J52" s="20"/>
      <c r="K52" s="20"/>
      <c r="L52" s="20"/>
      <c r="M52" s="20"/>
      <c r="N52" s="2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19">
        <v>7.6254665E7</v>
      </c>
      <c r="E53" s="19">
        <v>336932.0</v>
      </c>
      <c r="F53" s="19">
        <f t="shared" ref="F53:F55" si="16">D53-E53</f>
        <v>75917733</v>
      </c>
      <c r="G53" s="19">
        <v>2.16445E7</v>
      </c>
      <c r="H53" s="20">
        <v>1066.0</v>
      </c>
      <c r="I53" s="19">
        <v>432120.0</v>
      </c>
      <c r="J53" s="20">
        <v>90647.0</v>
      </c>
      <c r="K53" s="20">
        <f t="shared" ref="K53:K55" si="17">I53-J53</f>
        <v>341473</v>
      </c>
      <c r="L53" s="20">
        <f>I53+Jan!L53</f>
        <v>943425.2</v>
      </c>
      <c r="M53" s="20">
        <f>J53+Jan!M53</f>
        <v>171139.55</v>
      </c>
      <c r="N53" s="20">
        <f t="shared" ref="N53:N55" si="18">L53-M53</f>
        <v>772285.65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19">
        <v>5.6064518E7</v>
      </c>
      <c r="E54" s="19">
        <v>348141.0</v>
      </c>
      <c r="F54" s="19">
        <f t="shared" si="16"/>
        <v>55716377</v>
      </c>
      <c r="G54" s="19">
        <v>4.3479171E7</v>
      </c>
      <c r="H54" s="20">
        <v>415.0</v>
      </c>
      <c r="I54" s="19">
        <v>114547.0</v>
      </c>
      <c r="J54" s="20">
        <v>46389.0</v>
      </c>
      <c r="K54" s="20">
        <f t="shared" si="17"/>
        <v>68158</v>
      </c>
      <c r="L54" s="20">
        <f>I54+Jan!L54</f>
        <v>566602</v>
      </c>
      <c r="M54" s="20">
        <f>J54+Jan!M54</f>
        <v>186689.19</v>
      </c>
      <c r="N54" s="20">
        <f t="shared" si="18"/>
        <v>379912.81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19">
        <v>4.6991363E7</v>
      </c>
      <c r="E55" s="19">
        <v>290656.0</v>
      </c>
      <c r="F55" s="19">
        <f t="shared" si="16"/>
        <v>46700707</v>
      </c>
      <c r="G55" s="19">
        <v>3.9341893E7</v>
      </c>
      <c r="H55" s="20">
        <v>194.0</v>
      </c>
      <c r="I55" s="19">
        <v>63937.0</v>
      </c>
      <c r="J55" s="20">
        <v>0.0</v>
      </c>
      <c r="K55" s="20">
        <f t="shared" si="17"/>
        <v>63937</v>
      </c>
      <c r="L55" s="20">
        <f>I55+Jan!L55</f>
        <v>133415</v>
      </c>
      <c r="M55" s="20">
        <f>J55+Jan!M55</f>
        <v>91381.96</v>
      </c>
      <c r="N55" s="20">
        <f t="shared" si="18"/>
        <v>42033.04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26">
        <f t="shared" ref="D56:N56" si="19">SUM(D42:D55)</f>
        <v>13759675114</v>
      </c>
      <c r="E56" s="26">
        <f t="shared" si="19"/>
        <v>147860831.1</v>
      </c>
      <c r="F56" s="26">
        <f t="shared" si="19"/>
        <v>13611814283</v>
      </c>
      <c r="G56" s="26">
        <f t="shared" si="19"/>
        <v>8076456110</v>
      </c>
      <c r="H56" s="27">
        <f t="shared" si="19"/>
        <v>86958</v>
      </c>
      <c r="I56" s="26">
        <f t="shared" si="19"/>
        <v>17080903.01</v>
      </c>
      <c r="J56" s="26">
        <f t="shared" si="19"/>
        <v>103101048.6</v>
      </c>
      <c r="K56" s="26">
        <f t="shared" si="19"/>
        <v>-86020145.6</v>
      </c>
      <c r="L56" s="26">
        <f t="shared" si="19"/>
        <v>38408306.65</v>
      </c>
      <c r="M56" s="26">
        <f t="shared" si="19"/>
        <v>226398963.7</v>
      </c>
      <c r="N56" s="26">
        <f t="shared" si="19"/>
        <v>-187990657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19"/>
      <c r="E57" s="19"/>
      <c r="F57" s="19"/>
      <c r="G57" s="19"/>
      <c r="H57" s="20"/>
      <c r="I57" s="19"/>
      <c r="J57" s="20"/>
      <c r="K57" s="20"/>
      <c r="L57" s="20"/>
      <c r="M57" s="20"/>
      <c r="N57" s="2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108</v>
      </c>
      <c r="D58" s="19">
        <v>7.109382076E7</v>
      </c>
      <c r="E58" s="19">
        <v>346255.14</v>
      </c>
      <c r="F58" s="19">
        <f t="shared" ref="F58:F61" si="20">D58-E58</f>
        <v>70747565.62</v>
      </c>
      <c r="G58" s="19">
        <v>0.0</v>
      </c>
      <c r="H58" s="20">
        <v>52.0</v>
      </c>
      <c r="I58" s="19">
        <v>0.0</v>
      </c>
      <c r="J58" s="19">
        <v>57147.59</v>
      </c>
      <c r="K58" s="20">
        <f t="shared" ref="K58:K61" si="21">I58-J58</f>
        <v>-57147.59</v>
      </c>
      <c r="L58" s="20">
        <f>I58+Jan!L58</f>
        <v>0</v>
      </c>
      <c r="M58" s="20">
        <f>J58+Jan!M58</f>
        <v>106625.7492</v>
      </c>
      <c r="N58" s="20">
        <f t="shared" ref="N58:N61" si="22">L58-M58</f>
        <v>-106625.7492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19">
        <v>3.48260441E8</v>
      </c>
      <c r="E59" s="19">
        <v>2.3496914E7</v>
      </c>
      <c r="F59" s="19">
        <f t="shared" si="20"/>
        <v>324763527</v>
      </c>
      <c r="G59" s="19">
        <v>1.74989281E8</v>
      </c>
      <c r="H59" s="20">
        <v>261.0</v>
      </c>
      <c r="I59" s="19">
        <v>0.0</v>
      </c>
      <c r="J59" s="19">
        <v>379026.0</v>
      </c>
      <c r="K59" s="20">
        <f t="shared" si="21"/>
        <v>-379026</v>
      </c>
      <c r="L59" s="20">
        <f>I59+Jan!L59</f>
        <v>5365.648</v>
      </c>
      <c r="M59" s="20">
        <f>J59+Jan!M59</f>
        <v>3335522.09</v>
      </c>
      <c r="N59" s="20">
        <f t="shared" si="22"/>
        <v>-3330156.442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19">
        <v>1.53832813942E9</v>
      </c>
      <c r="E60" s="19">
        <v>4112839.36</v>
      </c>
      <c r="F60" s="19">
        <f t="shared" si="20"/>
        <v>1534215300</v>
      </c>
      <c r="G60" s="19">
        <v>0.0</v>
      </c>
      <c r="H60" s="20">
        <v>4140.0</v>
      </c>
      <c r="I60" s="19">
        <v>1427065.83</v>
      </c>
      <c r="J60" s="19">
        <v>1.004683634E7</v>
      </c>
      <c r="K60" s="20">
        <f t="shared" si="21"/>
        <v>-8619770.51</v>
      </c>
      <c r="L60" s="20">
        <f>I60+Jan!L60</f>
        <v>2319905.286</v>
      </c>
      <c r="M60" s="20">
        <f>J60+Jan!M60</f>
        <v>12389784.24</v>
      </c>
      <c r="N60" s="20">
        <f t="shared" si="22"/>
        <v>-10069878.95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19">
        <v>2.6439595203E8</v>
      </c>
      <c r="E61" s="19">
        <v>893040.03</v>
      </c>
      <c r="F61" s="19">
        <f t="shared" si="20"/>
        <v>263502912</v>
      </c>
      <c r="G61" s="19">
        <v>0.0</v>
      </c>
      <c r="H61" s="20">
        <v>716.0</v>
      </c>
      <c r="I61" s="19">
        <v>580965.0</v>
      </c>
      <c r="J61" s="19">
        <v>1447451.61</v>
      </c>
      <c r="K61" s="20">
        <f t="shared" si="21"/>
        <v>-866486.61</v>
      </c>
      <c r="L61" s="20">
        <f>I61+Jan!L61</f>
        <v>645309.064</v>
      </c>
      <c r="M61" s="20">
        <f>J61+Jan!M61</f>
        <v>30628724.42</v>
      </c>
      <c r="N61" s="20">
        <f t="shared" si="22"/>
        <v>-29983415.35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26">
        <f t="shared" ref="D62:N62" si="23">SUM(D58:D61)</f>
        <v>2222078353</v>
      </c>
      <c r="E62" s="26">
        <f t="shared" si="23"/>
        <v>28849048.53</v>
      </c>
      <c r="F62" s="26">
        <f t="shared" si="23"/>
        <v>2193229305</v>
      </c>
      <c r="G62" s="26">
        <f t="shared" si="23"/>
        <v>174989281</v>
      </c>
      <c r="H62" s="27">
        <f t="shared" si="23"/>
        <v>5169</v>
      </c>
      <c r="I62" s="26">
        <f t="shared" si="23"/>
        <v>2008030.83</v>
      </c>
      <c r="J62" s="26">
        <f t="shared" si="23"/>
        <v>11930461.54</v>
      </c>
      <c r="K62" s="26">
        <f t="shared" si="23"/>
        <v>-9922430.71</v>
      </c>
      <c r="L62" s="26">
        <f t="shared" si="23"/>
        <v>2970579.998</v>
      </c>
      <c r="M62" s="26">
        <f t="shared" si="23"/>
        <v>46460656.5</v>
      </c>
      <c r="N62" s="26">
        <f t="shared" si="23"/>
        <v>-43490076.5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26">
        <f t="shared" ref="D63:N63" si="24">D56+D62</f>
        <v>15981753467</v>
      </c>
      <c r="E63" s="26">
        <f t="shared" si="24"/>
        <v>176709879.7</v>
      </c>
      <c r="F63" s="26">
        <f t="shared" si="24"/>
        <v>15805043587</v>
      </c>
      <c r="G63" s="26">
        <f t="shared" si="24"/>
        <v>8251445391</v>
      </c>
      <c r="H63" s="27">
        <f t="shared" si="24"/>
        <v>92127</v>
      </c>
      <c r="I63" s="26">
        <f t="shared" si="24"/>
        <v>19088933.84</v>
      </c>
      <c r="J63" s="26">
        <f t="shared" si="24"/>
        <v>115031510.2</v>
      </c>
      <c r="K63" s="26">
        <f t="shared" si="24"/>
        <v>-95942576.31</v>
      </c>
      <c r="L63" s="26">
        <f t="shared" si="24"/>
        <v>41378886.65</v>
      </c>
      <c r="M63" s="26">
        <f t="shared" si="24"/>
        <v>272859620.1</v>
      </c>
      <c r="N63" s="26">
        <f t="shared" si="24"/>
        <v>-231480733.5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19"/>
      <c r="E64" s="19"/>
      <c r="F64" s="19"/>
      <c r="G64" s="19"/>
      <c r="H64" s="20"/>
      <c r="I64" s="19"/>
      <c r="J64" s="20"/>
      <c r="K64" s="20"/>
      <c r="L64" s="20"/>
      <c r="M64" s="20"/>
      <c r="N64" s="2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19"/>
      <c r="E65" s="19"/>
      <c r="F65" s="19"/>
      <c r="G65" s="19"/>
      <c r="H65" s="20"/>
      <c r="I65" s="19"/>
      <c r="J65" s="20"/>
      <c r="K65" s="20"/>
      <c r="L65" s="20"/>
      <c r="M65" s="20"/>
      <c r="N65" s="2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19">
        <v>3.9557541588E10</v>
      </c>
      <c r="E66" s="19">
        <v>2.49478809E8</v>
      </c>
      <c r="F66" s="19">
        <f t="shared" ref="F66:F76" si="25">D66-E66</f>
        <v>39308062779</v>
      </c>
      <c r="G66" s="19">
        <v>9.285364E8</v>
      </c>
      <c r="H66" s="20">
        <v>24899.0</v>
      </c>
      <c r="I66" s="19">
        <v>2.42673218E8</v>
      </c>
      <c r="J66" s="20">
        <v>5.52573883E8</v>
      </c>
      <c r="K66" s="20">
        <f t="shared" ref="K66:K76" si="26">I66-J66</f>
        <v>-309900665</v>
      </c>
      <c r="L66" s="20">
        <f>I66+Jan!L66</f>
        <v>545348471.4</v>
      </c>
      <c r="M66" s="20">
        <f>J66+Jan!M66</f>
        <v>1245798056</v>
      </c>
      <c r="N66" s="20">
        <f t="shared" ref="N66:N76" si="27">L66-M66</f>
        <v>-700449585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19">
        <v>4.719528861E8</v>
      </c>
      <c r="E67" s="19">
        <v>4094797.92</v>
      </c>
      <c r="F67" s="19">
        <f t="shared" si="25"/>
        <v>467858088.2</v>
      </c>
      <c r="G67" s="19">
        <v>0.0</v>
      </c>
      <c r="H67" s="20">
        <v>1087.0</v>
      </c>
      <c r="I67" s="19">
        <v>8935649.53</v>
      </c>
      <c r="J67" s="20">
        <v>4390251.95</v>
      </c>
      <c r="K67" s="20">
        <f t="shared" si="26"/>
        <v>4545397.58</v>
      </c>
      <c r="L67" s="20">
        <f>I67+Jan!L67</f>
        <v>18190172.36</v>
      </c>
      <c r="M67" s="20">
        <f>J67+Jan!M67</f>
        <v>16330650.59</v>
      </c>
      <c r="N67" s="20">
        <f t="shared" si="27"/>
        <v>1859521.77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19">
        <v>1.02240055607E9</v>
      </c>
      <c r="E68" s="19">
        <v>1.372878864E7</v>
      </c>
      <c r="F68" s="19">
        <f t="shared" si="25"/>
        <v>1008671767</v>
      </c>
      <c r="G68" s="19">
        <v>0.0</v>
      </c>
      <c r="H68" s="20">
        <v>1977.0</v>
      </c>
      <c r="I68" s="19">
        <v>8811746.71</v>
      </c>
      <c r="J68" s="20">
        <v>1727581.8</v>
      </c>
      <c r="K68" s="20">
        <f t="shared" si="26"/>
        <v>7084164.91</v>
      </c>
      <c r="L68" s="20">
        <f>I68+Jan!L68</f>
        <v>10308098.61</v>
      </c>
      <c r="M68" s="20">
        <f>J68+Jan!M68</f>
        <v>5261937.43</v>
      </c>
      <c r="N68" s="20">
        <f t="shared" si="27"/>
        <v>5046161.18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19">
        <v>1.97146258E8</v>
      </c>
      <c r="E69" s="19">
        <v>162819.0</v>
      </c>
      <c r="F69" s="19">
        <f t="shared" si="25"/>
        <v>196983439</v>
      </c>
      <c r="G69" s="19">
        <v>4925000.0</v>
      </c>
      <c r="H69" s="20">
        <v>188.0</v>
      </c>
      <c r="I69" s="19">
        <v>654486.0</v>
      </c>
      <c r="J69" s="20">
        <v>269367.0</v>
      </c>
      <c r="K69" s="20">
        <f t="shared" si="26"/>
        <v>385119</v>
      </c>
      <c r="L69" s="20">
        <f>I69+Jan!L69</f>
        <v>1231463.99</v>
      </c>
      <c r="M69" s="20">
        <f>J69+Jan!M69</f>
        <v>334471.65</v>
      </c>
      <c r="N69" s="20">
        <f t="shared" si="27"/>
        <v>896992.34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19">
        <v>1.35053398937E9</v>
      </c>
      <c r="E70" s="19">
        <v>3855272.77</v>
      </c>
      <c r="F70" s="19">
        <f t="shared" si="25"/>
        <v>1346678717</v>
      </c>
      <c r="G70" s="19">
        <v>0.0</v>
      </c>
      <c r="H70" s="20">
        <v>1819.0</v>
      </c>
      <c r="I70" s="19">
        <v>6.014706817E7</v>
      </c>
      <c r="J70" s="20">
        <v>7860566.49</v>
      </c>
      <c r="K70" s="20">
        <f t="shared" si="26"/>
        <v>52286501.68</v>
      </c>
      <c r="L70" s="20">
        <f>I70+Jan!L70</f>
        <v>61283595.13</v>
      </c>
      <c r="M70" s="20">
        <f>J70+Jan!M70</f>
        <v>11118756.67</v>
      </c>
      <c r="N70" s="20">
        <f t="shared" si="27"/>
        <v>50164838.46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19">
        <v>7.62866999E8</v>
      </c>
      <c r="E71" s="19">
        <v>3.693639E7</v>
      </c>
      <c r="F71" s="19">
        <f t="shared" si="25"/>
        <v>725930609</v>
      </c>
      <c r="G71" s="19">
        <v>0.0</v>
      </c>
      <c r="H71" s="20">
        <v>504.0</v>
      </c>
      <c r="I71" s="19">
        <v>1589421.0</v>
      </c>
      <c r="J71" s="20">
        <v>1.00348887E8</v>
      </c>
      <c r="K71" s="20">
        <f t="shared" si="26"/>
        <v>-98759466</v>
      </c>
      <c r="L71" s="20">
        <f>I71+Jan!L71</f>
        <v>5424427.75</v>
      </c>
      <c r="M71" s="20">
        <f>J71+Jan!M71</f>
        <v>101342915.3</v>
      </c>
      <c r="N71" s="20">
        <f t="shared" si="27"/>
        <v>-95918487.57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19">
        <v>1.731138338E9</v>
      </c>
      <c r="E72" s="19">
        <v>2.5064687E7</v>
      </c>
      <c r="F72" s="19">
        <f t="shared" si="25"/>
        <v>1706073651</v>
      </c>
      <c r="G72" s="19">
        <v>0.0</v>
      </c>
      <c r="H72" s="20">
        <v>5021.0</v>
      </c>
      <c r="I72" s="19">
        <v>3956151.0</v>
      </c>
      <c r="J72" s="20">
        <v>1.0358312E7</v>
      </c>
      <c r="K72" s="20">
        <f t="shared" si="26"/>
        <v>-6402161</v>
      </c>
      <c r="L72" s="20">
        <f>I72+Jan!L72</f>
        <v>7288212.41</v>
      </c>
      <c r="M72" s="20">
        <f>J72+Jan!M72</f>
        <v>13657141</v>
      </c>
      <c r="N72" s="20">
        <f t="shared" si="27"/>
        <v>-6368928.59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19">
        <v>3.08492864604344E8</v>
      </c>
      <c r="E73" s="19">
        <v>785011.876300101</v>
      </c>
      <c r="F73" s="19">
        <f t="shared" si="25"/>
        <v>307707852.7</v>
      </c>
      <c r="G73" s="19">
        <v>0.0</v>
      </c>
      <c r="H73" s="20">
        <v>4155.0</v>
      </c>
      <c r="I73" s="19">
        <v>1787242.83</v>
      </c>
      <c r="J73" s="20">
        <v>1988795.55</v>
      </c>
      <c r="K73" s="20">
        <f t="shared" si="26"/>
        <v>-201552.72</v>
      </c>
      <c r="L73" s="20">
        <f>I73+Jan!L73</f>
        <v>2394611.01</v>
      </c>
      <c r="M73" s="20">
        <f>J73+Jan!M73</f>
        <v>3688147.75</v>
      </c>
      <c r="N73" s="20">
        <f t="shared" si="27"/>
        <v>-1293536.74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19">
        <v>1.31051214895E9</v>
      </c>
      <c r="E74" s="19">
        <v>2707380.53</v>
      </c>
      <c r="F74" s="19">
        <f t="shared" si="25"/>
        <v>1307804768</v>
      </c>
      <c r="G74" s="19">
        <v>0.0</v>
      </c>
      <c r="H74" s="20">
        <v>826.0</v>
      </c>
      <c r="I74" s="19">
        <v>5.18503941E7</v>
      </c>
      <c r="J74" s="20">
        <v>2615076.64</v>
      </c>
      <c r="K74" s="20">
        <f t="shared" si="26"/>
        <v>49235317.46</v>
      </c>
      <c r="L74" s="20">
        <f>I74+Jan!L74</f>
        <v>76927308.02</v>
      </c>
      <c r="M74" s="20">
        <f>J74+Jan!M74</f>
        <v>2701453.83</v>
      </c>
      <c r="N74" s="20">
        <f t="shared" si="27"/>
        <v>74225854.19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19">
        <v>4.929364845E9</v>
      </c>
      <c r="E75" s="19">
        <v>1.07367033E8</v>
      </c>
      <c r="F75" s="19">
        <f t="shared" si="25"/>
        <v>4821997812</v>
      </c>
      <c r="G75" s="19">
        <v>0.0</v>
      </c>
      <c r="H75" s="20">
        <v>16766.0</v>
      </c>
      <c r="I75" s="19">
        <v>3.00277807E8</v>
      </c>
      <c r="J75" s="20">
        <v>1.33438808E8</v>
      </c>
      <c r="K75" s="20">
        <f t="shared" si="26"/>
        <v>166838999</v>
      </c>
      <c r="L75" s="20">
        <f>I75+Jan!L75</f>
        <v>462574371</v>
      </c>
      <c r="M75" s="20">
        <f>J75+Jan!M75</f>
        <v>183015173</v>
      </c>
      <c r="N75" s="20">
        <f t="shared" si="27"/>
        <v>279559198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19">
        <v>1.39753544E8</v>
      </c>
      <c r="E76" s="19">
        <v>476194.0</v>
      </c>
      <c r="F76" s="19">
        <f t="shared" si="25"/>
        <v>139277350</v>
      </c>
      <c r="G76" s="19">
        <v>0.0</v>
      </c>
      <c r="H76" s="20">
        <v>2655.0</v>
      </c>
      <c r="I76" s="19">
        <v>472411.0</v>
      </c>
      <c r="J76" s="20">
        <v>1014697.0</v>
      </c>
      <c r="K76" s="20">
        <f t="shared" si="26"/>
        <v>-542286</v>
      </c>
      <c r="L76" s="20">
        <f>I76+Jan!L76</f>
        <v>994219.44</v>
      </c>
      <c r="M76" s="20">
        <f>J76+Jan!M76</f>
        <v>1538468.71</v>
      </c>
      <c r="N76" s="20">
        <f t="shared" si="27"/>
        <v>-544249.27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26">
        <f t="shared" ref="D77:N77" si="28">SUM(D66:D76)</f>
        <v>51781704017</v>
      </c>
      <c r="E77" s="26">
        <f t="shared" si="28"/>
        <v>444657183.7</v>
      </c>
      <c r="F77" s="26">
        <f t="shared" si="28"/>
        <v>51337046833</v>
      </c>
      <c r="G77" s="26">
        <f t="shared" si="28"/>
        <v>933461400</v>
      </c>
      <c r="H77" s="27">
        <f t="shared" si="28"/>
        <v>59897</v>
      </c>
      <c r="I77" s="26">
        <f t="shared" si="28"/>
        <v>681155595.3</v>
      </c>
      <c r="J77" s="26">
        <f t="shared" si="28"/>
        <v>816586226.4</v>
      </c>
      <c r="K77" s="26">
        <f t="shared" si="28"/>
        <v>-135430631.1</v>
      </c>
      <c r="L77" s="26">
        <f t="shared" si="28"/>
        <v>1191964951</v>
      </c>
      <c r="M77" s="26">
        <f t="shared" si="28"/>
        <v>1584787172</v>
      </c>
      <c r="N77" s="26">
        <f t="shared" si="28"/>
        <v>-392822221.2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19"/>
      <c r="E78" s="19"/>
      <c r="F78" s="19"/>
      <c r="G78" s="19"/>
      <c r="H78" s="20"/>
      <c r="I78" s="19"/>
      <c r="J78" s="20"/>
      <c r="K78" s="20"/>
      <c r="L78" s="20"/>
      <c r="M78" s="20"/>
      <c r="N78" s="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19">
        <v>1.3761133166E10</v>
      </c>
      <c r="E79" s="19">
        <v>1.19318293E8</v>
      </c>
      <c r="F79" s="19">
        <f t="shared" ref="F79:F85" si="29">D79-E79</f>
        <v>13641814873</v>
      </c>
      <c r="G79" s="19">
        <v>0.0</v>
      </c>
      <c r="H79" s="20">
        <v>8684.0</v>
      </c>
      <c r="I79" s="19">
        <v>5.1611027E7</v>
      </c>
      <c r="J79" s="20">
        <v>1.37086523E8</v>
      </c>
      <c r="K79" s="20">
        <f t="shared" ref="K79:K85" si="30">I79-J79</f>
        <v>-85475496</v>
      </c>
      <c r="L79" s="20">
        <f>I79+Jan!L79</f>
        <v>105210235.5</v>
      </c>
      <c r="M79" s="20">
        <f>J79+Jan!M79</f>
        <v>238716961.8</v>
      </c>
      <c r="N79" s="20">
        <f t="shared" ref="N79:N85" si="31">L79-M79</f>
        <v>-133506726.3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19">
        <v>2.607355494E8</v>
      </c>
      <c r="E80" s="19">
        <v>3215448.73</v>
      </c>
      <c r="F80" s="19">
        <f t="shared" si="29"/>
        <v>257520100.7</v>
      </c>
      <c r="G80" s="19">
        <v>0.0</v>
      </c>
      <c r="H80" s="20">
        <v>178.0</v>
      </c>
      <c r="I80" s="19">
        <v>982824.58</v>
      </c>
      <c r="J80" s="20">
        <v>1635325.73</v>
      </c>
      <c r="K80" s="20">
        <f t="shared" si="30"/>
        <v>-652501.15</v>
      </c>
      <c r="L80" s="20">
        <f>I80+Jan!L80</f>
        <v>982824.58</v>
      </c>
      <c r="M80" s="20">
        <f>J80+Jan!M80</f>
        <v>2150501.16</v>
      </c>
      <c r="N80" s="20">
        <f t="shared" si="31"/>
        <v>-1167676.58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19">
        <v>4.3658613057E8</v>
      </c>
      <c r="E81" s="19">
        <v>3062843.05</v>
      </c>
      <c r="F81" s="19">
        <f t="shared" si="29"/>
        <v>433523287.5</v>
      </c>
      <c r="G81" s="19">
        <v>0.0</v>
      </c>
      <c r="H81" s="20">
        <v>154.0</v>
      </c>
      <c r="I81" s="19">
        <v>4453005.21</v>
      </c>
      <c r="J81" s="20">
        <v>49640.08</v>
      </c>
      <c r="K81" s="20">
        <f t="shared" si="30"/>
        <v>4403365.13</v>
      </c>
      <c r="L81" s="20">
        <f>I81+Jan!L81</f>
        <v>5859293.46</v>
      </c>
      <c r="M81" s="20">
        <f>J81+Jan!M81</f>
        <v>5061322.96</v>
      </c>
      <c r="N81" s="20">
        <f t="shared" si="31"/>
        <v>797970.5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109</v>
      </c>
      <c r="D82" s="19">
        <v>6.3460767E7</v>
      </c>
      <c r="E82" s="19">
        <v>1.3746483E7</v>
      </c>
      <c r="F82" s="19">
        <f t="shared" si="29"/>
        <v>49714284</v>
      </c>
      <c r="G82" s="19">
        <v>0.0</v>
      </c>
      <c r="H82" s="20">
        <v>27.0</v>
      </c>
      <c r="I82" s="19">
        <v>0.0</v>
      </c>
      <c r="J82" s="20">
        <v>0.0</v>
      </c>
      <c r="K82" s="20">
        <f t="shared" si="30"/>
        <v>0</v>
      </c>
      <c r="L82" s="20">
        <f>I82+Jan!L82</f>
        <v>0</v>
      </c>
      <c r="M82" s="20">
        <f>J82+Jan!M82</f>
        <v>0</v>
      </c>
      <c r="N82" s="20">
        <f t="shared" si="31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19">
        <v>2.007898828E9</v>
      </c>
      <c r="E83" s="19">
        <v>2.3177564E7</v>
      </c>
      <c r="F83" s="19">
        <f t="shared" si="29"/>
        <v>1984721264</v>
      </c>
      <c r="G83" s="19">
        <v>0.0</v>
      </c>
      <c r="H83" s="20">
        <v>1912.0</v>
      </c>
      <c r="I83" s="19">
        <v>21884.0</v>
      </c>
      <c r="J83" s="20">
        <v>3700611.0</v>
      </c>
      <c r="K83" s="20">
        <f t="shared" si="30"/>
        <v>-3678727</v>
      </c>
      <c r="L83" s="20">
        <f>I83+Jan!L83</f>
        <v>97837.9712</v>
      </c>
      <c r="M83" s="20">
        <f>J83+Jan!M83</f>
        <v>18324219.64</v>
      </c>
      <c r="N83" s="20">
        <f t="shared" si="31"/>
        <v>-18226381.67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19">
        <v>2.341850426625338E8</v>
      </c>
      <c r="E84" s="19">
        <v>1445677.4121068083</v>
      </c>
      <c r="F84" s="19">
        <f t="shared" si="29"/>
        <v>232739365.3</v>
      </c>
      <c r="G84" s="19">
        <v>0.0</v>
      </c>
      <c r="H84" s="20">
        <v>123.0</v>
      </c>
      <c r="I84" s="19">
        <v>5533.0</v>
      </c>
      <c r="J84" s="20">
        <v>0.0</v>
      </c>
      <c r="K84" s="20">
        <f t="shared" si="30"/>
        <v>5533</v>
      </c>
      <c r="L84" s="20">
        <f>I84+Jan!L84</f>
        <v>180381</v>
      </c>
      <c r="M84" s="20">
        <f>J84+Jan!M84</f>
        <v>0</v>
      </c>
      <c r="N84" s="20">
        <f t="shared" si="31"/>
        <v>180381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19">
        <v>5.2785099361E8</v>
      </c>
      <c r="E85" s="19">
        <v>2875234.52</v>
      </c>
      <c r="F85" s="19">
        <f t="shared" si="29"/>
        <v>524975759.1</v>
      </c>
      <c r="G85" s="19">
        <v>0.0</v>
      </c>
      <c r="H85" s="20">
        <v>2532.0</v>
      </c>
      <c r="I85" s="19">
        <v>2207211.63</v>
      </c>
      <c r="J85" s="20">
        <v>2118507.13</v>
      </c>
      <c r="K85" s="20">
        <f t="shared" si="30"/>
        <v>88704.5</v>
      </c>
      <c r="L85" s="20">
        <f>I85+Jan!L85</f>
        <v>94089877.16</v>
      </c>
      <c r="M85" s="20">
        <f>J85+Jan!M85</f>
        <v>7993169.896</v>
      </c>
      <c r="N85" s="20">
        <f t="shared" si="31"/>
        <v>86096707.26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26">
        <f t="shared" ref="D86:N86" si="32">SUM(D79:D85)</f>
        <v>17291850477</v>
      </c>
      <c r="E86" s="26">
        <f t="shared" si="32"/>
        <v>166841543.7</v>
      </c>
      <c r="F86" s="26">
        <f t="shared" si="32"/>
        <v>17125008934</v>
      </c>
      <c r="G86" s="26">
        <f t="shared" si="32"/>
        <v>0</v>
      </c>
      <c r="H86" s="27">
        <f t="shared" si="32"/>
        <v>13610</v>
      </c>
      <c r="I86" s="26">
        <f t="shared" si="32"/>
        <v>59281485.42</v>
      </c>
      <c r="J86" s="26">
        <f t="shared" si="32"/>
        <v>144590606.9</v>
      </c>
      <c r="K86" s="26">
        <f t="shared" si="32"/>
        <v>-85309121.52</v>
      </c>
      <c r="L86" s="26">
        <f t="shared" si="32"/>
        <v>206420449.7</v>
      </c>
      <c r="M86" s="26">
        <f t="shared" si="32"/>
        <v>272246175.4</v>
      </c>
      <c r="N86" s="26">
        <f t="shared" si="32"/>
        <v>-65825725.74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19">
        <v>9.21604036E8</v>
      </c>
      <c r="E87" s="19">
        <v>7077020.0</v>
      </c>
      <c r="F87" s="19">
        <f>D87-E87</f>
        <v>914527016</v>
      </c>
      <c r="G87" s="19">
        <v>0.0</v>
      </c>
      <c r="H87" s="20">
        <v>655.0</v>
      </c>
      <c r="I87" s="19">
        <v>8706183.0</v>
      </c>
      <c r="J87" s="20">
        <v>3045328.0</v>
      </c>
      <c r="K87" s="20">
        <f>I87-J87</f>
        <v>5660855</v>
      </c>
      <c r="L87" s="20">
        <f>I87+Jan!L87</f>
        <v>15298867.36</v>
      </c>
      <c r="M87" s="20">
        <f>J87+Jan!M87</f>
        <v>4224827.203</v>
      </c>
      <c r="N87" s="20">
        <f>L87-M87</f>
        <v>11074040.15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26">
        <f t="shared" ref="D88:N88" si="33">SUM(D87)</f>
        <v>921604036</v>
      </c>
      <c r="E88" s="26">
        <f t="shared" si="33"/>
        <v>7077020</v>
      </c>
      <c r="F88" s="26">
        <f t="shared" si="33"/>
        <v>914527016</v>
      </c>
      <c r="G88" s="26">
        <f t="shared" si="33"/>
        <v>0</v>
      </c>
      <c r="H88" s="27">
        <f t="shared" si="33"/>
        <v>655</v>
      </c>
      <c r="I88" s="26">
        <f t="shared" si="33"/>
        <v>8706183</v>
      </c>
      <c r="J88" s="26">
        <f t="shared" si="33"/>
        <v>3045328</v>
      </c>
      <c r="K88" s="26">
        <f t="shared" si="33"/>
        <v>5660855</v>
      </c>
      <c r="L88" s="26">
        <f t="shared" si="33"/>
        <v>15298867.36</v>
      </c>
      <c r="M88" s="26">
        <f t="shared" si="33"/>
        <v>4224827.203</v>
      </c>
      <c r="N88" s="26">
        <f t="shared" si="33"/>
        <v>11074040.15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26">
        <f t="shared" ref="D89:N89" si="34">D77+D86+D88</f>
        <v>69995158530</v>
      </c>
      <c r="E89" s="26">
        <f t="shared" si="34"/>
        <v>618575747.4</v>
      </c>
      <c r="F89" s="26">
        <f t="shared" si="34"/>
        <v>69376582783</v>
      </c>
      <c r="G89" s="26">
        <f t="shared" si="34"/>
        <v>933461400</v>
      </c>
      <c r="H89" s="27">
        <f t="shared" si="34"/>
        <v>74162</v>
      </c>
      <c r="I89" s="26">
        <f t="shared" si="34"/>
        <v>749143263.8</v>
      </c>
      <c r="J89" s="26">
        <f t="shared" si="34"/>
        <v>964222161.4</v>
      </c>
      <c r="K89" s="26">
        <f t="shared" si="34"/>
        <v>-215078897.6</v>
      </c>
      <c r="L89" s="26">
        <f t="shared" si="34"/>
        <v>1413684268</v>
      </c>
      <c r="M89" s="26">
        <f t="shared" si="34"/>
        <v>1861258175</v>
      </c>
      <c r="N89" s="26">
        <f t="shared" si="34"/>
        <v>-447573906.8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19"/>
      <c r="E90" s="19"/>
      <c r="F90" s="19"/>
      <c r="G90" s="19"/>
      <c r="H90" s="20"/>
      <c r="I90" s="19"/>
      <c r="J90" s="20"/>
      <c r="K90" s="20"/>
      <c r="L90" s="20"/>
      <c r="M90" s="20"/>
      <c r="N90" s="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19"/>
      <c r="E91" s="19"/>
      <c r="F91" s="19"/>
      <c r="G91" s="19"/>
      <c r="H91" s="20"/>
      <c r="I91" s="19"/>
      <c r="J91" s="20"/>
      <c r="K91" s="20"/>
      <c r="L91" s="20"/>
      <c r="M91" s="20"/>
      <c r="N91" s="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19">
        <v>3.9244415346E10</v>
      </c>
      <c r="E92" s="19">
        <v>2.2048133E7</v>
      </c>
      <c r="F92" s="19">
        <f t="shared" ref="F92:F94" si="35">D92-E92</f>
        <v>39222367213</v>
      </c>
      <c r="G92" s="19">
        <v>0.0</v>
      </c>
      <c r="H92" s="20">
        <v>30173.0</v>
      </c>
      <c r="I92" s="19">
        <v>2.124597522E9</v>
      </c>
      <c r="J92" s="20">
        <v>1.956896351E9</v>
      </c>
      <c r="K92" s="20">
        <f t="shared" ref="K92:K94" si="36">I92-J92</f>
        <v>167701171</v>
      </c>
      <c r="L92" s="20">
        <f>I92+Jan!L92</f>
        <v>5150643653</v>
      </c>
      <c r="M92" s="20">
        <f>J92+Jan!M92</f>
        <v>4743969917</v>
      </c>
      <c r="N92" s="20">
        <f t="shared" ref="N92:N94" si="37">L92-M92</f>
        <v>406673736.4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19">
        <v>2.67148005947E9</v>
      </c>
      <c r="E93" s="19">
        <v>7.789493064E7</v>
      </c>
      <c r="F93" s="19">
        <f t="shared" si="35"/>
        <v>2593585129</v>
      </c>
      <c r="G93" s="19">
        <v>0.0</v>
      </c>
      <c r="H93" s="20">
        <v>738.0</v>
      </c>
      <c r="I93" s="19">
        <v>3.343875772E7</v>
      </c>
      <c r="J93" s="20">
        <v>2.27804546E8</v>
      </c>
      <c r="K93" s="20">
        <f t="shared" si="36"/>
        <v>-194365788.3</v>
      </c>
      <c r="L93" s="20">
        <f>I93+Jan!L93</f>
        <v>153045523.7</v>
      </c>
      <c r="M93" s="20">
        <f>J93+Jan!M93</f>
        <v>398673441.8</v>
      </c>
      <c r="N93" s="20">
        <f t="shared" si="37"/>
        <v>-245627918.1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19">
        <v>4.3458718901E10</v>
      </c>
      <c r="E94" s="19">
        <v>4.28199966E8</v>
      </c>
      <c r="F94" s="19">
        <f t="shared" si="35"/>
        <v>43030518935</v>
      </c>
      <c r="G94" s="19">
        <v>0.0</v>
      </c>
      <c r="H94" s="20">
        <v>66321.0</v>
      </c>
      <c r="I94" s="19">
        <v>2.503012141E9</v>
      </c>
      <c r="J94" s="20">
        <v>5.624319829E9</v>
      </c>
      <c r="K94" s="20">
        <f t="shared" si="36"/>
        <v>-3121307688</v>
      </c>
      <c r="L94" s="20">
        <f>I94+Jan!L94</f>
        <v>5232394385</v>
      </c>
      <c r="M94" s="20">
        <f>J94+Jan!M94</f>
        <v>14628677608</v>
      </c>
      <c r="N94" s="20">
        <f t="shared" si="37"/>
        <v>-9396283223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19"/>
      <c r="E95" s="19"/>
      <c r="F95" s="19"/>
      <c r="G95" s="19"/>
      <c r="H95" s="20"/>
      <c r="I95" s="19"/>
      <c r="J95" s="20"/>
      <c r="K95" s="20"/>
      <c r="L95" s="20"/>
      <c r="M95" s="20"/>
      <c r="N95" s="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19">
        <v>5.68363683551E9</v>
      </c>
      <c r="E96" s="19">
        <v>3332829.87</v>
      </c>
      <c r="F96" s="19">
        <f>D96-E96</f>
        <v>5680304006</v>
      </c>
      <c r="G96" s="19">
        <v>0.0</v>
      </c>
      <c r="H96" s="20">
        <v>4634.0</v>
      </c>
      <c r="I96" s="19">
        <v>1.69268969444E9</v>
      </c>
      <c r="J96" s="20">
        <v>5.4229828385E8</v>
      </c>
      <c r="K96" s="20">
        <f>I96-J96</f>
        <v>1150391411</v>
      </c>
      <c r="L96" s="20">
        <f>I96+Jan!L96</f>
        <v>3276967055</v>
      </c>
      <c r="M96" s="20">
        <f>J96+Jan!M96</f>
        <v>1141122022</v>
      </c>
      <c r="N96" s="20">
        <f>L96-M96</f>
        <v>2135845033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26">
        <f t="shared" ref="D97:N97" si="38">SUM(D92:D94)+D96</f>
        <v>91058251142</v>
      </c>
      <c r="E97" s="26">
        <f t="shared" si="38"/>
        <v>531475859.5</v>
      </c>
      <c r="F97" s="26">
        <f t="shared" si="38"/>
        <v>90526775282</v>
      </c>
      <c r="G97" s="26">
        <f t="shared" si="38"/>
        <v>0</v>
      </c>
      <c r="H97" s="27">
        <f t="shared" si="38"/>
        <v>101866</v>
      </c>
      <c r="I97" s="26">
        <f t="shared" si="38"/>
        <v>6353738115</v>
      </c>
      <c r="J97" s="26">
        <f t="shared" si="38"/>
        <v>8351319010</v>
      </c>
      <c r="K97" s="26">
        <f t="shared" si="38"/>
        <v>-1997580895</v>
      </c>
      <c r="L97" s="26">
        <f t="shared" si="38"/>
        <v>13813050617</v>
      </c>
      <c r="M97" s="26">
        <f t="shared" si="38"/>
        <v>20912442989</v>
      </c>
      <c r="N97" s="26">
        <f t="shared" si="38"/>
        <v>-7099392372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19"/>
      <c r="E98" s="19"/>
      <c r="F98" s="19"/>
      <c r="G98" s="19"/>
      <c r="H98" s="20"/>
      <c r="I98" s="19"/>
      <c r="J98" s="20"/>
      <c r="K98" s="20"/>
      <c r="L98" s="20"/>
      <c r="M98" s="20"/>
      <c r="N98" s="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19">
        <v>4.8058773679E9</v>
      </c>
      <c r="E99" s="19">
        <v>4.525995771E7</v>
      </c>
      <c r="F99" s="19">
        <f>D99-E99</f>
        <v>4760617410</v>
      </c>
      <c r="G99" s="19">
        <v>0.0</v>
      </c>
      <c r="H99" s="20">
        <v>3451.0</v>
      </c>
      <c r="I99" s="19">
        <v>8.2106291255E8</v>
      </c>
      <c r="J99" s="19">
        <v>1.08980458735E9</v>
      </c>
      <c r="K99" s="20">
        <f>I99-J99</f>
        <v>-268741674.8</v>
      </c>
      <c r="L99" s="20">
        <f>I99+Jan!L99</f>
        <v>2135718487</v>
      </c>
      <c r="M99" s="20">
        <f>J99+Jan!M99</f>
        <v>3088332386</v>
      </c>
      <c r="N99" s="20">
        <f>L99-M99</f>
        <v>-952613898.6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26">
        <f t="shared" ref="D100:N100" si="39">SUM(D99)</f>
        <v>4805877368</v>
      </c>
      <c r="E100" s="26">
        <f t="shared" si="39"/>
        <v>45259957.71</v>
      </c>
      <c r="F100" s="26">
        <f t="shared" si="39"/>
        <v>4760617410</v>
      </c>
      <c r="G100" s="26">
        <f t="shared" si="39"/>
        <v>0</v>
      </c>
      <c r="H100" s="27">
        <f t="shared" si="39"/>
        <v>3451</v>
      </c>
      <c r="I100" s="26">
        <f t="shared" si="39"/>
        <v>821062912.6</v>
      </c>
      <c r="J100" s="26">
        <f t="shared" si="39"/>
        <v>1089804587</v>
      </c>
      <c r="K100" s="26">
        <f t="shared" si="39"/>
        <v>-268741674.8</v>
      </c>
      <c r="L100" s="26">
        <f t="shared" si="39"/>
        <v>2135718487</v>
      </c>
      <c r="M100" s="26">
        <f t="shared" si="39"/>
        <v>3088332386</v>
      </c>
      <c r="N100" s="26">
        <f t="shared" si="39"/>
        <v>-952613898.6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26">
        <f t="shared" ref="D101:N101" si="40">D97+D100</f>
        <v>95864128510</v>
      </c>
      <c r="E101" s="26">
        <f t="shared" si="40"/>
        <v>576735817.2</v>
      </c>
      <c r="F101" s="26">
        <f t="shared" si="40"/>
        <v>95287392693</v>
      </c>
      <c r="G101" s="26">
        <f t="shared" si="40"/>
        <v>0</v>
      </c>
      <c r="H101" s="27">
        <f t="shared" si="40"/>
        <v>105317</v>
      </c>
      <c r="I101" s="26">
        <f t="shared" si="40"/>
        <v>7174801028</v>
      </c>
      <c r="J101" s="26">
        <f t="shared" si="40"/>
        <v>9441123597</v>
      </c>
      <c r="K101" s="26">
        <f t="shared" si="40"/>
        <v>-2266322569</v>
      </c>
      <c r="L101" s="26">
        <f t="shared" si="40"/>
        <v>15948769104</v>
      </c>
      <c r="M101" s="26">
        <f t="shared" si="40"/>
        <v>24000775374</v>
      </c>
      <c r="N101" s="26">
        <f t="shared" si="40"/>
        <v>-8052006270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19"/>
      <c r="E102" s="19"/>
      <c r="F102" s="19"/>
      <c r="G102" s="19"/>
      <c r="H102" s="20"/>
      <c r="I102" s="19"/>
      <c r="J102" s="19"/>
      <c r="K102" s="20"/>
      <c r="L102" s="20"/>
      <c r="M102" s="20"/>
      <c r="N102" s="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19"/>
      <c r="E103" s="19"/>
      <c r="F103" s="19"/>
      <c r="G103" s="19"/>
      <c r="H103" s="20"/>
      <c r="I103" s="19"/>
      <c r="J103" s="19"/>
      <c r="K103" s="20"/>
      <c r="L103" s="20"/>
      <c r="M103" s="20"/>
      <c r="N103" s="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101</v>
      </c>
      <c r="D104" s="19">
        <v>9.34722402127E9</v>
      </c>
      <c r="E104" s="19">
        <v>2.038880603E7</v>
      </c>
      <c r="F104" s="19">
        <f t="shared" ref="F104:F105" si="41">D104-E104</f>
        <v>9326835215</v>
      </c>
      <c r="G104" s="19">
        <v>0.0</v>
      </c>
      <c r="H104" s="20">
        <v>88186.0</v>
      </c>
      <c r="I104" s="19">
        <v>8.714037175999999E7</v>
      </c>
      <c r="J104" s="19">
        <v>2.2659741650999996E8</v>
      </c>
      <c r="K104" s="20">
        <f t="shared" ref="K104:K105" si="42">I104-J104</f>
        <v>-139457044.8</v>
      </c>
      <c r="L104" s="20">
        <f>I104+Jan!L104</f>
        <v>291175139.6</v>
      </c>
      <c r="M104" s="20">
        <f>J104+Jan!M104</f>
        <v>305528552.9</v>
      </c>
      <c r="N104" s="20">
        <f t="shared" ref="N104:N105" si="43">L104-M104</f>
        <v>-14353413.33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19">
        <v>3.344004435E9</v>
      </c>
      <c r="E105" s="19">
        <v>1.2944973E7</v>
      </c>
      <c r="F105" s="19">
        <f t="shared" si="41"/>
        <v>3331059462</v>
      </c>
      <c r="G105" s="19">
        <v>0.0</v>
      </c>
      <c r="H105" s="20">
        <v>6016.0</v>
      </c>
      <c r="I105" s="19">
        <v>2.180226E7</v>
      </c>
      <c r="J105" s="19">
        <v>3.9290342E7</v>
      </c>
      <c r="K105" s="20">
        <f t="shared" si="42"/>
        <v>-17488082</v>
      </c>
      <c r="L105" s="20">
        <f>I105+Jan!L105</f>
        <v>47962318.13</v>
      </c>
      <c r="M105" s="20">
        <f>J105+Jan!M105</f>
        <v>96353580.69</v>
      </c>
      <c r="N105" s="20">
        <f t="shared" si="43"/>
        <v>-48391262.56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4" t="s">
        <v>45</v>
      </c>
      <c r="B106" s="2"/>
      <c r="C106" s="3"/>
      <c r="D106" s="26">
        <f t="shared" ref="D106:N106" si="44">D104+D105</f>
        <v>12691228456</v>
      </c>
      <c r="E106" s="26">
        <f t="shared" si="44"/>
        <v>33333779.03</v>
      </c>
      <c r="F106" s="26">
        <f t="shared" si="44"/>
        <v>12657894677</v>
      </c>
      <c r="G106" s="26">
        <f t="shared" si="44"/>
        <v>0</v>
      </c>
      <c r="H106" s="27">
        <f t="shared" si="44"/>
        <v>94202</v>
      </c>
      <c r="I106" s="26">
        <f t="shared" si="44"/>
        <v>108942631.8</v>
      </c>
      <c r="J106" s="26">
        <f t="shared" si="44"/>
        <v>265887758.5</v>
      </c>
      <c r="K106" s="26">
        <f t="shared" si="44"/>
        <v>-156945126.8</v>
      </c>
      <c r="L106" s="26">
        <f t="shared" si="44"/>
        <v>339137457.7</v>
      </c>
      <c r="M106" s="26">
        <f t="shared" si="44"/>
        <v>401882133.6</v>
      </c>
      <c r="N106" s="26">
        <f t="shared" si="44"/>
        <v>-62744675.89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19"/>
      <c r="E107" s="19"/>
      <c r="F107" s="19"/>
      <c r="G107" s="19"/>
      <c r="H107" s="20"/>
      <c r="I107" s="19"/>
      <c r="J107" s="19"/>
      <c r="K107" s="20"/>
      <c r="L107" s="20"/>
      <c r="M107" s="20"/>
      <c r="N107" s="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104</v>
      </c>
      <c r="D108" s="19">
        <f>55.33*183469842.73</f>
        <v>10151386398</v>
      </c>
      <c r="E108" s="19">
        <f>55.33*271122.89</f>
        <v>15001229.5</v>
      </c>
      <c r="F108" s="19">
        <f>D108-E108</f>
        <v>10136385169</v>
      </c>
      <c r="G108" s="19"/>
      <c r="H108" s="20">
        <v>8303.0</v>
      </c>
      <c r="I108" s="19">
        <f>55.33*1465555.12</f>
        <v>81089164.79</v>
      </c>
      <c r="J108" s="19">
        <f>55.33*1551782.05</f>
        <v>85860100.83</v>
      </c>
      <c r="K108" s="20">
        <f>I108-J108</f>
        <v>-4770936.037</v>
      </c>
      <c r="L108" s="20">
        <f>I108+Jan!L108</f>
        <v>228644918.1</v>
      </c>
      <c r="M108" s="20">
        <f>J108+Jan!M108</f>
        <v>170210066.4</v>
      </c>
      <c r="N108" s="20">
        <f>L108-M108</f>
        <v>58434851.64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4" t="s">
        <v>89</v>
      </c>
      <c r="B109" s="25"/>
      <c r="C109" s="1"/>
      <c r="D109" s="26">
        <f t="shared" ref="D109:N109" si="45">SUM(D108)</f>
        <v>10151386398</v>
      </c>
      <c r="E109" s="26">
        <f t="shared" si="45"/>
        <v>15001229.5</v>
      </c>
      <c r="F109" s="26">
        <f t="shared" si="45"/>
        <v>10136385169</v>
      </c>
      <c r="G109" s="26">
        <f t="shared" si="45"/>
        <v>0</v>
      </c>
      <c r="H109" s="27">
        <f t="shared" si="45"/>
        <v>8303</v>
      </c>
      <c r="I109" s="26">
        <f t="shared" si="45"/>
        <v>81089164.79</v>
      </c>
      <c r="J109" s="26">
        <f t="shared" si="45"/>
        <v>85860100.83</v>
      </c>
      <c r="K109" s="26">
        <f t="shared" si="45"/>
        <v>-4770936.037</v>
      </c>
      <c r="L109" s="26">
        <f t="shared" si="45"/>
        <v>228644918.1</v>
      </c>
      <c r="M109" s="26">
        <f t="shared" si="45"/>
        <v>170210066.4</v>
      </c>
      <c r="N109" s="26">
        <f t="shared" si="45"/>
        <v>58434851.64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105</v>
      </c>
      <c r="B110" s="31"/>
      <c r="C110" s="29"/>
      <c r="D110" s="26">
        <f t="shared" ref="D110:N110" si="46">SUM(D106+D109)</f>
        <v>22842614855</v>
      </c>
      <c r="E110" s="26">
        <f t="shared" si="46"/>
        <v>48335008.53</v>
      </c>
      <c r="F110" s="26">
        <f t="shared" si="46"/>
        <v>22794279846</v>
      </c>
      <c r="G110" s="26">
        <f t="shared" si="46"/>
        <v>0</v>
      </c>
      <c r="H110" s="27">
        <f t="shared" si="46"/>
        <v>102505</v>
      </c>
      <c r="I110" s="26">
        <f t="shared" si="46"/>
        <v>190031796.5</v>
      </c>
      <c r="J110" s="26">
        <f t="shared" si="46"/>
        <v>351747859.3</v>
      </c>
      <c r="K110" s="26">
        <f t="shared" si="46"/>
        <v>-161716062.8</v>
      </c>
      <c r="L110" s="26">
        <f t="shared" si="46"/>
        <v>567782375.8</v>
      </c>
      <c r="M110" s="26">
        <f t="shared" si="46"/>
        <v>572092200</v>
      </c>
      <c r="N110" s="26">
        <f t="shared" si="46"/>
        <v>-4309824.253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106</v>
      </c>
      <c r="B111" s="33"/>
      <c r="C111" s="34"/>
      <c r="D111" s="35">
        <f t="shared" ref="D111:N111" si="47">D39+D63+D89+D101+D110</f>
        <v>275223205487</v>
      </c>
      <c r="E111" s="35">
        <f t="shared" si="47"/>
        <v>2300274648</v>
      </c>
      <c r="F111" s="35">
        <f t="shared" si="47"/>
        <v>272922930839</v>
      </c>
      <c r="G111" s="35">
        <f t="shared" si="47"/>
        <v>73621467104</v>
      </c>
      <c r="H111" s="36">
        <f t="shared" si="47"/>
        <v>1098091</v>
      </c>
      <c r="I111" s="35">
        <f t="shared" si="47"/>
        <v>9115171954</v>
      </c>
      <c r="J111" s="35">
        <f t="shared" si="47"/>
        <v>11537297297</v>
      </c>
      <c r="K111" s="35">
        <f t="shared" si="47"/>
        <v>-2422125342</v>
      </c>
      <c r="L111" s="35">
        <f t="shared" si="47"/>
        <v>19922739768</v>
      </c>
      <c r="M111" s="35">
        <f t="shared" si="47"/>
        <v>28789295576</v>
      </c>
      <c r="N111" s="35">
        <f t="shared" si="47"/>
        <v>-8866555809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7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0"/>
      <c r="B113" s="30"/>
      <c r="C113" s="30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0" t="s">
        <v>111</v>
      </c>
      <c r="B114" s="30"/>
      <c r="C114" s="30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0" t="s">
        <v>112</v>
      </c>
      <c r="B115" s="37"/>
      <c r="C115" s="37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113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19">
        <v>4.59303774202E9</v>
      </c>
      <c r="E9" s="19">
        <v>1.326723001E7</v>
      </c>
      <c r="F9" s="19">
        <f t="shared" ref="F9:F27" si="1">D9-E9</f>
        <v>4579770512</v>
      </c>
      <c r="G9" s="19">
        <v>4.1517953006E9</v>
      </c>
      <c r="H9" s="20">
        <v>7209.0</v>
      </c>
      <c r="I9" s="19">
        <v>7212185.19</v>
      </c>
      <c r="J9" s="20">
        <v>5.146446155E7</v>
      </c>
      <c r="K9" s="20">
        <f t="shared" ref="K9:K27" si="2">I9-J9</f>
        <v>-44252276.36</v>
      </c>
      <c r="L9" s="20">
        <f>I9+'Feb UPDATED'!L9</f>
        <v>19194106.26</v>
      </c>
      <c r="M9" s="20">
        <f>J9+'Feb UPDATED'!M9</f>
        <v>151374832</v>
      </c>
      <c r="N9" s="20">
        <f t="shared" ref="N9:N27" si="3">L9-M9</f>
        <v>-132180725.7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19">
        <v>7.605504700600001E8</v>
      </c>
      <c r="E10" s="19">
        <v>2013776.77</v>
      </c>
      <c r="F10" s="19">
        <f t="shared" si="1"/>
        <v>758536693.3</v>
      </c>
      <c r="G10" s="19">
        <v>7.1270159095E8</v>
      </c>
      <c r="H10" s="20">
        <v>4236.0</v>
      </c>
      <c r="I10" s="19">
        <v>5649888.18</v>
      </c>
      <c r="J10" s="20">
        <v>7842522.9399999995</v>
      </c>
      <c r="K10" s="20">
        <f t="shared" si="2"/>
        <v>-2192634.76</v>
      </c>
      <c r="L10" s="20">
        <f>I10+'Feb UPDATED'!L10</f>
        <v>15709919.3</v>
      </c>
      <c r="M10" s="20">
        <f>J10+'Feb UPDATED'!M10</f>
        <v>36396713.21</v>
      </c>
      <c r="N10" s="20">
        <f t="shared" si="3"/>
        <v>-20686793.91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19">
        <v>1.53431981584E9</v>
      </c>
      <c r="E11" s="19">
        <v>1.043836251E7</v>
      </c>
      <c r="F11" s="19">
        <f t="shared" si="1"/>
        <v>1523881453</v>
      </c>
      <c r="G11" s="19">
        <v>1.45122930645E9</v>
      </c>
      <c r="H11" s="20">
        <v>2853.0</v>
      </c>
      <c r="I11" s="19">
        <v>1.3436929879999999E7</v>
      </c>
      <c r="J11" s="20">
        <v>3.0540757300000012E7</v>
      </c>
      <c r="K11" s="20">
        <f t="shared" si="2"/>
        <v>-17103827.42</v>
      </c>
      <c r="L11" s="20">
        <f>I11+'Feb UPDATED'!L11</f>
        <v>386539356.7</v>
      </c>
      <c r="M11" s="20">
        <f>J11+'Feb UPDATED'!M11</f>
        <v>163453471.7</v>
      </c>
      <c r="N11" s="20">
        <f t="shared" si="3"/>
        <v>223085885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19">
        <v>3.48883651E8</v>
      </c>
      <c r="E12" s="19">
        <v>8791778.0</v>
      </c>
      <c r="F12" s="19">
        <f t="shared" si="1"/>
        <v>340091873</v>
      </c>
      <c r="G12" s="19">
        <v>2.20716415E8</v>
      </c>
      <c r="H12" s="20">
        <v>1764.0</v>
      </c>
      <c r="I12" s="19">
        <v>536436.0</v>
      </c>
      <c r="J12" s="20">
        <v>1007506.0</v>
      </c>
      <c r="K12" s="20">
        <f t="shared" si="2"/>
        <v>-471070</v>
      </c>
      <c r="L12" s="20">
        <f>I12+'Feb UPDATED'!L12</f>
        <v>1666337.95</v>
      </c>
      <c r="M12" s="20">
        <f>J12+'Feb UPDATED'!M12</f>
        <v>1186845.26</v>
      </c>
      <c r="N12" s="20">
        <f t="shared" si="3"/>
        <v>479492.69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19">
        <v>5.41654128E8</v>
      </c>
      <c r="E13" s="19">
        <v>1.631648E7</v>
      </c>
      <c r="F13" s="19">
        <f t="shared" si="1"/>
        <v>525337648</v>
      </c>
      <c r="G13" s="19">
        <v>4.06134465E8</v>
      </c>
      <c r="H13" s="20">
        <v>1417.0</v>
      </c>
      <c r="I13" s="19">
        <v>704602.0</v>
      </c>
      <c r="J13" s="20">
        <v>1284122.0</v>
      </c>
      <c r="K13" s="20">
        <f t="shared" si="2"/>
        <v>-579520</v>
      </c>
      <c r="L13" s="20">
        <f>I13+'Feb UPDATED'!L13</f>
        <v>2007744.54</v>
      </c>
      <c r="M13" s="20">
        <f>J13+'Feb UPDATED'!M13</f>
        <v>4867715.44</v>
      </c>
      <c r="N13" s="20">
        <f t="shared" si="3"/>
        <v>-2859970.9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19">
        <v>4.294125331E9</v>
      </c>
      <c r="E14" s="19">
        <v>5.4589409E7</v>
      </c>
      <c r="F14" s="19">
        <f t="shared" si="1"/>
        <v>4239535922</v>
      </c>
      <c r="G14" s="19">
        <v>3.446659166E9</v>
      </c>
      <c r="H14" s="20">
        <v>16139.0</v>
      </c>
      <c r="I14" s="19">
        <v>5.3938628E7</v>
      </c>
      <c r="J14" s="20">
        <v>1.7662981E7</v>
      </c>
      <c r="K14" s="20">
        <f t="shared" si="2"/>
        <v>36275647</v>
      </c>
      <c r="L14" s="20">
        <f>I14+'Feb UPDATED'!L14</f>
        <v>86323936.46</v>
      </c>
      <c r="M14" s="20">
        <f>J14+'Feb UPDATED'!M14</f>
        <v>88721730.46</v>
      </c>
      <c r="N14" s="20">
        <f t="shared" si="3"/>
        <v>-2397793.999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19">
        <v>1.02660882E8</v>
      </c>
      <c r="E15" s="19">
        <v>1124945.0</v>
      </c>
      <c r="F15" s="19">
        <f t="shared" si="1"/>
        <v>101535937</v>
      </c>
      <c r="G15" s="19">
        <v>9.864145E7</v>
      </c>
      <c r="H15" s="20">
        <v>549.0</v>
      </c>
      <c r="I15" s="19">
        <v>3956298.0</v>
      </c>
      <c r="J15" s="20">
        <v>959993.0</v>
      </c>
      <c r="K15" s="20">
        <f t="shared" si="2"/>
        <v>2996305</v>
      </c>
      <c r="L15" s="20">
        <f>I15+'Feb UPDATED'!L15</f>
        <v>5445974.73</v>
      </c>
      <c r="M15" s="20">
        <f>J15+'Feb UPDATED'!M15</f>
        <v>4807202.93</v>
      </c>
      <c r="N15" s="20">
        <f t="shared" si="3"/>
        <v>638771.8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19">
        <v>1.2168998673E8</v>
      </c>
      <c r="E16" s="19">
        <v>1062504.98</v>
      </c>
      <c r="F16" s="19">
        <f t="shared" si="1"/>
        <v>120627481.8</v>
      </c>
      <c r="G16" s="19">
        <v>1.0539164E8</v>
      </c>
      <c r="H16" s="20">
        <v>51.0</v>
      </c>
      <c r="I16" s="19">
        <v>241.49</v>
      </c>
      <c r="J16" s="20">
        <v>268193.93</v>
      </c>
      <c r="K16" s="20">
        <f t="shared" si="2"/>
        <v>-267952.44</v>
      </c>
      <c r="L16" s="20">
        <f>I16+'Feb UPDATED'!L16</f>
        <v>241.49</v>
      </c>
      <c r="M16" s="20">
        <f>J16+'Feb UPDATED'!M16</f>
        <v>764224.93</v>
      </c>
      <c r="N16" s="20">
        <f t="shared" si="3"/>
        <v>-763983.44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19">
        <v>1.34647191744E9</v>
      </c>
      <c r="E17" s="19">
        <v>7.978734528E7</v>
      </c>
      <c r="F17" s="19">
        <f t="shared" si="1"/>
        <v>1266684572</v>
      </c>
      <c r="G17" s="19">
        <v>1.28162301155E9</v>
      </c>
      <c r="H17" s="20">
        <v>12183.0</v>
      </c>
      <c r="I17" s="19">
        <v>0.0</v>
      </c>
      <c r="J17" s="20">
        <v>2.048306739E7</v>
      </c>
      <c r="K17" s="20">
        <f t="shared" si="2"/>
        <v>-20483067.39</v>
      </c>
      <c r="L17" s="20">
        <f>I17+'Feb UPDATED'!L17</f>
        <v>0</v>
      </c>
      <c r="M17" s="20">
        <f>J17+'Feb UPDATED'!M17</f>
        <v>49670538.78</v>
      </c>
      <c r="N17" s="20">
        <f t="shared" si="3"/>
        <v>-49670538.78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19">
        <v>3.87028013396E9</v>
      </c>
      <c r="E18" s="19">
        <v>1.6238490828E8</v>
      </c>
      <c r="F18" s="19">
        <f t="shared" si="1"/>
        <v>3707895226</v>
      </c>
      <c r="G18" s="19">
        <v>3.3366801631E9</v>
      </c>
      <c r="H18" s="20">
        <v>12130.0</v>
      </c>
      <c r="I18" s="19">
        <v>2454163.63</v>
      </c>
      <c r="J18" s="20">
        <v>3.93610266E7</v>
      </c>
      <c r="K18" s="20">
        <f t="shared" si="2"/>
        <v>-36906862.97</v>
      </c>
      <c r="L18" s="20">
        <f>I18+'Feb UPDATED'!L18</f>
        <v>10283368.6</v>
      </c>
      <c r="M18" s="20">
        <f>J18+'Feb UPDATED'!M18</f>
        <v>87402788.14</v>
      </c>
      <c r="N18" s="20">
        <f t="shared" si="3"/>
        <v>-77119419.54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19">
        <v>2.324690919E9</v>
      </c>
      <c r="E19" s="19">
        <v>6.7392048E7</v>
      </c>
      <c r="F19" s="19">
        <f t="shared" si="1"/>
        <v>2257298871</v>
      </c>
      <c r="G19" s="19">
        <v>2.002288623E9</v>
      </c>
      <c r="H19" s="20">
        <v>5565.0</v>
      </c>
      <c r="I19" s="19">
        <v>1859089.0</v>
      </c>
      <c r="J19" s="20">
        <v>3785416.0</v>
      </c>
      <c r="K19" s="20">
        <f t="shared" si="2"/>
        <v>-1926327</v>
      </c>
      <c r="L19" s="20">
        <f>I19+'Feb UPDATED'!L19</f>
        <v>135468119.2</v>
      </c>
      <c r="M19" s="20">
        <f>J19+'Feb UPDATED'!M19</f>
        <v>11417041.25</v>
      </c>
      <c r="N19" s="20">
        <f t="shared" si="3"/>
        <v>124051077.9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19">
        <v>9.851454792E9</v>
      </c>
      <c r="E20" s="19">
        <v>4.8552221E7</v>
      </c>
      <c r="F20" s="19">
        <f t="shared" si="1"/>
        <v>9802902571</v>
      </c>
      <c r="G20" s="19">
        <v>9.048438933E9</v>
      </c>
      <c r="H20" s="20">
        <v>35874.0</v>
      </c>
      <c r="I20" s="19">
        <v>4.3035302E7</v>
      </c>
      <c r="J20" s="20">
        <v>8.8408991E7</v>
      </c>
      <c r="K20" s="20">
        <f t="shared" si="2"/>
        <v>-45373689</v>
      </c>
      <c r="L20" s="20">
        <f>I20+'Feb UPDATED'!L20</f>
        <v>63619218.07</v>
      </c>
      <c r="M20" s="20">
        <f>J20+'Feb UPDATED'!M20</f>
        <v>155337611.7</v>
      </c>
      <c r="N20" s="20">
        <f t="shared" si="3"/>
        <v>-91718393.67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19">
        <v>3.13294036E8</v>
      </c>
      <c r="E21" s="19">
        <v>3156984.0</v>
      </c>
      <c r="F21" s="19">
        <f t="shared" si="1"/>
        <v>310137052</v>
      </c>
      <c r="G21" s="19">
        <v>2.98719944E8</v>
      </c>
      <c r="H21" s="20">
        <v>1014.0</v>
      </c>
      <c r="I21" s="19">
        <v>327288.0</v>
      </c>
      <c r="J21" s="20">
        <v>2718038.0</v>
      </c>
      <c r="K21" s="20">
        <f t="shared" si="2"/>
        <v>-2390750</v>
      </c>
      <c r="L21" s="20">
        <f>I21+'Feb UPDATED'!L21</f>
        <v>1218313.29</v>
      </c>
      <c r="M21" s="20">
        <f>J21+'Feb UPDATED'!M21</f>
        <v>3250553.8</v>
      </c>
      <c r="N21" s="20">
        <f t="shared" si="3"/>
        <v>-2032240.51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19">
        <v>3.853388308E9</v>
      </c>
      <c r="E22" s="19">
        <v>6269900.0</v>
      </c>
      <c r="F22" s="19">
        <f t="shared" si="1"/>
        <v>3847118408</v>
      </c>
      <c r="G22" s="19">
        <v>3.761853037E9</v>
      </c>
      <c r="H22" s="20">
        <v>26862.0</v>
      </c>
      <c r="I22" s="19">
        <v>1.7743086E7</v>
      </c>
      <c r="J22" s="20">
        <v>1.9173004E7</v>
      </c>
      <c r="K22" s="20">
        <f t="shared" si="2"/>
        <v>-1429918</v>
      </c>
      <c r="L22" s="20">
        <f>I22+'Feb UPDATED'!L22</f>
        <v>251114599.7</v>
      </c>
      <c r="M22" s="20">
        <f>J22+'Feb UPDATED'!M22</f>
        <v>174723863.7</v>
      </c>
      <c r="N22" s="20">
        <f t="shared" si="3"/>
        <v>76390735.93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19">
        <v>8.85396205156E9</v>
      </c>
      <c r="E23" s="19">
        <v>5.774339865E7</v>
      </c>
      <c r="F23" s="19">
        <f t="shared" si="1"/>
        <v>8796218653</v>
      </c>
      <c r="G23" s="19">
        <v>8.74421393036E9</v>
      </c>
      <c r="H23" s="20">
        <v>14180.0</v>
      </c>
      <c r="I23" s="19">
        <v>1406098.53</v>
      </c>
      <c r="J23" s="20">
        <v>1.0626292115E8</v>
      </c>
      <c r="K23" s="20">
        <f t="shared" si="2"/>
        <v>-104856822.6</v>
      </c>
      <c r="L23" s="20">
        <f>I23+'Feb UPDATED'!L23</f>
        <v>7177305.31</v>
      </c>
      <c r="M23" s="20">
        <f>J23+'Feb UPDATED'!M23</f>
        <v>330569302.2</v>
      </c>
      <c r="N23" s="20">
        <f t="shared" si="3"/>
        <v>-323391996.8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19">
        <v>3.2163684474700003E9</v>
      </c>
      <c r="E24" s="19">
        <v>8365541.21</v>
      </c>
      <c r="F24" s="19">
        <f t="shared" si="1"/>
        <v>3208002906</v>
      </c>
      <c r="G24" s="19">
        <v>3.051583176E9</v>
      </c>
      <c r="H24" s="20">
        <v>12780.0</v>
      </c>
      <c r="I24" s="19">
        <v>4.3905077890000015E7</v>
      </c>
      <c r="J24" s="20">
        <v>5504536.36</v>
      </c>
      <c r="K24" s="20">
        <f t="shared" si="2"/>
        <v>38400541.53</v>
      </c>
      <c r="L24" s="20">
        <f>I24+'Feb UPDATED'!L24</f>
        <v>133532610.5</v>
      </c>
      <c r="M24" s="20">
        <f>J24+'Feb UPDATED'!M24</f>
        <v>9164711.32</v>
      </c>
      <c r="N24" s="20">
        <f t="shared" si="3"/>
        <v>124367899.2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19">
        <v>7.059213999E9</v>
      </c>
      <c r="E25" s="19">
        <v>7.598652E7</v>
      </c>
      <c r="F25" s="19">
        <f t="shared" si="1"/>
        <v>6983227479</v>
      </c>
      <c r="G25" s="19">
        <v>6.450019262E9</v>
      </c>
      <c r="H25" s="20">
        <v>66560.0</v>
      </c>
      <c r="I25" s="19">
        <v>2.7337888E7</v>
      </c>
      <c r="J25" s="20">
        <v>4.455727E7</v>
      </c>
      <c r="K25" s="20">
        <f t="shared" si="2"/>
        <v>-17219382</v>
      </c>
      <c r="L25" s="20">
        <f>I25+'Feb UPDATED'!L25</f>
        <v>87769766.57</v>
      </c>
      <c r="M25" s="20">
        <f>J25+'Feb UPDATED'!M25</f>
        <v>324968473.7</v>
      </c>
      <c r="N25" s="20">
        <f t="shared" si="3"/>
        <v>-237198707.1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19">
        <v>1.2067110495E10</v>
      </c>
      <c r="E26" s="19">
        <v>1.12283273E8</v>
      </c>
      <c r="F26" s="19">
        <f t="shared" si="1"/>
        <v>11954827222</v>
      </c>
      <c r="G26" s="19">
        <v>1.1906046473E10</v>
      </c>
      <c r="H26" s="20">
        <v>57234.0</v>
      </c>
      <c r="I26" s="19">
        <v>1.46352141E8</v>
      </c>
      <c r="J26" s="20">
        <v>1.18766215E8</v>
      </c>
      <c r="K26" s="20">
        <f t="shared" si="2"/>
        <v>27585926</v>
      </c>
      <c r="L26" s="20">
        <f>I26+'Feb UPDATED'!L26</f>
        <v>961914534.6</v>
      </c>
      <c r="M26" s="20">
        <f>J26+'Feb UPDATED'!M26</f>
        <v>830522374.4</v>
      </c>
      <c r="N26" s="20">
        <f t="shared" si="3"/>
        <v>131392160.2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19">
        <v>5.93533972E8</v>
      </c>
      <c r="E27" s="19">
        <v>1520125.0</v>
      </c>
      <c r="F27" s="19">
        <f t="shared" si="1"/>
        <v>592013847</v>
      </c>
      <c r="G27" s="19">
        <v>5.20375775E8</v>
      </c>
      <c r="H27" s="20">
        <v>1302.0</v>
      </c>
      <c r="I27" s="19">
        <v>3393106.0</v>
      </c>
      <c r="J27" s="20">
        <v>219792.0</v>
      </c>
      <c r="K27" s="20">
        <f t="shared" si="2"/>
        <v>3173314</v>
      </c>
      <c r="L27" s="20">
        <f>I27+'Feb UPDATED'!L27</f>
        <v>3954705.59</v>
      </c>
      <c r="M27" s="20">
        <f>J27+'Feb UPDATED'!M27</f>
        <v>4141404.18</v>
      </c>
      <c r="N27" s="20">
        <f t="shared" si="3"/>
        <v>-186698.59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19"/>
      <c r="E28" s="19"/>
      <c r="F28" s="19"/>
      <c r="G28" s="19"/>
      <c r="H28" s="20"/>
      <c r="I28" s="19"/>
      <c r="J28" s="20"/>
      <c r="K28" s="20"/>
      <c r="L28" s="20"/>
      <c r="M28" s="20"/>
      <c r="N28" s="20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41</v>
      </c>
      <c r="D29" s="19">
        <v>1.88703003E8</v>
      </c>
      <c r="E29" s="19">
        <v>1910155.0</v>
      </c>
      <c r="F29" s="19">
        <f t="shared" ref="F29:F31" si="4">D29-E29</f>
        <v>186792848</v>
      </c>
      <c r="G29" s="19">
        <v>1.82350549E8</v>
      </c>
      <c r="H29" s="20">
        <v>1715.0</v>
      </c>
      <c r="I29" s="19">
        <v>1.4561464E7</v>
      </c>
      <c r="J29" s="20">
        <v>1720354.0</v>
      </c>
      <c r="K29" s="20">
        <f t="shared" ref="K29:K31" si="5">I29-J29</f>
        <v>12841110</v>
      </c>
      <c r="L29" s="20">
        <f>I29+'Feb UPDATED'!L29</f>
        <v>82815041.15</v>
      </c>
      <c r="M29" s="20">
        <f>J29+'Feb UPDATED'!M29</f>
        <v>3860031.84</v>
      </c>
      <c r="N29" s="20">
        <f t="shared" ref="N29:N31" si="6">L29-M29</f>
        <v>78955009.31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19">
        <v>3.44864889E8</v>
      </c>
      <c r="E30" s="19">
        <v>915563.0</v>
      </c>
      <c r="F30" s="19">
        <f t="shared" si="4"/>
        <v>343949326</v>
      </c>
      <c r="G30" s="19">
        <v>3.09407557E8</v>
      </c>
      <c r="H30" s="20">
        <v>1423.0</v>
      </c>
      <c r="I30" s="19">
        <v>3497496.0</v>
      </c>
      <c r="J30" s="20">
        <v>778190.0</v>
      </c>
      <c r="K30" s="20">
        <f t="shared" si="5"/>
        <v>2719306</v>
      </c>
      <c r="L30" s="20">
        <f>I30+'Feb UPDATED'!L30</f>
        <v>8119700.48</v>
      </c>
      <c r="M30" s="20">
        <f>J30+'Feb UPDATED'!M30</f>
        <v>12841597.47</v>
      </c>
      <c r="N30" s="20">
        <f t="shared" si="6"/>
        <v>-4721896.99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19">
        <v>4.9618634793E8</v>
      </c>
      <c r="E31" s="19">
        <v>7396072.46</v>
      </c>
      <c r="F31" s="19">
        <f t="shared" si="4"/>
        <v>488790275.5</v>
      </c>
      <c r="G31" s="19">
        <v>4.859270478E8</v>
      </c>
      <c r="H31" s="20">
        <v>370846.0</v>
      </c>
      <c r="I31" s="19">
        <v>3.914488674E7</v>
      </c>
      <c r="J31" s="20">
        <v>1.534903061E7</v>
      </c>
      <c r="K31" s="20">
        <f t="shared" si="5"/>
        <v>23795856.13</v>
      </c>
      <c r="L31" s="20">
        <f>I31+'Feb UPDATED'!L31</f>
        <v>97621383.52</v>
      </c>
      <c r="M31" s="20">
        <f>J31+'Feb UPDATED'!M31</f>
        <v>87258761.96</v>
      </c>
      <c r="N31" s="20">
        <f t="shared" si="6"/>
        <v>10362621.56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19"/>
      <c r="E32" s="19"/>
      <c r="F32" s="19"/>
      <c r="G32" s="19"/>
      <c r="H32" s="20"/>
      <c r="I32" s="19"/>
      <c r="J32" s="20"/>
      <c r="K32" s="20"/>
      <c r="L32" s="20"/>
      <c r="M32" s="20"/>
      <c r="N32" s="2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19">
        <v>2.16344724E9</v>
      </c>
      <c r="E33" s="19">
        <v>1898036.0</v>
      </c>
      <c r="F33" s="19">
        <f>D33-E33</f>
        <v>2161549204</v>
      </c>
      <c r="G33" s="19">
        <v>2.129490212E9</v>
      </c>
      <c r="H33" s="20">
        <v>3275.0</v>
      </c>
      <c r="I33" s="19">
        <v>2.1164197E7</v>
      </c>
      <c r="J33" s="20">
        <v>3087328.0</v>
      </c>
      <c r="K33" s="20">
        <f>I33-J33</f>
        <v>18076869</v>
      </c>
      <c r="L33" s="20">
        <f>I33+'Feb UPDATED'!L33</f>
        <v>24256591</v>
      </c>
      <c r="M33" s="20">
        <f>J33+'Feb UPDATED'!M33</f>
        <v>76900589</v>
      </c>
      <c r="N33" s="20">
        <f>L33-M33</f>
        <v>-52643998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26">
        <f t="shared" ref="D34:N34" si="7">SUM(D9:D33)</f>
        <v>68839892558</v>
      </c>
      <c r="E34" s="26">
        <f t="shared" si="7"/>
        <v>743166577.2</v>
      </c>
      <c r="F34" s="26">
        <f t="shared" si="7"/>
        <v>68096725981</v>
      </c>
      <c r="G34" s="26">
        <f t="shared" si="7"/>
        <v>64102287028</v>
      </c>
      <c r="H34" s="27">
        <f t="shared" si="7"/>
        <v>657161</v>
      </c>
      <c r="I34" s="26">
        <f t="shared" si="7"/>
        <v>451616492.5</v>
      </c>
      <c r="J34" s="26">
        <f t="shared" si="7"/>
        <v>581205717.8</v>
      </c>
      <c r="K34" s="26">
        <f t="shared" si="7"/>
        <v>-129589225.3</v>
      </c>
      <c r="L34" s="26">
        <f t="shared" si="7"/>
        <v>2385752875</v>
      </c>
      <c r="M34" s="26">
        <f t="shared" si="7"/>
        <v>2613602379</v>
      </c>
      <c r="N34" s="26">
        <f t="shared" si="7"/>
        <v>-227849504.4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19"/>
      <c r="E35" s="19"/>
      <c r="F35" s="19"/>
      <c r="G35" s="19"/>
      <c r="H35" s="20"/>
      <c r="I35" s="19"/>
      <c r="J35" s="20"/>
      <c r="K35" s="20"/>
      <c r="L35" s="20"/>
      <c r="M35" s="20"/>
      <c r="N35" s="2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19">
        <v>3.57124809564E7</v>
      </c>
      <c r="E36" s="19">
        <v>1261270.5048</v>
      </c>
      <c r="F36" s="19">
        <f t="shared" ref="F36:F37" si="8">D36-E36</f>
        <v>34451210.45</v>
      </c>
      <c r="G36" s="19">
        <v>0.0</v>
      </c>
      <c r="H36" s="20">
        <v>54.0</v>
      </c>
      <c r="I36" s="19">
        <v>10806.22</v>
      </c>
      <c r="J36" s="19">
        <v>19382.09</v>
      </c>
      <c r="K36" s="20">
        <f t="shared" ref="K36:K37" si="9">I36-J36</f>
        <v>-8575.87</v>
      </c>
      <c r="L36" s="20">
        <f>I36+'Feb UPDATED'!L36</f>
        <v>78879.62</v>
      </c>
      <c r="M36" s="20">
        <f>J36+'Feb UPDATED'!M36</f>
        <v>19382.09</v>
      </c>
      <c r="N36" s="20">
        <f t="shared" ref="N36:N37" si="10">L36-M36</f>
        <v>59497.53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19">
        <v>1.796930439E9</v>
      </c>
      <c r="E37" s="19">
        <v>2.7142106E7</v>
      </c>
      <c r="F37" s="19">
        <f t="shared" si="8"/>
        <v>1769788333</v>
      </c>
      <c r="G37" s="19">
        <v>0.0</v>
      </c>
      <c r="H37" s="20">
        <v>2880.0</v>
      </c>
      <c r="I37" s="19">
        <v>1554385.0</v>
      </c>
      <c r="J37" s="19">
        <v>2.7846024E7</v>
      </c>
      <c r="K37" s="20">
        <f t="shared" si="9"/>
        <v>-26291639</v>
      </c>
      <c r="L37" s="20">
        <f>I37+'Feb UPDATED'!L37</f>
        <v>18475062.47</v>
      </c>
      <c r="M37" s="20">
        <f>J37+'Feb UPDATED'!M37</f>
        <v>77759569.43</v>
      </c>
      <c r="N37" s="20">
        <f t="shared" si="10"/>
        <v>-59284506.96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26">
        <f t="shared" ref="D38:N38" si="11">SUM(D36:D37)</f>
        <v>1832642920</v>
      </c>
      <c r="E38" s="26">
        <f t="shared" si="11"/>
        <v>28403376.5</v>
      </c>
      <c r="F38" s="26">
        <f t="shared" si="11"/>
        <v>1804239543</v>
      </c>
      <c r="G38" s="26">
        <f t="shared" si="11"/>
        <v>0</v>
      </c>
      <c r="H38" s="27">
        <f t="shared" si="11"/>
        <v>2934</v>
      </c>
      <c r="I38" s="26">
        <f t="shared" si="11"/>
        <v>1565191.22</v>
      </c>
      <c r="J38" s="26">
        <f t="shared" si="11"/>
        <v>27865406.09</v>
      </c>
      <c r="K38" s="26">
        <f t="shared" si="11"/>
        <v>-26300214.87</v>
      </c>
      <c r="L38" s="26">
        <f t="shared" si="11"/>
        <v>18553942.09</v>
      </c>
      <c r="M38" s="26">
        <f t="shared" si="11"/>
        <v>77778951.52</v>
      </c>
      <c r="N38" s="26">
        <f t="shared" si="11"/>
        <v>-59225009.43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26">
        <f t="shared" ref="D39:N39" si="12">D34+D38</f>
        <v>70672535478</v>
      </c>
      <c r="E39" s="26">
        <f t="shared" si="12"/>
        <v>771569953.7</v>
      </c>
      <c r="F39" s="26">
        <f t="shared" si="12"/>
        <v>69900965524</v>
      </c>
      <c r="G39" s="26">
        <f t="shared" si="12"/>
        <v>64102287028</v>
      </c>
      <c r="H39" s="27">
        <f t="shared" si="12"/>
        <v>660095</v>
      </c>
      <c r="I39" s="26">
        <f t="shared" si="12"/>
        <v>453181683.8</v>
      </c>
      <c r="J39" s="26">
        <f t="shared" si="12"/>
        <v>609071123.9</v>
      </c>
      <c r="K39" s="26">
        <f t="shared" si="12"/>
        <v>-155889440.2</v>
      </c>
      <c r="L39" s="26">
        <f t="shared" si="12"/>
        <v>2404306817</v>
      </c>
      <c r="M39" s="26">
        <f t="shared" si="12"/>
        <v>2691381331</v>
      </c>
      <c r="N39" s="26">
        <f t="shared" si="12"/>
        <v>-287074513.9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19"/>
      <c r="E40" s="19"/>
      <c r="F40" s="19"/>
      <c r="G40" s="19"/>
      <c r="H40" s="20"/>
      <c r="I40" s="19"/>
      <c r="J40" s="20"/>
      <c r="K40" s="20"/>
      <c r="L40" s="20"/>
      <c r="M40" s="20"/>
      <c r="N40" s="2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19"/>
      <c r="E41" s="19"/>
      <c r="F41" s="19"/>
      <c r="G41" s="19"/>
      <c r="H41" s="20"/>
      <c r="I41" s="19"/>
      <c r="J41" s="20"/>
      <c r="K41" s="20"/>
      <c r="L41" s="20"/>
      <c r="M41" s="20"/>
      <c r="N41" s="2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19">
        <v>1.2098976336000001E8</v>
      </c>
      <c r="E42" s="19">
        <v>4620873.38</v>
      </c>
      <c r="F42" s="19">
        <f t="shared" ref="F42:F51" si="13">D42-E42</f>
        <v>116368890</v>
      </c>
      <c r="G42" s="19">
        <v>3.89066157E7</v>
      </c>
      <c r="H42" s="20">
        <v>721.0</v>
      </c>
      <c r="I42" s="19">
        <v>477641.50999999995</v>
      </c>
      <c r="J42" s="20">
        <v>307049.61000000004</v>
      </c>
      <c r="K42" s="20">
        <f t="shared" ref="K42:K51" si="14">I42-J42</f>
        <v>170591.9</v>
      </c>
      <c r="L42" s="20">
        <f>I42+'Feb UPDATED'!L42</f>
        <v>1090496.06</v>
      </c>
      <c r="M42" s="20">
        <f>J42+'Feb UPDATED'!M42</f>
        <v>739241</v>
      </c>
      <c r="N42" s="20">
        <f t="shared" ref="N42:N51" si="15">L42-M42</f>
        <v>351255.06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19">
        <v>6.1051091424E8</v>
      </c>
      <c r="E43" s="19">
        <v>2.922381677E7</v>
      </c>
      <c r="F43" s="19">
        <f t="shared" si="13"/>
        <v>581287097.5</v>
      </c>
      <c r="G43" s="19">
        <v>3.088745518E8</v>
      </c>
      <c r="H43" s="20">
        <v>2421.0</v>
      </c>
      <c r="I43" s="19">
        <v>1018084.0900000001</v>
      </c>
      <c r="J43" s="20">
        <v>3716688.609999998</v>
      </c>
      <c r="K43" s="20">
        <f t="shared" si="14"/>
        <v>-2698604.52</v>
      </c>
      <c r="L43" s="20">
        <f>I43+'Feb UPDATED'!L43</f>
        <v>3123622.09</v>
      </c>
      <c r="M43" s="20">
        <f>J43+'Feb UPDATED'!M43</f>
        <v>16165567.47</v>
      </c>
      <c r="N43" s="20">
        <f t="shared" si="15"/>
        <v>-13041945.38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19">
        <v>1.066573414E9</v>
      </c>
      <c r="E44" s="19">
        <v>1.0403781E7</v>
      </c>
      <c r="F44" s="19">
        <f t="shared" si="13"/>
        <v>1056169633</v>
      </c>
      <c r="G44" s="19">
        <v>4.9126651E8</v>
      </c>
      <c r="H44" s="20">
        <v>4666.0</v>
      </c>
      <c r="I44" s="19">
        <v>3988943.0</v>
      </c>
      <c r="J44" s="20">
        <v>5214011.0</v>
      </c>
      <c r="K44" s="20">
        <f t="shared" si="14"/>
        <v>-1225068</v>
      </c>
      <c r="L44" s="20">
        <f>I44+'Feb UPDATED'!L44</f>
        <v>6487314.55</v>
      </c>
      <c r="M44" s="20">
        <f>J44+'Feb UPDATED'!M44</f>
        <v>14463100.08</v>
      </c>
      <c r="N44" s="20">
        <f t="shared" si="15"/>
        <v>-7975785.53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19">
        <v>2.75364511E8</v>
      </c>
      <c r="E45" s="19">
        <v>5099873.0</v>
      </c>
      <c r="F45" s="19">
        <f t="shared" si="13"/>
        <v>270264638</v>
      </c>
      <c r="G45" s="19">
        <v>1.27721725E8</v>
      </c>
      <c r="H45" s="20">
        <v>242.0</v>
      </c>
      <c r="I45" s="19">
        <v>561245.0</v>
      </c>
      <c r="J45" s="20">
        <v>1.4197748E7</v>
      </c>
      <c r="K45" s="20">
        <f t="shared" si="14"/>
        <v>-13636503</v>
      </c>
      <c r="L45" s="20">
        <f>I45+'Feb UPDATED'!L45</f>
        <v>9671594.27</v>
      </c>
      <c r="M45" s="20">
        <f>J45+'Feb UPDATED'!M45</f>
        <v>42536435.26</v>
      </c>
      <c r="N45" s="20">
        <f t="shared" si="15"/>
        <v>-32864840.99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19">
        <v>3.48826992E8</v>
      </c>
      <c r="E46" s="19">
        <v>4210140.0</v>
      </c>
      <c r="F46" s="19">
        <f t="shared" si="13"/>
        <v>344616852</v>
      </c>
      <c r="G46" s="19">
        <v>1.54934365E8</v>
      </c>
      <c r="H46" s="20">
        <v>54.0</v>
      </c>
      <c r="I46" s="19">
        <v>0.0</v>
      </c>
      <c r="J46" s="20">
        <v>1339656.0</v>
      </c>
      <c r="K46" s="20">
        <f t="shared" si="14"/>
        <v>-1339656</v>
      </c>
      <c r="L46" s="20">
        <f>I46+'Feb UPDATED'!L46</f>
        <v>0</v>
      </c>
      <c r="M46" s="20">
        <f>J46+'Feb UPDATED'!M46</f>
        <v>1508185</v>
      </c>
      <c r="N46" s="20">
        <f t="shared" si="15"/>
        <v>-1508185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19">
        <v>5.6385721224E8</v>
      </c>
      <c r="E47" s="19">
        <v>2.020435884E7</v>
      </c>
      <c r="F47" s="19">
        <f t="shared" si="13"/>
        <v>543652853.4</v>
      </c>
      <c r="G47" s="19">
        <v>3.0579293836E8</v>
      </c>
      <c r="H47" s="20">
        <v>10074.0</v>
      </c>
      <c r="I47" s="19">
        <v>215789.38</v>
      </c>
      <c r="J47" s="20">
        <v>6913739.28</v>
      </c>
      <c r="K47" s="20">
        <f t="shared" si="14"/>
        <v>-6697949.9</v>
      </c>
      <c r="L47" s="20">
        <f>I47+'Feb UPDATED'!L47</f>
        <v>1928994.27</v>
      </c>
      <c r="M47" s="20">
        <f>J47+'Feb UPDATED'!M47</f>
        <v>12123095.2</v>
      </c>
      <c r="N47" s="20">
        <f t="shared" si="15"/>
        <v>-10194100.93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19">
        <v>2.11004645141E9</v>
      </c>
      <c r="E48" s="19">
        <v>6.910562756E7</v>
      </c>
      <c r="F48" s="19">
        <f t="shared" si="13"/>
        <v>2040940824</v>
      </c>
      <c r="G48" s="19">
        <v>1.04669159795E9</v>
      </c>
      <c r="H48" s="20">
        <v>8155.0</v>
      </c>
      <c r="I48" s="19">
        <v>2603529.84</v>
      </c>
      <c r="J48" s="20">
        <v>1.759905378E7</v>
      </c>
      <c r="K48" s="20">
        <f t="shared" si="14"/>
        <v>-14995523.94</v>
      </c>
      <c r="L48" s="20">
        <f>I48+'Feb UPDATED'!L48</f>
        <v>6642233.24</v>
      </c>
      <c r="M48" s="20">
        <f>J48+'Feb UPDATED'!M48</f>
        <v>48668489.36</v>
      </c>
      <c r="N48" s="20">
        <f t="shared" si="15"/>
        <v>-42026256.12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19">
        <v>1.3688717636E8</v>
      </c>
      <c r="E49" s="19">
        <v>175395.72</v>
      </c>
      <c r="F49" s="19">
        <f t="shared" si="13"/>
        <v>136711780.6</v>
      </c>
      <c r="G49" s="19">
        <v>7.67449851E7</v>
      </c>
      <c r="H49" s="20">
        <v>198.0</v>
      </c>
      <c r="I49" s="19">
        <v>189997.69</v>
      </c>
      <c r="J49" s="20">
        <v>1083116.32</v>
      </c>
      <c r="K49" s="20">
        <f t="shared" si="14"/>
        <v>-893118.63</v>
      </c>
      <c r="L49" s="20">
        <f>I49+'Feb UPDATED'!L49</f>
        <v>211296.33</v>
      </c>
      <c r="M49" s="20">
        <f>J49+'Feb UPDATED'!M49</f>
        <v>1632502.14</v>
      </c>
      <c r="N49" s="20">
        <f t="shared" si="15"/>
        <v>-1421205.81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19">
        <v>7.375675892E9</v>
      </c>
      <c r="E50" s="19">
        <v>1.98603406E8</v>
      </c>
      <c r="F50" s="19">
        <f t="shared" si="13"/>
        <v>7177072486</v>
      </c>
      <c r="G50" s="19">
        <v>3.589499495E9</v>
      </c>
      <c r="H50" s="20">
        <v>53735.0</v>
      </c>
      <c r="I50" s="19">
        <v>9233564.0</v>
      </c>
      <c r="J50" s="20">
        <v>4.1999437E7</v>
      </c>
      <c r="K50" s="20">
        <f t="shared" si="14"/>
        <v>-32765873</v>
      </c>
      <c r="L50" s="20">
        <f>I50+'Feb UPDATED'!L50</f>
        <v>25898108.15</v>
      </c>
      <c r="M50" s="20">
        <f>J50+'Feb UPDATED'!M50</f>
        <v>166522206.2</v>
      </c>
      <c r="N50" s="20">
        <f t="shared" si="15"/>
        <v>-140624098.1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19">
        <v>1.163857508E9</v>
      </c>
      <c r="E51" s="19">
        <v>5762876.0</v>
      </c>
      <c r="F51" s="19">
        <f t="shared" si="13"/>
        <v>1158094632</v>
      </c>
      <c r="G51" s="19">
        <v>6.01738295E8</v>
      </c>
      <c r="H51" s="20">
        <v>4998.0</v>
      </c>
      <c r="I51" s="19">
        <v>0.0</v>
      </c>
      <c r="J51" s="20">
        <v>1812809.0</v>
      </c>
      <c r="K51" s="20">
        <f t="shared" si="14"/>
        <v>-1812809</v>
      </c>
      <c r="L51" s="20">
        <f>I51+'Feb UPDATED'!L51</f>
        <v>0</v>
      </c>
      <c r="M51" s="20">
        <f>J51+'Feb UPDATED'!M51</f>
        <v>15774239.81</v>
      </c>
      <c r="N51" s="20">
        <f t="shared" si="15"/>
        <v>-15774239.81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19"/>
      <c r="E52" s="19"/>
      <c r="F52" s="19"/>
      <c r="G52" s="19"/>
      <c r="H52" s="20"/>
      <c r="I52" s="19"/>
      <c r="J52" s="20"/>
      <c r="K52" s="20"/>
      <c r="L52" s="20"/>
      <c r="M52" s="20"/>
      <c r="N52" s="2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19">
        <v>7.7087833E7</v>
      </c>
      <c r="E53" s="19">
        <v>263561.0</v>
      </c>
      <c r="F53" s="19">
        <f t="shared" ref="F53:F55" si="16">D53-E53</f>
        <v>76824272</v>
      </c>
      <c r="G53" s="19">
        <v>2.2733718E7</v>
      </c>
      <c r="H53" s="20">
        <v>1076.0</v>
      </c>
      <c r="I53" s="19">
        <v>693746.0</v>
      </c>
      <c r="J53" s="20">
        <v>160402.0</v>
      </c>
      <c r="K53" s="20">
        <f t="shared" ref="K53:K55" si="17">I53-J53</f>
        <v>533344</v>
      </c>
      <c r="L53" s="20">
        <f>I53+'Feb UPDATED'!L53</f>
        <v>1637171.2</v>
      </c>
      <c r="M53" s="20">
        <f>J53+'Feb UPDATED'!M53</f>
        <v>331541.55</v>
      </c>
      <c r="N53" s="20">
        <f t="shared" ref="N53:N55" si="18">L53-M53</f>
        <v>1305629.65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19">
        <v>5.6229131E7</v>
      </c>
      <c r="E54" s="19">
        <v>286320.0</v>
      </c>
      <c r="F54" s="19">
        <f t="shared" si="16"/>
        <v>55942811</v>
      </c>
      <c r="G54" s="19">
        <v>4.398974E7</v>
      </c>
      <c r="H54" s="20">
        <v>418.0</v>
      </c>
      <c r="I54" s="19">
        <v>119139.0</v>
      </c>
      <c r="J54" s="20">
        <v>134976.0</v>
      </c>
      <c r="K54" s="20">
        <f t="shared" si="17"/>
        <v>-15837</v>
      </c>
      <c r="L54" s="20">
        <f>I54+'Feb UPDATED'!L54</f>
        <v>685741</v>
      </c>
      <c r="M54" s="20">
        <f>J54+'Feb UPDATED'!M54</f>
        <v>321665.19</v>
      </c>
      <c r="N54" s="20">
        <f t="shared" si="18"/>
        <v>364075.81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19">
        <v>4.7437164E7</v>
      </c>
      <c r="E55" s="19">
        <v>553991.0</v>
      </c>
      <c r="F55" s="19">
        <f t="shared" si="16"/>
        <v>46883173</v>
      </c>
      <c r="G55" s="19">
        <v>3.9614389E7</v>
      </c>
      <c r="H55" s="20">
        <v>196.0</v>
      </c>
      <c r="I55" s="19">
        <v>48535.0</v>
      </c>
      <c r="J55" s="20">
        <v>0.0</v>
      </c>
      <c r="K55" s="20">
        <f t="shared" si="17"/>
        <v>48535</v>
      </c>
      <c r="L55" s="20">
        <f>I55+'Feb UPDATED'!L55</f>
        <v>181950</v>
      </c>
      <c r="M55" s="20">
        <f>J55+'Feb UPDATED'!M55</f>
        <v>91381.96</v>
      </c>
      <c r="N55" s="20">
        <f t="shared" si="18"/>
        <v>90568.04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26">
        <f t="shared" ref="D56:N56" si="19">SUM(D42:D55)</f>
        <v>13953343963</v>
      </c>
      <c r="E56" s="26">
        <f t="shared" si="19"/>
        <v>348514020.3</v>
      </c>
      <c r="F56" s="26">
        <f t="shared" si="19"/>
        <v>13604829942</v>
      </c>
      <c r="G56" s="26">
        <f t="shared" si="19"/>
        <v>6848508926</v>
      </c>
      <c r="H56" s="27">
        <f t="shared" si="19"/>
        <v>86954</v>
      </c>
      <c r="I56" s="26">
        <f t="shared" si="19"/>
        <v>19150214.51</v>
      </c>
      <c r="J56" s="26">
        <f t="shared" si="19"/>
        <v>94478686.6</v>
      </c>
      <c r="K56" s="26">
        <f t="shared" si="19"/>
        <v>-75328472.09</v>
      </c>
      <c r="L56" s="26">
        <f t="shared" si="19"/>
        <v>57558521.16</v>
      </c>
      <c r="M56" s="26">
        <f t="shared" si="19"/>
        <v>320877650.3</v>
      </c>
      <c r="N56" s="26">
        <f t="shared" si="19"/>
        <v>-263319129.1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19"/>
      <c r="E57" s="19"/>
      <c r="F57" s="19"/>
      <c r="G57" s="19"/>
      <c r="H57" s="20"/>
      <c r="I57" s="19"/>
      <c r="J57" s="20"/>
      <c r="K57" s="20"/>
      <c r="L57" s="20"/>
      <c r="M57" s="20"/>
      <c r="N57" s="2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108</v>
      </c>
      <c r="D58" s="19">
        <v>7.0617171E7</v>
      </c>
      <c r="E58" s="19">
        <v>405074.0</v>
      </c>
      <c r="F58" s="19">
        <f t="shared" ref="F58:F61" si="20">D58-E58</f>
        <v>70212097</v>
      </c>
      <c r="G58" s="19">
        <v>0.0</v>
      </c>
      <c r="H58" s="20">
        <v>51.0</v>
      </c>
      <c r="I58" s="19">
        <v>0.0</v>
      </c>
      <c r="J58" s="19">
        <v>341250.0</v>
      </c>
      <c r="K58" s="20">
        <f t="shared" ref="K58:K61" si="21">I58-J58</f>
        <v>-341250</v>
      </c>
      <c r="L58" s="20">
        <f>I58+'Feb UPDATED'!L58</f>
        <v>0</v>
      </c>
      <c r="M58" s="20">
        <f>J58+'Feb UPDATED'!M58</f>
        <v>447875.7492</v>
      </c>
      <c r="N58" s="20">
        <f t="shared" ref="N58:N61" si="22">L58-M58</f>
        <v>-447875.7492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19">
        <v>3.489329554344E8</v>
      </c>
      <c r="E59" s="19">
        <v>2.72560480092E7</v>
      </c>
      <c r="F59" s="19">
        <f t="shared" si="20"/>
        <v>321676907.4</v>
      </c>
      <c r="G59" s="19">
        <v>1.7359193295E8</v>
      </c>
      <c r="H59" s="20">
        <v>259.0</v>
      </c>
      <c r="I59" s="19">
        <v>265.8204</v>
      </c>
      <c r="J59" s="19">
        <v>6403718.3508</v>
      </c>
      <c r="K59" s="20">
        <f t="shared" si="21"/>
        <v>-6403452.53</v>
      </c>
      <c r="L59" s="20">
        <f>I59+'Feb UPDATED'!L59</f>
        <v>5631.4684</v>
      </c>
      <c r="M59" s="20">
        <f>J59+'Feb UPDATED'!M59</f>
        <v>9739240.44</v>
      </c>
      <c r="N59" s="20">
        <f t="shared" si="22"/>
        <v>-9733608.972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19">
        <v>1.51462497E9</v>
      </c>
      <c r="E60" s="19">
        <v>2.5346512E7</v>
      </c>
      <c r="F60" s="19">
        <f t="shared" si="20"/>
        <v>1489278458</v>
      </c>
      <c r="G60" s="19">
        <v>0.0</v>
      </c>
      <c r="H60" s="20">
        <v>4142.0</v>
      </c>
      <c r="I60" s="19">
        <v>447058.0</v>
      </c>
      <c r="J60" s="19">
        <v>3.1627503E7</v>
      </c>
      <c r="K60" s="20">
        <f t="shared" si="21"/>
        <v>-31180445</v>
      </c>
      <c r="L60" s="20">
        <f>I60+'Feb UPDATED'!L60</f>
        <v>2766963.286</v>
      </c>
      <c r="M60" s="20">
        <f>J60+'Feb UPDATED'!M60</f>
        <v>44017287.24</v>
      </c>
      <c r="N60" s="20">
        <f t="shared" si="22"/>
        <v>-41250323.95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19">
        <v>2.62558618E8</v>
      </c>
      <c r="E61" s="19">
        <v>713341.0</v>
      </c>
      <c r="F61" s="19">
        <f t="shared" si="20"/>
        <v>261845277</v>
      </c>
      <c r="G61" s="19">
        <v>0.0</v>
      </c>
      <c r="H61" s="20">
        <v>717.0</v>
      </c>
      <c r="I61" s="19">
        <v>0.0</v>
      </c>
      <c r="J61" s="19">
        <v>328480.0</v>
      </c>
      <c r="K61" s="20">
        <f t="shared" si="21"/>
        <v>-328480</v>
      </c>
      <c r="L61" s="20">
        <f>I61+'Feb UPDATED'!L61</f>
        <v>645309.064</v>
      </c>
      <c r="M61" s="20">
        <f>J61+'Feb UPDATED'!M61</f>
        <v>30957204.42</v>
      </c>
      <c r="N61" s="20">
        <f t="shared" si="22"/>
        <v>-30311895.35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26">
        <f t="shared" ref="D62:N62" si="23">SUM(D58:D61)</f>
        <v>2196733714</v>
      </c>
      <c r="E62" s="26">
        <f t="shared" si="23"/>
        <v>53720975.01</v>
      </c>
      <c r="F62" s="26">
        <f t="shared" si="23"/>
        <v>2143012739</v>
      </c>
      <c r="G62" s="26">
        <f t="shared" si="23"/>
        <v>173591933</v>
      </c>
      <c r="H62" s="27">
        <f t="shared" si="23"/>
        <v>5169</v>
      </c>
      <c r="I62" s="26">
        <f t="shared" si="23"/>
        <v>447323.8204</v>
      </c>
      <c r="J62" s="26">
        <f t="shared" si="23"/>
        <v>38700951.35</v>
      </c>
      <c r="K62" s="26">
        <f t="shared" si="23"/>
        <v>-38253627.53</v>
      </c>
      <c r="L62" s="26">
        <f t="shared" si="23"/>
        <v>3417903.818</v>
      </c>
      <c r="M62" s="26">
        <f t="shared" si="23"/>
        <v>85161607.85</v>
      </c>
      <c r="N62" s="26">
        <f t="shared" si="23"/>
        <v>-81743704.03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26">
        <f t="shared" ref="D63:N63" si="24">D56+D62</f>
        <v>16150077677</v>
      </c>
      <c r="E63" s="26">
        <f t="shared" si="24"/>
        <v>402234995.3</v>
      </c>
      <c r="F63" s="26">
        <f t="shared" si="24"/>
        <v>15747842682</v>
      </c>
      <c r="G63" s="26">
        <f t="shared" si="24"/>
        <v>7022100859</v>
      </c>
      <c r="H63" s="27">
        <f t="shared" si="24"/>
        <v>92123</v>
      </c>
      <c r="I63" s="26">
        <f t="shared" si="24"/>
        <v>19597538.33</v>
      </c>
      <c r="J63" s="26">
        <f t="shared" si="24"/>
        <v>133179638</v>
      </c>
      <c r="K63" s="26">
        <f t="shared" si="24"/>
        <v>-113582099.6</v>
      </c>
      <c r="L63" s="26">
        <f t="shared" si="24"/>
        <v>60976424.98</v>
      </c>
      <c r="M63" s="26">
        <f t="shared" si="24"/>
        <v>406039258.1</v>
      </c>
      <c r="N63" s="26">
        <f t="shared" si="24"/>
        <v>-345062833.1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19"/>
      <c r="E64" s="19"/>
      <c r="F64" s="19"/>
      <c r="G64" s="19"/>
      <c r="H64" s="20"/>
      <c r="I64" s="19"/>
      <c r="J64" s="20"/>
      <c r="K64" s="20"/>
      <c r="L64" s="20"/>
      <c r="M64" s="20"/>
      <c r="N64" s="2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19"/>
      <c r="E65" s="19"/>
      <c r="F65" s="19"/>
      <c r="G65" s="19"/>
      <c r="H65" s="20"/>
      <c r="I65" s="19"/>
      <c r="J65" s="20"/>
      <c r="K65" s="20"/>
      <c r="L65" s="20"/>
      <c r="M65" s="20"/>
      <c r="N65" s="2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19">
        <v>3.902361322058E10</v>
      </c>
      <c r="E66" s="19">
        <v>2.5566800098E8</v>
      </c>
      <c r="F66" s="19">
        <f t="shared" ref="F66:F76" si="25">D66-E66</f>
        <v>38767945220</v>
      </c>
      <c r="G66" s="19">
        <v>9.097053E8</v>
      </c>
      <c r="H66" s="20">
        <v>24750.0</v>
      </c>
      <c r="I66" s="19">
        <v>2.9249278973E8</v>
      </c>
      <c r="J66" s="20">
        <v>9.1148191078E8</v>
      </c>
      <c r="K66" s="20">
        <f t="shared" ref="K66:K76" si="26">I66-J66</f>
        <v>-618989121.1</v>
      </c>
      <c r="L66" s="20">
        <f>I66+'Feb UPDATED'!L66</f>
        <v>837841261.2</v>
      </c>
      <c r="M66" s="20">
        <f>J66+'Feb UPDATED'!M66</f>
        <v>2157279967</v>
      </c>
      <c r="N66" s="20">
        <f t="shared" ref="N66:N76" si="27">L66-M66</f>
        <v>-1319438706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19">
        <v>5.0559737996E8</v>
      </c>
      <c r="E67" s="19">
        <v>2.823722178E7</v>
      </c>
      <c r="F67" s="19">
        <f t="shared" si="25"/>
        <v>477360158.2</v>
      </c>
      <c r="G67" s="19">
        <v>0.0</v>
      </c>
      <c r="H67" s="20">
        <v>1086.0</v>
      </c>
      <c r="I67" s="19">
        <v>1.438413318E7</v>
      </c>
      <c r="J67" s="20">
        <v>6057351.66</v>
      </c>
      <c r="K67" s="20">
        <f t="shared" si="26"/>
        <v>8326781.52</v>
      </c>
      <c r="L67" s="20">
        <f>I67+'Feb UPDATED'!L67</f>
        <v>32574305.54</v>
      </c>
      <c r="M67" s="20">
        <f>J67+'Feb UPDATED'!M67</f>
        <v>22388002.25</v>
      </c>
      <c r="N67" s="20">
        <f t="shared" si="27"/>
        <v>10186303.29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19">
        <v>9.99932385E8</v>
      </c>
      <c r="E68" s="19">
        <v>1.5829484E7</v>
      </c>
      <c r="F68" s="19">
        <f t="shared" si="25"/>
        <v>984102901</v>
      </c>
      <c r="G68" s="19">
        <v>0.0</v>
      </c>
      <c r="H68" s="20">
        <v>1967.0</v>
      </c>
      <c r="I68" s="19">
        <v>1.1166158E7</v>
      </c>
      <c r="J68" s="20">
        <v>3.7405552E7</v>
      </c>
      <c r="K68" s="20">
        <f t="shared" si="26"/>
        <v>-26239394</v>
      </c>
      <c r="L68" s="20">
        <f>I68+'Feb UPDATED'!L68</f>
        <v>21474256.61</v>
      </c>
      <c r="M68" s="20">
        <f>J68+'Feb UPDATED'!M68</f>
        <v>42667489.43</v>
      </c>
      <c r="N68" s="20">
        <f t="shared" si="27"/>
        <v>-21193232.82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19">
        <v>1.959263657E8</v>
      </c>
      <c r="E69" s="19">
        <v>175364.13</v>
      </c>
      <c r="F69" s="19">
        <f t="shared" si="25"/>
        <v>195751001.6</v>
      </c>
      <c r="G69" s="19">
        <v>4752500.0</v>
      </c>
      <c r="H69" s="20">
        <v>189.0</v>
      </c>
      <c r="I69" s="19">
        <v>1866573.78</v>
      </c>
      <c r="J69" s="20">
        <v>3837803.45</v>
      </c>
      <c r="K69" s="20">
        <f t="shared" si="26"/>
        <v>-1971229.67</v>
      </c>
      <c r="L69" s="20">
        <f>I69+'Feb UPDATED'!L69</f>
        <v>3098037.77</v>
      </c>
      <c r="M69" s="20">
        <f>J69+'Feb UPDATED'!M69</f>
        <v>4172275.1</v>
      </c>
      <c r="N69" s="20">
        <f t="shared" si="27"/>
        <v>-1074237.33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19">
        <v>1.354566325E9</v>
      </c>
      <c r="E70" s="19">
        <v>2607981.0</v>
      </c>
      <c r="F70" s="19">
        <f t="shared" si="25"/>
        <v>1351958344</v>
      </c>
      <c r="G70" s="19">
        <v>0.0</v>
      </c>
      <c r="H70" s="20">
        <v>1823.0</v>
      </c>
      <c r="I70" s="19">
        <v>8425000.0</v>
      </c>
      <c r="J70" s="20">
        <v>5135947.0</v>
      </c>
      <c r="K70" s="20">
        <f t="shared" si="26"/>
        <v>3289053</v>
      </c>
      <c r="L70" s="20">
        <f>I70+'Feb UPDATED'!L70</f>
        <v>69708595.13</v>
      </c>
      <c r="M70" s="20">
        <f>J70+'Feb UPDATED'!M70</f>
        <v>16254703.67</v>
      </c>
      <c r="N70" s="20">
        <f t="shared" si="27"/>
        <v>53453891.46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19">
        <v>7.6218494474E8</v>
      </c>
      <c r="E71" s="19">
        <v>3.656152569E7</v>
      </c>
      <c r="F71" s="19">
        <f t="shared" si="25"/>
        <v>725623419.1</v>
      </c>
      <c r="G71" s="19">
        <v>0.0</v>
      </c>
      <c r="H71" s="20">
        <v>501.0</v>
      </c>
      <c r="I71" s="19">
        <v>1014356.1</v>
      </c>
      <c r="J71" s="20">
        <v>2814741.69</v>
      </c>
      <c r="K71" s="20">
        <f t="shared" si="26"/>
        <v>-1800385.59</v>
      </c>
      <c r="L71" s="20">
        <f>I71+'Feb UPDATED'!L71</f>
        <v>6438783.85</v>
      </c>
      <c r="M71" s="20">
        <f>J71+'Feb UPDATED'!M71</f>
        <v>104157657</v>
      </c>
      <c r="N71" s="20">
        <f t="shared" si="27"/>
        <v>-97718873.16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19">
        <v>1.71286495817E9</v>
      </c>
      <c r="E72" s="19">
        <v>2.361416978E7</v>
      </c>
      <c r="F72" s="19">
        <f t="shared" si="25"/>
        <v>1689250788</v>
      </c>
      <c r="G72" s="19">
        <v>0.0</v>
      </c>
      <c r="H72" s="20">
        <v>4998.0</v>
      </c>
      <c r="I72" s="19">
        <v>4850303.48</v>
      </c>
      <c r="J72" s="20">
        <v>2.464239385E7</v>
      </c>
      <c r="K72" s="20">
        <f t="shared" si="26"/>
        <v>-19792090.37</v>
      </c>
      <c r="L72" s="20">
        <f>I72+'Feb UPDATED'!L72</f>
        <v>12138515.89</v>
      </c>
      <c r="M72" s="20">
        <f>J72+'Feb UPDATED'!M72</f>
        <v>38299534.85</v>
      </c>
      <c r="N72" s="20">
        <f t="shared" si="27"/>
        <v>-26161018.96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19">
        <v>3.08100325E8</v>
      </c>
      <c r="E73" s="19">
        <v>427721.0</v>
      </c>
      <c r="F73" s="19">
        <f t="shared" si="25"/>
        <v>307672604</v>
      </c>
      <c r="G73" s="19">
        <v>0.0</v>
      </c>
      <c r="H73" s="20">
        <v>4173.0</v>
      </c>
      <c r="I73" s="19">
        <v>1.2940326E7</v>
      </c>
      <c r="J73" s="20">
        <v>1.2906021E7</v>
      </c>
      <c r="K73" s="20">
        <f t="shared" si="26"/>
        <v>34305</v>
      </c>
      <c r="L73" s="20">
        <f>I73+'Feb UPDATED'!L73</f>
        <v>15334937.01</v>
      </c>
      <c r="M73" s="20">
        <f>J73+'Feb UPDATED'!M73</f>
        <v>16594168.75</v>
      </c>
      <c r="N73" s="20">
        <f t="shared" si="27"/>
        <v>-1259231.74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19">
        <v>1.3981806380300002E9</v>
      </c>
      <c r="E74" s="19">
        <v>6.103655726E7</v>
      </c>
      <c r="F74" s="19">
        <f t="shared" si="25"/>
        <v>1337144081</v>
      </c>
      <c r="G74" s="19">
        <v>0.0</v>
      </c>
      <c r="H74" s="20">
        <v>822.0</v>
      </c>
      <c r="I74" s="19">
        <v>2.611102743E7</v>
      </c>
      <c r="J74" s="20">
        <v>295505.17</v>
      </c>
      <c r="K74" s="20">
        <f t="shared" si="26"/>
        <v>25815522.26</v>
      </c>
      <c r="L74" s="20">
        <f>I74+'Feb UPDATED'!L74</f>
        <v>103038335.5</v>
      </c>
      <c r="M74" s="20">
        <f>J74+'Feb UPDATED'!M74</f>
        <v>2996959</v>
      </c>
      <c r="N74" s="20">
        <f t="shared" si="27"/>
        <v>100041376.5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19">
        <v>5.0863259E9</v>
      </c>
      <c r="E75" s="19">
        <v>1.85866981E8</v>
      </c>
      <c r="F75" s="19">
        <f t="shared" si="25"/>
        <v>4900458919</v>
      </c>
      <c r="G75" s="19">
        <v>0.0</v>
      </c>
      <c r="H75" s="20">
        <v>16870.0</v>
      </c>
      <c r="I75" s="19">
        <v>1.02473415E8</v>
      </c>
      <c r="J75" s="20">
        <v>3.6252255E7</v>
      </c>
      <c r="K75" s="20">
        <f t="shared" si="26"/>
        <v>66221160</v>
      </c>
      <c r="L75" s="20">
        <f>I75+'Feb UPDATED'!L75</f>
        <v>565047786</v>
      </c>
      <c r="M75" s="20">
        <f>J75+'Feb UPDATED'!M75</f>
        <v>219267428</v>
      </c>
      <c r="N75" s="20">
        <f t="shared" si="27"/>
        <v>345780358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19">
        <v>1.45878002E8</v>
      </c>
      <c r="E76" s="19">
        <v>6512823.0</v>
      </c>
      <c r="F76" s="19">
        <f t="shared" si="25"/>
        <v>139365179</v>
      </c>
      <c r="G76" s="19">
        <v>0.0</v>
      </c>
      <c r="H76" s="20">
        <v>2668.0</v>
      </c>
      <c r="I76" s="40">
        <v>493913.0</v>
      </c>
      <c r="J76" s="20">
        <v>707155.0</v>
      </c>
      <c r="K76" s="20">
        <f t="shared" si="26"/>
        <v>-213242</v>
      </c>
      <c r="L76" s="20">
        <f>I76+'Feb UPDATED'!L76</f>
        <v>1488132.44</v>
      </c>
      <c r="M76" s="20">
        <f>J76+'Feb UPDATED'!M76</f>
        <v>2245623.71</v>
      </c>
      <c r="N76" s="20">
        <f t="shared" si="27"/>
        <v>-757491.27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26">
        <f t="shared" ref="D77:N77" si="28">SUM(D66:D76)</f>
        <v>51493170444</v>
      </c>
      <c r="E77" s="26">
        <f t="shared" si="28"/>
        <v>616537829.6</v>
      </c>
      <c r="F77" s="26">
        <f t="shared" si="28"/>
        <v>50876632615</v>
      </c>
      <c r="G77" s="26">
        <f t="shared" si="28"/>
        <v>914457800</v>
      </c>
      <c r="H77" s="27">
        <f t="shared" si="28"/>
        <v>59847</v>
      </c>
      <c r="I77" s="26">
        <f t="shared" si="28"/>
        <v>476217995.7</v>
      </c>
      <c r="J77" s="26">
        <f t="shared" si="28"/>
        <v>1041536637</v>
      </c>
      <c r="K77" s="26">
        <f t="shared" si="28"/>
        <v>-565318640.9</v>
      </c>
      <c r="L77" s="26">
        <f t="shared" si="28"/>
        <v>1668182947</v>
      </c>
      <c r="M77" s="26">
        <f t="shared" si="28"/>
        <v>2626323809</v>
      </c>
      <c r="N77" s="26">
        <f t="shared" si="28"/>
        <v>-958140862.1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19"/>
      <c r="E78" s="19"/>
      <c r="F78" s="19"/>
      <c r="G78" s="19"/>
      <c r="H78" s="20"/>
      <c r="I78" s="19"/>
      <c r="J78" s="20"/>
      <c r="K78" s="20"/>
      <c r="L78" s="20"/>
      <c r="M78" s="20"/>
      <c r="N78" s="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19">
        <v>1.3495510279803598E10</v>
      </c>
      <c r="E79" s="19">
        <v>1.21737118986E8</v>
      </c>
      <c r="F79" s="19">
        <f t="shared" ref="F79:F85" si="29">D79-E79</f>
        <v>13373773161</v>
      </c>
      <c r="G79" s="19">
        <v>0.0</v>
      </c>
      <c r="H79" s="20">
        <v>8595.0</v>
      </c>
      <c r="I79" s="19">
        <v>1.1593347850079998E8</v>
      </c>
      <c r="J79" s="20">
        <v>1.899417879756E8</v>
      </c>
      <c r="K79" s="20">
        <f t="shared" ref="K79:K85" si="30">I79-J79</f>
        <v>-74008309.47</v>
      </c>
      <c r="L79" s="20">
        <f>I79+'Feb UPDATED'!L79</f>
        <v>221143714</v>
      </c>
      <c r="M79" s="20">
        <f>J79+'Feb UPDATED'!M79</f>
        <v>428658749.8</v>
      </c>
      <c r="N79" s="20">
        <f t="shared" ref="N79:N85" si="31">L79-M79</f>
        <v>-207515035.7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19">
        <v>2.839856969196E8</v>
      </c>
      <c r="E80" s="19">
        <v>3.0192722524800003E7</v>
      </c>
      <c r="F80" s="19">
        <f t="shared" si="29"/>
        <v>253792974.4</v>
      </c>
      <c r="G80" s="19">
        <v>0.0</v>
      </c>
      <c r="H80" s="20">
        <v>166.0</v>
      </c>
      <c r="I80" s="19">
        <v>215613.5</v>
      </c>
      <c r="J80" s="20">
        <v>1960325.43</v>
      </c>
      <c r="K80" s="20">
        <f t="shared" si="30"/>
        <v>-1744711.93</v>
      </c>
      <c r="L80" s="20">
        <f>I80+'Feb UPDATED'!L80</f>
        <v>1198438.08</v>
      </c>
      <c r="M80" s="20">
        <f>J80+'Feb UPDATED'!M80</f>
        <v>4110826.59</v>
      </c>
      <c r="N80" s="20">
        <f t="shared" si="31"/>
        <v>-2912388.51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19">
        <v>4.32729055E8</v>
      </c>
      <c r="E81" s="19">
        <v>3049547.0</v>
      </c>
      <c r="F81" s="19">
        <f t="shared" si="29"/>
        <v>429679508</v>
      </c>
      <c r="G81" s="19">
        <v>0.0</v>
      </c>
      <c r="H81" s="20">
        <v>157.0</v>
      </c>
      <c r="I81" s="19">
        <v>1863619.0</v>
      </c>
      <c r="J81" s="20">
        <v>548133.0</v>
      </c>
      <c r="K81" s="20">
        <f t="shared" si="30"/>
        <v>1315486</v>
      </c>
      <c r="L81" s="20">
        <f>I81+'Feb UPDATED'!L81</f>
        <v>7722912.46</v>
      </c>
      <c r="M81" s="20">
        <f>J81+'Feb UPDATED'!M81</f>
        <v>5609455.96</v>
      </c>
      <c r="N81" s="20">
        <f t="shared" si="31"/>
        <v>2113456.5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109</v>
      </c>
      <c r="D82" s="19">
        <v>6.2649406411199994E7</v>
      </c>
      <c r="E82" s="19">
        <v>1.3648513104E7</v>
      </c>
      <c r="F82" s="19">
        <f t="shared" si="29"/>
        <v>49000893.31</v>
      </c>
      <c r="G82" s="19">
        <v>0.0</v>
      </c>
      <c r="H82" s="20">
        <v>27.0</v>
      </c>
      <c r="I82" s="19">
        <v>0.0</v>
      </c>
      <c r="J82" s="20">
        <v>0.0</v>
      </c>
      <c r="K82" s="20">
        <f t="shared" si="30"/>
        <v>0</v>
      </c>
      <c r="L82" s="20">
        <f>I82+'Feb UPDATED'!L82</f>
        <v>0</v>
      </c>
      <c r="M82" s="20">
        <f>J82+'Feb UPDATED'!M82</f>
        <v>0</v>
      </c>
      <c r="N82" s="20">
        <f t="shared" si="31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19">
        <v>1.967407037982E9</v>
      </c>
      <c r="E83" s="19">
        <v>2.28988118808E7</v>
      </c>
      <c r="F83" s="19">
        <f t="shared" si="29"/>
        <v>1944508226</v>
      </c>
      <c r="G83" s="19">
        <v>0.0</v>
      </c>
      <c r="H83" s="20">
        <v>1893.0</v>
      </c>
      <c r="I83" s="19">
        <v>183005.1144</v>
      </c>
      <c r="J83" s="20">
        <v>3.231867798E7</v>
      </c>
      <c r="K83" s="20">
        <f t="shared" si="30"/>
        <v>-32135672.87</v>
      </c>
      <c r="L83" s="20">
        <f>I83+'Feb UPDATED'!L83</f>
        <v>280843.0856</v>
      </c>
      <c r="M83" s="20">
        <f>J83+'Feb UPDATED'!M83</f>
        <v>50642897.62</v>
      </c>
      <c r="N83" s="20">
        <f t="shared" si="31"/>
        <v>-50362054.53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19">
        <v>2.29947188E8</v>
      </c>
      <c r="E84" s="19">
        <v>1279774.0</v>
      </c>
      <c r="F84" s="19">
        <f t="shared" si="29"/>
        <v>228667414</v>
      </c>
      <c r="G84" s="19">
        <v>0.0</v>
      </c>
      <c r="H84" s="20">
        <v>122.0</v>
      </c>
      <c r="I84" s="19">
        <v>238912.0</v>
      </c>
      <c r="J84" s="20">
        <v>427057.0</v>
      </c>
      <c r="K84" s="20">
        <f t="shared" si="30"/>
        <v>-188145</v>
      </c>
      <c r="L84" s="20">
        <f>I84+'Feb UPDATED'!L84</f>
        <v>419293</v>
      </c>
      <c r="M84" s="20">
        <f>J84+'Feb UPDATED'!M84</f>
        <v>427057</v>
      </c>
      <c r="N84" s="20">
        <f t="shared" si="31"/>
        <v>-7764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19">
        <v>5.47684209E8</v>
      </c>
      <c r="E85" s="19">
        <v>1.9810406E7</v>
      </c>
      <c r="F85" s="19">
        <f t="shared" si="29"/>
        <v>527873803</v>
      </c>
      <c r="G85" s="19">
        <v>0.0</v>
      </c>
      <c r="H85" s="20">
        <v>2535.0</v>
      </c>
      <c r="I85" s="19">
        <v>2027444.0</v>
      </c>
      <c r="J85" s="20">
        <v>2165189.0</v>
      </c>
      <c r="K85" s="20">
        <f t="shared" si="30"/>
        <v>-137745</v>
      </c>
      <c r="L85" s="20">
        <f>I85+'Feb UPDATED'!L85</f>
        <v>96117321.16</v>
      </c>
      <c r="M85" s="20">
        <f>J85+'Feb UPDATED'!M85</f>
        <v>10158358.9</v>
      </c>
      <c r="N85" s="20">
        <f t="shared" si="31"/>
        <v>85958962.26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26">
        <f t="shared" ref="D86:N86" si="32">SUM(D79:D85)</f>
        <v>17019912873</v>
      </c>
      <c r="E86" s="26">
        <f t="shared" si="32"/>
        <v>212616893.5</v>
      </c>
      <c r="F86" s="26">
        <f t="shared" si="32"/>
        <v>16807295980</v>
      </c>
      <c r="G86" s="26">
        <f t="shared" si="32"/>
        <v>0</v>
      </c>
      <c r="H86" s="27">
        <f t="shared" si="32"/>
        <v>13495</v>
      </c>
      <c r="I86" s="26">
        <f t="shared" si="32"/>
        <v>120462072.1</v>
      </c>
      <c r="J86" s="26">
        <f t="shared" si="32"/>
        <v>227361170.4</v>
      </c>
      <c r="K86" s="26">
        <f t="shared" si="32"/>
        <v>-106899098.3</v>
      </c>
      <c r="L86" s="26">
        <f t="shared" si="32"/>
        <v>326882521.8</v>
      </c>
      <c r="M86" s="26">
        <f t="shared" si="32"/>
        <v>499607345.8</v>
      </c>
      <c r="N86" s="26">
        <f t="shared" si="32"/>
        <v>-172724824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19">
        <v>9.303899879758176E8</v>
      </c>
      <c r="E87" s="19">
        <v>7294637.6323524</v>
      </c>
      <c r="F87" s="19">
        <f>D87-E87</f>
        <v>923095350.3</v>
      </c>
      <c r="G87" s="19">
        <v>0.0</v>
      </c>
      <c r="H87" s="20">
        <v>649.0</v>
      </c>
      <c r="I87" s="19">
        <v>2985794.0387351997</v>
      </c>
      <c r="J87" s="20">
        <v>4407086.2928796</v>
      </c>
      <c r="K87" s="20">
        <f>I87-J87</f>
        <v>-1421292.254</v>
      </c>
      <c r="L87" s="20">
        <f>I87+'Feb UPDATED'!L87</f>
        <v>18284661.39</v>
      </c>
      <c r="M87" s="20">
        <f>J87+'Feb UPDATED'!M87</f>
        <v>8631913.495</v>
      </c>
      <c r="N87" s="20">
        <f>L87-M87</f>
        <v>9652747.899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26">
        <f t="shared" ref="D88:N88" si="33">SUM(D87)</f>
        <v>930389988</v>
      </c>
      <c r="E88" s="26">
        <f t="shared" si="33"/>
        <v>7294637.632</v>
      </c>
      <c r="F88" s="26">
        <f t="shared" si="33"/>
        <v>923095350.3</v>
      </c>
      <c r="G88" s="26">
        <f t="shared" si="33"/>
        <v>0</v>
      </c>
      <c r="H88" s="27">
        <f t="shared" si="33"/>
        <v>649</v>
      </c>
      <c r="I88" s="26">
        <f t="shared" si="33"/>
        <v>2985794.039</v>
      </c>
      <c r="J88" s="26">
        <f t="shared" si="33"/>
        <v>4407086.293</v>
      </c>
      <c r="K88" s="26">
        <f t="shared" si="33"/>
        <v>-1421292.254</v>
      </c>
      <c r="L88" s="26">
        <f t="shared" si="33"/>
        <v>18284661.39</v>
      </c>
      <c r="M88" s="26">
        <f t="shared" si="33"/>
        <v>8631913.495</v>
      </c>
      <c r="N88" s="26">
        <f t="shared" si="33"/>
        <v>9652747.899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26">
        <f t="shared" ref="D89:N89" si="34">D77+D86+D88</f>
        <v>69443473305</v>
      </c>
      <c r="E89" s="26">
        <f t="shared" si="34"/>
        <v>836449360.7</v>
      </c>
      <c r="F89" s="26">
        <f t="shared" si="34"/>
        <v>68607023945</v>
      </c>
      <c r="G89" s="26">
        <f t="shared" si="34"/>
        <v>914457800</v>
      </c>
      <c r="H89" s="27">
        <f t="shared" si="34"/>
        <v>73991</v>
      </c>
      <c r="I89" s="26">
        <f t="shared" si="34"/>
        <v>599665861.9</v>
      </c>
      <c r="J89" s="26">
        <f t="shared" si="34"/>
        <v>1273304893</v>
      </c>
      <c r="K89" s="26">
        <f t="shared" si="34"/>
        <v>-673639031.4</v>
      </c>
      <c r="L89" s="26">
        <f t="shared" si="34"/>
        <v>2013350130</v>
      </c>
      <c r="M89" s="26">
        <f t="shared" si="34"/>
        <v>3134563068</v>
      </c>
      <c r="N89" s="26">
        <f t="shared" si="34"/>
        <v>-1121212938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19"/>
      <c r="E90" s="19"/>
      <c r="F90" s="19"/>
      <c r="G90" s="19"/>
      <c r="H90" s="20"/>
      <c r="I90" s="19"/>
      <c r="J90" s="20"/>
      <c r="K90" s="20"/>
      <c r="L90" s="20"/>
      <c r="M90" s="20"/>
      <c r="N90" s="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19"/>
      <c r="E91" s="19"/>
      <c r="F91" s="19"/>
      <c r="G91" s="19"/>
      <c r="H91" s="20"/>
      <c r="I91" s="19"/>
      <c r="J91" s="20"/>
      <c r="K91" s="20"/>
      <c r="L91" s="20"/>
      <c r="M91" s="20"/>
      <c r="N91" s="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19">
        <v>3.676420775716E10</v>
      </c>
      <c r="E92" s="19">
        <v>2.61022444E7</v>
      </c>
      <c r="F92" s="19">
        <f t="shared" ref="F92:F94" si="35">D92-E92</f>
        <v>36738105513</v>
      </c>
      <c r="G92" s="19">
        <v>0.0</v>
      </c>
      <c r="H92" s="20">
        <v>29515.0</v>
      </c>
      <c r="I92" s="19">
        <v>2.56088177565E9</v>
      </c>
      <c r="J92" s="20">
        <v>2.5312668266E9</v>
      </c>
      <c r="K92" s="20">
        <f t="shared" ref="K92:K94" si="36">I92-J92</f>
        <v>29614949.05</v>
      </c>
      <c r="L92" s="20">
        <f>I92+'Feb UPDATED'!L92</f>
        <v>7711525429</v>
      </c>
      <c r="M92" s="20">
        <f>J92+'Feb UPDATED'!M92</f>
        <v>7275236743</v>
      </c>
      <c r="N92" s="20">
        <f t="shared" ref="N92:N94" si="37">L92-M92</f>
        <v>436288685.5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19">
        <v>2.603016622E9</v>
      </c>
      <c r="E93" s="19">
        <v>3.9479253E7</v>
      </c>
      <c r="F93" s="19">
        <f t="shared" si="35"/>
        <v>2563537369</v>
      </c>
      <c r="G93" s="19">
        <v>0.0</v>
      </c>
      <c r="H93" s="20">
        <v>766.0</v>
      </c>
      <c r="I93" s="19">
        <v>9.5191265E7</v>
      </c>
      <c r="J93" s="20">
        <v>1.3161078E8</v>
      </c>
      <c r="K93" s="20">
        <f t="shared" si="36"/>
        <v>-36419515</v>
      </c>
      <c r="L93" s="20">
        <f>I93+'Feb UPDATED'!L93</f>
        <v>248236788.7</v>
      </c>
      <c r="M93" s="20">
        <f>J93+'Feb UPDATED'!M93</f>
        <v>530284221.8</v>
      </c>
      <c r="N93" s="20">
        <f t="shared" si="37"/>
        <v>-282047433.1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19">
        <v>3.9761049435E10</v>
      </c>
      <c r="E94" s="19">
        <v>1.60208047E8</v>
      </c>
      <c r="F94" s="19">
        <f t="shared" si="35"/>
        <v>39600841388</v>
      </c>
      <c r="G94" s="19">
        <v>0.0</v>
      </c>
      <c r="H94" s="20">
        <v>66658.0</v>
      </c>
      <c r="I94" s="19">
        <v>1.353192019E9</v>
      </c>
      <c r="J94" s="20">
        <v>4.881411618E9</v>
      </c>
      <c r="K94" s="20">
        <f t="shared" si="36"/>
        <v>-3528219599</v>
      </c>
      <c r="L94" s="20">
        <f>I94+'Feb UPDATED'!L94</f>
        <v>6585586404</v>
      </c>
      <c r="M94" s="20">
        <f>J94+'Feb UPDATED'!M94</f>
        <v>19510089226</v>
      </c>
      <c r="N94" s="20">
        <f t="shared" si="37"/>
        <v>-12924502822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19"/>
      <c r="E95" s="19"/>
      <c r="F95" s="19"/>
      <c r="G95" s="19"/>
      <c r="H95" s="20"/>
      <c r="I95" s="19"/>
      <c r="J95" s="20"/>
      <c r="K95" s="20"/>
      <c r="L95" s="20"/>
      <c r="M95" s="20"/>
      <c r="N95" s="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19">
        <v>4.91127578093E9</v>
      </c>
      <c r="E96" s="19">
        <v>4463036.69</v>
      </c>
      <c r="F96" s="19">
        <f>D96-E96</f>
        <v>4906812744</v>
      </c>
      <c r="G96" s="19">
        <v>0.0</v>
      </c>
      <c r="H96" s="20">
        <v>5336.0</v>
      </c>
      <c r="I96" s="19">
        <v>1.88907526442E9</v>
      </c>
      <c r="J96" s="20">
        <v>2.67865652287E9</v>
      </c>
      <c r="K96" s="20">
        <f>I96-J96</f>
        <v>-789581258.5</v>
      </c>
      <c r="L96" s="20">
        <f>I96+'Feb UPDATED'!L96</f>
        <v>5166042319</v>
      </c>
      <c r="M96" s="20">
        <f>J96+'Feb UPDATED'!M96</f>
        <v>3819778545</v>
      </c>
      <c r="N96" s="20">
        <f>L96-M96</f>
        <v>1346263774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26">
        <f t="shared" ref="D97:N97" si="38">SUM(D92:D94)+D96</f>
        <v>84039549595</v>
      </c>
      <c r="E97" s="26">
        <f t="shared" si="38"/>
        <v>230252581.1</v>
      </c>
      <c r="F97" s="26">
        <f t="shared" si="38"/>
        <v>83809297014</v>
      </c>
      <c r="G97" s="26">
        <f t="shared" si="38"/>
        <v>0</v>
      </c>
      <c r="H97" s="27">
        <f t="shared" si="38"/>
        <v>102275</v>
      </c>
      <c r="I97" s="26">
        <f t="shared" si="38"/>
        <v>5898340324</v>
      </c>
      <c r="J97" s="26">
        <f t="shared" si="38"/>
        <v>10222945747</v>
      </c>
      <c r="K97" s="26">
        <f t="shared" si="38"/>
        <v>-4324605423</v>
      </c>
      <c r="L97" s="26">
        <f t="shared" si="38"/>
        <v>19711390941</v>
      </c>
      <c r="M97" s="26">
        <f t="shared" si="38"/>
        <v>31135388736</v>
      </c>
      <c r="N97" s="26">
        <f t="shared" si="38"/>
        <v>-11423997795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19"/>
      <c r="E98" s="19"/>
      <c r="F98" s="19"/>
      <c r="G98" s="19"/>
      <c r="H98" s="20"/>
      <c r="I98" s="19"/>
      <c r="J98" s="20"/>
      <c r="K98" s="20"/>
      <c r="L98" s="20"/>
      <c r="M98" s="20"/>
      <c r="N98" s="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19">
        <v>4.036351491E9</v>
      </c>
      <c r="E99" s="19">
        <v>1.832967E7</v>
      </c>
      <c r="F99" s="19">
        <f>D99-E99</f>
        <v>4018021821</v>
      </c>
      <c r="G99" s="19">
        <v>0.0</v>
      </c>
      <c r="H99" s="20">
        <v>3490.0</v>
      </c>
      <c r="I99" s="19">
        <v>7893594.0</v>
      </c>
      <c r="J99" s="19">
        <v>1.589356322E9</v>
      </c>
      <c r="K99" s="20">
        <f>I99-J99</f>
        <v>-1581462728</v>
      </c>
      <c r="L99" s="20">
        <f>I99+'Feb UPDATED'!L99</f>
        <v>2143612081</v>
      </c>
      <c r="M99" s="20">
        <f>J99+'Feb UPDATED'!M99</f>
        <v>4677688708</v>
      </c>
      <c r="N99" s="20">
        <f>L99-M99</f>
        <v>-2534076627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26">
        <f t="shared" ref="D100:N100" si="39">SUM(D99)</f>
        <v>4036351491</v>
      </c>
      <c r="E100" s="26">
        <f t="shared" si="39"/>
        <v>18329670</v>
      </c>
      <c r="F100" s="26">
        <f t="shared" si="39"/>
        <v>4018021821</v>
      </c>
      <c r="G100" s="26">
        <f t="shared" si="39"/>
        <v>0</v>
      </c>
      <c r="H100" s="27">
        <f t="shared" si="39"/>
        <v>3490</v>
      </c>
      <c r="I100" s="26">
        <f t="shared" si="39"/>
        <v>7893594</v>
      </c>
      <c r="J100" s="26">
        <f t="shared" si="39"/>
        <v>1589356322</v>
      </c>
      <c r="K100" s="26">
        <f t="shared" si="39"/>
        <v>-1581462728</v>
      </c>
      <c r="L100" s="26">
        <f t="shared" si="39"/>
        <v>2143612081</v>
      </c>
      <c r="M100" s="26">
        <f t="shared" si="39"/>
        <v>4677688708</v>
      </c>
      <c r="N100" s="26">
        <f t="shared" si="39"/>
        <v>-2534076627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26">
        <f t="shared" ref="D101:N101" si="40">D97+D100</f>
        <v>88075901086</v>
      </c>
      <c r="E101" s="26">
        <f t="shared" si="40"/>
        <v>248582251.1</v>
      </c>
      <c r="F101" s="26">
        <f t="shared" si="40"/>
        <v>87827318835</v>
      </c>
      <c r="G101" s="26">
        <f t="shared" si="40"/>
        <v>0</v>
      </c>
      <c r="H101" s="27">
        <f t="shared" si="40"/>
        <v>105765</v>
      </c>
      <c r="I101" s="26">
        <f t="shared" si="40"/>
        <v>5906233918</v>
      </c>
      <c r="J101" s="26">
        <f t="shared" si="40"/>
        <v>11812302069</v>
      </c>
      <c r="K101" s="26">
        <f t="shared" si="40"/>
        <v>-5906068151</v>
      </c>
      <c r="L101" s="26">
        <f t="shared" si="40"/>
        <v>21855003022</v>
      </c>
      <c r="M101" s="26">
        <f t="shared" si="40"/>
        <v>35813077444</v>
      </c>
      <c r="N101" s="26">
        <f t="shared" si="40"/>
        <v>-13958074422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19"/>
      <c r="E102" s="19"/>
      <c r="F102" s="19"/>
      <c r="G102" s="19"/>
      <c r="H102" s="20"/>
      <c r="I102" s="19"/>
      <c r="J102" s="19"/>
      <c r="K102" s="20"/>
      <c r="L102" s="20"/>
      <c r="M102" s="20"/>
      <c r="N102" s="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19"/>
      <c r="E103" s="19"/>
      <c r="F103" s="19"/>
      <c r="G103" s="19"/>
      <c r="H103" s="20"/>
      <c r="I103" s="19"/>
      <c r="J103" s="19"/>
      <c r="K103" s="20"/>
      <c r="L103" s="20"/>
      <c r="M103" s="20"/>
      <c r="N103" s="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101</v>
      </c>
      <c r="D104" s="19">
        <v>9.09725505618E9</v>
      </c>
      <c r="E104" s="19">
        <v>1.287405053E7</v>
      </c>
      <c r="F104" s="19">
        <f t="shared" ref="F104:F105" si="41">D104-E104</f>
        <v>9084381006</v>
      </c>
      <c r="G104" s="19">
        <v>0.0</v>
      </c>
      <c r="H104" s="20">
        <v>74470.0</v>
      </c>
      <c r="I104" s="19">
        <v>9.093988826E7</v>
      </c>
      <c r="J104" s="19">
        <v>1.1172318435E8</v>
      </c>
      <c r="K104" s="20">
        <f t="shared" ref="K104:K105" si="42">I104-J104</f>
        <v>-20783296.09</v>
      </c>
      <c r="L104" s="20">
        <f>I104+'Feb UPDATED'!L104</f>
        <v>382115027.8</v>
      </c>
      <c r="M104" s="20">
        <f>J104+'Feb UPDATED'!M104</f>
        <v>417251737.3</v>
      </c>
      <c r="N104" s="20">
        <f t="shared" ref="N104:N105" si="43">L104-M104</f>
        <v>-35136709.42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19">
        <v>3.318316248E9</v>
      </c>
      <c r="E105" s="19">
        <v>8021173.0</v>
      </c>
      <c r="F105" s="19">
        <f t="shared" si="41"/>
        <v>3310295075</v>
      </c>
      <c r="G105" s="19">
        <v>0.0</v>
      </c>
      <c r="H105" s="20">
        <v>6057.0</v>
      </c>
      <c r="I105" s="19">
        <v>1.7345566E7</v>
      </c>
      <c r="J105" s="19">
        <v>3.2444385E7</v>
      </c>
      <c r="K105" s="20">
        <f t="shared" si="42"/>
        <v>-15098819</v>
      </c>
      <c r="L105" s="20">
        <f>I105+'Feb UPDATED'!L105</f>
        <v>65307884.13</v>
      </c>
      <c r="M105" s="20">
        <f>J105+'Feb UPDATED'!M105</f>
        <v>128797965.7</v>
      </c>
      <c r="N105" s="20">
        <f t="shared" si="43"/>
        <v>-63490081.56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4" t="s">
        <v>45</v>
      </c>
      <c r="B106" s="2"/>
      <c r="C106" s="3"/>
      <c r="D106" s="26">
        <f t="shared" ref="D106:N106" si="44">D104+D105</f>
        <v>12415571304</v>
      </c>
      <c r="E106" s="26">
        <f t="shared" si="44"/>
        <v>20895223.53</v>
      </c>
      <c r="F106" s="26">
        <f t="shared" si="44"/>
        <v>12394676081</v>
      </c>
      <c r="G106" s="26">
        <f t="shared" si="44"/>
        <v>0</v>
      </c>
      <c r="H106" s="27">
        <f t="shared" si="44"/>
        <v>80527</v>
      </c>
      <c r="I106" s="26">
        <f t="shared" si="44"/>
        <v>108285454.3</v>
      </c>
      <c r="J106" s="26">
        <f t="shared" si="44"/>
        <v>144167569.4</v>
      </c>
      <c r="K106" s="26">
        <f t="shared" si="44"/>
        <v>-35882115.09</v>
      </c>
      <c r="L106" s="26">
        <f t="shared" si="44"/>
        <v>447422912</v>
      </c>
      <c r="M106" s="26">
        <f t="shared" si="44"/>
        <v>546049702.9</v>
      </c>
      <c r="N106" s="26">
        <f t="shared" si="44"/>
        <v>-98626790.98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19"/>
      <c r="E107" s="19"/>
      <c r="F107" s="19"/>
      <c r="G107" s="19"/>
      <c r="H107" s="20"/>
      <c r="I107" s="19"/>
      <c r="J107" s="19"/>
      <c r="K107" s="20"/>
      <c r="L107" s="20"/>
      <c r="M107" s="20"/>
      <c r="N107" s="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104</v>
      </c>
      <c r="D108" s="19">
        <v>9.834113704122E9</v>
      </c>
      <c r="E108" s="19">
        <v>3.1799940069599997E7</v>
      </c>
      <c r="F108" s="19">
        <f>D108-E108</f>
        <v>9802313764</v>
      </c>
      <c r="G108" s="19">
        <v>0.0</v>
      </c>
      <c r="H108" s="20">
        <v>8271.0</v>
      </c>
      <c r="I108" s="19">
        <v>3.3077245687200006E7</v>
      </c>
      <c r="J108" s="19">
        <v>1.2561969501E8</v>
      </c>
      <c r="K108" s="20">
        <f>I108-J108</f>
        <v>-92542449.32</v>
      </c>
      <c r="L108" s="20">
        <f>I108+'Feb UPDATED'!L108</f>
        <v>261722163.8</v>
      </c>
      <c r="M108" s="20">
        <f>J108+'Feb UPDATED'!M108</f>
        <v>295829761.5</v>
      </c>
      <c r="N108" s="20">
        <f>L108-M108</f>
        <v>-34107597.69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4" t="s">
        <v>89</v>
      </c>
      <c r="B109" s="25"/>
      <c r="C109" s="1"/>
      <c r="D109" s="26">
        <f t="shared" ref="D109:N109" si="45">SUM(D108)</f>
        <v>9834113704</v>
      </c>
      <c r="E109" s="26">
        <f t="shared" si="45"/>
        <v>31799940.07</v>
      </c>
      <c r="F109" s="26">
        <f t="shared" si="45"/>
        <v>9802313764</v>
      </c>
      <c r="G109" s="26">
        <f t="shared" si="45"/>
        <v>0</v>
      </c>
      <c r="H109" s="27">
        <f t="shared" si="45"/>
        <v>8271</v>
      </c>
      <c r="I109" s="26">
        <f t="shared" si="45"/>
        <v>33077245.69</v>
      </c>
      <c r="J109" s="26">
        <f t="shared" si="45"/>
        <v>125619695</v>
      </c>
      <c r="K109" s="26">
        <f t="shared" si="45"/>
        <v>-92542449.32</v>
      </c>
      <c r="L109" s="26">
        <f t="shared" si="45"/>
        <v>261722163.8</v>
      </c>
      <c r="M109" s="26">
        <f t="shared" si="45"/>
        <v>295829761.5</v>
      </c>
      <c r="N109" s="26">
        <f t="shared" si="45"/>
        <v>-34107597.69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105</v>
      </c>
      <c r="B110" s="31"/>
      <c r="C110" s="29"/>
      <c r="D110" s="26">
        <f t="shared" ref="D110:N110" si="46">SUM(D106+D109)</f>
        <v>22249685008</v>
      </c>
      <c r="E110" s="26">
        <f t="shared" si="46"/>
        <v>52695163.6</v>
      </c>
      <c r="F110" s="26">
        <f t="shared" si="46"/>
        <v>22196989845</v>
      </c>
      <c r="G110" s="26">
        <f t="shared" si="46"/>
        <v>0</v>
      </c>
      <c r="H110" s="27">
        <f t="shared" si="46"/>
        <v>88798</v>
      </c>
      <c r="I110" s="26">
        <f t="shared" si="46"/>
        <v>141362699.9</v>
      </c>
      <c r="J110" s="26">
        <f t="shared" si="46"/>
        <v>269787264.4</v>
      </c>
      <c r="K110" s="26">
        <f t="shared" si="46"/>
        <v>-128424564.4</v>
      </c>
      <c r="L110" s="26">
        <f t="shared" si="46"/>
        <v>709145075.7</v>
      </c>
      <c r="M110" s="26">
        <f t="shared" si="46"/>
        <v>841879464.4</v>
      </c>
      <c r="N110" s="26">
        <f t="shared" si="46"/>
        <v>-132734388.7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106</v>
      </c>
      <c r="B111" s="33"/>
      <c r="C111" s="34"/>
      <c r="D111" s="35">
        <f t="shared" ref="D111:N111" si="47">D39+D63+D89+D101+D110</f>
        <v>266591672555</v>
      </c>
      <c r="E111" s="35">
        <f t="shared" si="47"/>
        <v>2311531724</v>
      </c>
      <c r="F111" s="35">
        <f t="shared" si="47"/>
        <v>264280140830</v>
      </c>
      <c r="G111" s="35">
        <f t="shared" si="47"/>
        <v>72038845687</v>
      </c>
      <c r="H111" s="36">
        <f t="shared" si="47"/>
        <v>1020772</v>
      </c>
      <c r="I111" s="35">
        <f t="shared" si="47"/>
        <v>7120041702</v>
      </c>
      <c r="J111" s="35">
        <f t="shared" si="47"/>
        <v>14097644989</v>
      </c>
      <c r="K111" s="35">
        <f t="shared" si="47"/>
        <v>-6977603287</v>
      </c>
      <c r="L111" s="35">
        <f t="shared" si="47"/>
        <v>27042781470</v>
      </c>
      <c r="M111" s="35">
        <f t="shared" si="47"/>
        <v>42886940565</v>
      </c>
      <c r="N111" s="35">
        <f t="shared" si="47"/>
        <v>-15844159096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7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0"/>
      <c r="B113" s="30"/>
      <c r="C113" s="30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0"/>
      <c r="B114" s="30"/>
      <c r="C114" s="30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7"/>
      <c r="B115" s="37"/>
      <c r="C115" s="37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6.25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6.75"/>
    <col customWidth="1" min="9" max="9" width="19.25"/>
    <col customWidth="1" min="10" max="27" width="9.13"/>
  </cols>
  <sheetData>
    <row r="1" ht="12.0" customHeight="1">
      <c r="A1" s="1" t="s">
        <v>0</v>
      </c>
      <c r="B1" s="2"/>
      <c r="C1" s="3"/>
      <c r="D1" s="41"/>
      <c r="E1" s="42"/>
      <c r="F1" s="41"/>
      <c r="G1" s="4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1"/>
      <c r="E2" s="42"/>
      <c r="F2" s="44"/>
      <c r="G2" s="4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114</v>
      </c>
      <c r="B3" s="2"/>
      <c r="C3" s="1"/>
      <c r="D3" s="46"/>
      <c r="E3" s="47"/>
      <c r="F3" s="48"/>
      <c r="G3" s="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3</v>
      </c>
      <c r="B4" s="2"/>
      <c r="C4" s="1"/>
      <c r="D4" s="46"/>
      <c r="E4" s="47"/>
      <c r="F4" s="48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1"/>
      <c r="E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9" t="s">
        <v>6</v>
      </c>
      <c r="B6" s="50"/>
      <c r="C6" s="51" t="s">
        <v>7</v>
      </c>
      <c r="D6" s="52" t="s">
        <v>10</v>
      </c>
      <c r="E6" s="52" t="s">
        <v>16</v>
      </c>
      <c r="F6" s="52" t="s">
        <v>17</v>
      </c>
      <c r="G6" s="53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Mar!F9</f>
        <v>4579770512</v>
      </c>
      <c r="E9" s="4">
        <f>Jan!I9+'Feb UPDATED'!I9+Mar!I9</f>
        <v>19194106.26</v>
      </c>
      <c r="F9" s="4">
        <f>Jan!J9+'Feb UPDATED'!J9+Mar!J9</f>
        <v>151374832</v>
      </c>
      <c r="G9" s="4">
        <f t="shared" ref="G9:G27" si="1">E9-F9</f>
        <v>-132180725.7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v>2.0</v>
      </c>
      <c r="C10" s="3" t="s">
        <v>22</v>
      </c>
      <c r="D10" s="6">
        <f>Mar!F10</f>
        <v>758536693.3</v>
      </c>
      <c r="E10" s="4">
        <f>Jan!I10+'Feb UPDATED'!I10+Mar!I10</f>
        <v>15709919.3</v>
      </c>
      <c r="F10" s="4">
        <f>Jan!J10+'Feb UPDATED'!J10+Mar!J10</f>
        <v>36396713.21</v>
      </c>
      <c r="G10" s="4">
        <f t="shared" si="1"/>
        <v>-20686793.91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v>3.0</v>
      </c>
      <c r="C11" s="3" t="s">
        <v>23</v>
      </c>
      <c r="D11" s="6">
        <f>Mar!F11</f>
        <v>1523881453</v>
      </c>
      <c r="E11" s="4">
        <f>Jan!I11+'Feb UPDATED'!I11+Mar!I11</f>
        <v>386539356.7</v>
      </c>
      <c r="F11" s="4">
        <f>Jan!J11+'Feb UPDATED'!J11+Mar!J11</f>
        <v>163453471.7</v>
      </c>
      <c r="G11" s="4">
        <f t="shared" si="1"/>
        <v>223085885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v>4.0</v>
      </c>
      <c r="C12" s="3" t="s">
        <v>24</v>
      </c>
      <c r="D12" s="6">
        <f>Mar!F12</f>
        <v>340091873</v>
      </c>
      <c r="E12" s="4">
        <f>Jan!I12+'Feb UPDATED'!I12+Mar!I12</f>
        <v>1666337.95</v>
      </c>
      <c r="F12" s="4">
        <f>Jan!J12+'Feb UPDATED'!J12+Mar!J12</f>
        <v>1186845.26</v>
      </c>
      <c r="G12" s="4">
        <f t="shared" si="1"/>
        <v>479492.69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v>5.0</v>
      </c>
      <c r="C13" s="3" t="s">
        <v>115</v>
      </c>
      <c r="D13" s="6">
        <f>Mar!F13</f>
        <v>525337648</v>
      </c>
      <c r="E13" s="4">
        <f>Jan!I13+'Feb UPDATED'!I13+Mar!I13</f>
        <v>2007744.54</v>
      </c>
      <c r="F13" s="4">
        <f>Jan!J13+'Feb UPDATED'!J13+Mar!J13</f>
        <v>4867715.44</v>
      </c>
      <c r="G13" s="4">
        <f t="shared" si="1"/>
        <v>-2859970.9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v>6.0</v>
      </c>
      <c r="C14" s="3" t="s">
        <v>26</v>
      </c>
      <c r="D14" s="6">
        <f>Mar!F14</f>
        <v>4239535922</v>
      </c>
      <c r="E14" s="4">
        <f>Jan!I14+'Feb UPDATED'!I14+Mar!I14</f>
        <v>86323936.46</v>
      </c>
      <c r="F14" s="4">
        <f>Jan!J14+'Feb UPDATED'!J14+Mar!J14</f>
        <v>88721730.46</v>
      </c>
      <c r="G14" s="4">
        <f t="shared" si="1"/>
        <v>-2397793.999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v>7.0</v>
      </c>
      <c r="C15" s="3" t="s">
        <v>27</v>
      </c>
      <c r="D15" s="6">
        <f>Mar!F15</f>
        <v>101535937</v>
      </c>
      <c r="E15" s="4">
        <f>Jan!I15+'Feb UPDATED'!I15+Mar!I15</f>
        <v>5445974.73</v>
      </c>
      <c r="F15" s="4">
        <f>Jan!J15+'Feb UPDATED'!J15+Mar!J15</f>
        <v>4807202.93</v>
      </c>
      <c r="G15" s="4">
        <f t="shared" si="1"/>
        <v>638771.8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v>8.0</v>
      </c>
      <c r="C16" s="3" t="s">
        <v>28</v>
      </c>
      <c r="D16" s="6">
        <f>Mar!F16</f>
        <v>120627481.8</v>
      </c>
      <c r="E16" s="4">
        <f>Jan!I16+'Feb UPDATED'!I16+Mar!I16</f>
        <v>241.49</v>
      </c>
      <c r="F16" s="4">
        <f>Jan!J16+'Feb UPDATED'!J16+Mar!J16</f>
        <v>764224.93</v>
      </c>
      <c r="G16" s="4">
        <f t="shared" si="1"/>
        <v>-763983.44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v>9.0</v>
      </c>
      <c r="C17" s="3" t="s">
        <v>29</v>
      </c>
      <c r="D17" s="6">
        <f>Mar!F17</f>
        <v>1266684572</v>
      </c>
      <c r="E17" s="4">
        <f>Jan!I17+'Feb UPDATED'!I17+Mar!I17</f>
        <v>0</v>
      </c>
      <c r="F17" s="4">
        <f>Jan!J17+'Feb UPDATED'!J17+Mar!J17</f>
        <v>49670538.78</v>
      </c>
      <c r="G17" s="4">
        <f t="shared" si="1"/>
        <v>-49670538.78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v>10.0</v>
      </c>
      <c r="C18" s="3" t="s">
        <v>30</v>
      </c>
      <c r="D18" s="6">
        <f>Mar!F18</f>
        <v>3707895226</v>
      </c>
      <c r="E18" s="4">
        <f>Jan!I18+'Feb UPDATED'!I18+Mar!I18</f>
        <v>10283368.6</v>
      </c>
      <c r="F18" s="4">
        <f>Jan!J18+'Feb UPDATED'!J18+Mar!J18</f>
        <v>87402788.14</v>
      </c>
      <c r="G18" s="4">
        <f t="shared" si="1"/>
        <v>-77119419.54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v>11.0</v>
      </c>
      <c r="C19" s="3" t="s">
        <v>31</v>
      </c>
      <c r="D19" s="6">
        <f>Mar!F19</f>
        <v>2257298871</v>
      </c>
      <c r="E19" s="4">
        <f>Jan!I19+'Feb UPDATED'!I19+Mar!I19</f>
        <v>135468119.2</v>
      </c>
      <c r="F19" s="4">
        <f>Jan!J19+'Feb UPDATED'!J19+Mar!J19</f>
        <v>11417041.25</v>
      </c>
      <c r="G19" s="4">
        <f t="shared" si="1"/>
        <v>124051077.9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v>12.0</v>
      </c>
      <c r="C20" s="3" t="s">
        <v>32</v>
      </c>
      <c r="D20" s="6">
        <f>Mar!F20</f>
        <v>9802902571</v>
      </c>
      <c r="E20" s="4">
        <f>Jan!I20+'Feb UPDATED'!I20+Mar!I20</f>
        <v>63619218.07</v>
      </c>
      <c r="F20" s="4">
        <f>Jan!J20+'Feb UPDATED'!J20+Mar!J20</f>
        <v>155337611.7</v>
      </c>
      <c r="G20" s="4">
        <f t="shared" si="1"/>
        <v>-91718393.67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v>13.0</v>
      </c>
      <c r="C21" s="3" t="s">
        <v>116</v>
      </c>
      <c r="D21" s="6">
        <f>Mar!F21</f>
        <v>310137052</v>
      </c>
      <c r="E21" s="4">
        <f>Jan!I21+'Feb UPDATED'!I21+Mar!I21</f>
        <v>1218313.29</v>
      </c>
      <c r="F21" s="4">
        <f>Jan!J21+'Feb UPDATED'!J21+Mar!J21</f>
        <v>3250553.8</v>
      </c>
      <c r="G21" s="4">
        <f t="shared" si="1"/>
        <v>-2032240.51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v>14.0</v>
      </c>
      <c r="C22" s="3" t="s">
        <v>34</v>
      </c>
      <c r="D22" s="6">
        <f>Mar!F22</f>
        <v>3847118408</v>
      </c>
      <c r="E22" s="4">
        <f>Jan!I22+'Feb UPDATED'!I22+Mar!I22</f>
        <v>251114599.7</v>
      </c>
      <c r="F22" s="4">
        <f>Jan!J22+'Feb UPDATED'!J22+Mar!J22</f>
        <v>174723863.7</v>
      </c>
      <c r="G22" s="4">
        <f t="shared" si="1"/>
        <v>76390735.93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v>15.0</v>
      </c>
      <c r="C23" s="3" t="s">
        <v>35</v>
      </c>
      <c r="D23" s="6">
        <f>Mar!F23</f>
        <v>8796218653</v>
      </c>
      <c r="E23" s="4">
        <f>Jan!I23+'Feb UPDATED'!I23+Mar!I23</f>
        <v>7177305.31</v>
      </c>
      <c r="F23" s="4">
        <f>Jan!J23+'Feb UPDATED'!J23+Mar!J23</f>
        <v>330569302.2</v>
      </c>
      <c r="G23" s="4">
        <f t="shared" si="1"/>
        <v>-323391996.8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v>16.0</v>
      </c>
      <c r="C24" s="21" t="s">
        <v>36</v>
      </c>
      <c r="D24" s="6">
        <f>Mar!F24</f>
        <v>3208002906</v>
      </c>
      <c r="E24" s="4">
        <f>Jan!I24+'Feb UPDATED'!I24+Mar!I24</f>
        <v>133532610.5</v>
      </c>
      <c r="F24" s="4">
        <f>Jan!J24+'Feb UPDATED'!J24+Mar!J24</f>
        <v>9164711.32</v>
      </c>
      <c r="G24" s="4">
        <f t="shared" si="1"/>
        <v>124367899.2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2"/>
      <c r="B25" s="2">
        <v>17.0</v>
      </c>
      <c r="C25" s="23" t="s">
        <v>37</v>
      </c>
      <c r="D25" s="6">
        <f>Mar!F25</f>
        <v>6983227479</v>
      </c>
      <c r="E25" s="4">
        <f>Jan!I25+'Feb UPDATED'!I25+Mar!I25</f>
        <v>87769766.57</v>
      </c>
      <c r="F25" s="4">
        <f>Jan!J25+'Feb UPDATED'!J25+Mar!J25</f>
        <v>324968473.7</v>
      </c>
      <c r="G25" s="4">
        <f t="shared" si="1"/>
        <v>-237198707.1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2"/>
      <c r="B26" s="2">
        <v>18.0</v>
      </c>
      <c r="C26" s="23" t="s">
        <v>38</v>
      </c>
      <c r="D26" s="6">
        <f>Mar!F26</f>
        <v>11954827222</v>
      </c>
      <c r="E26" s="4">
        <f>Jan!I26+'Feb UPDATED'!I26+Mar!I26</f>
        <v>961914534.6</v>
      </c>
      <c r="F26" s="4">
        <f>Jan!J26+'Feb UPDATED'!J26+Mar!J26</f>
        <v>830522374.4</v>
      </c>
      <c r="G26" s="4">
        <f t="shared" si="1"/>
        <v>131392160.2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v>19.0</v>
      </c>
      <c r="C27" s="3" t="s">
        <v>39</v>
      </c>
      <c r="D27" s="6">
        <f>Mar!F27</f>
        <v>592013847</v>
      </c>
      <c r="E27" s="4">
        <f>Jan!I27+'Feb UPDATED'!I27+Mar!I27</f>
        <v>3954705.59</v>
      </c>
      <c r="F27" s="4">
        <f>Jan!J27+'Feb UPDATED'!J27+Mar!J27</f>
        <v>4141404.18</v>
      </c>
      <c r="G27" s="4">
        <f t="shared" si="1"/>
        <v>-186698.59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18"/>
      <c r="B29" s="2">
        <v>20.0</v>
      </c>
      <c r="C29" s="3" t="s">
        <v>41</v>
      </c>
      <c r="D29" s="6">
        <f>Mar!F29</f>
        <v>186792848</v>
      </c>
      <c r="E29" s="4">
        <f>Jan!I29+'Feb UPDATED'!I29+Mar!I29</f>
        <v>82815041.15</v>
      </c>
      <c r="F29" s="4">
        <f>Jan!J29+'Feb UPDATED'!J29+Mar!J29</f>
        <v>3860031.84</v>
      </c>
      <c r="G29" s="4">
        <f t="shared" ref="G29:G31" si="2">E29-F29</f>
        <v>78955009.31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2">
        <v>21.0</v>
      </c>
      <c r="C30" s="3" t="s">
        <v>42</v>
      </c>
      <c r="D30" s="6">
        <f>Mar!F30</f>
        <v>343949326</v>
      </c>
      <c r="E30" s="4">
        <f>Jan!I30+'Feb UPDATED'!I30+Mar!I30</f>
        <v>8119700.48</v>
      </c>
      <c r="F30" s="4">
        <f>Jan!J30+'Feb UPDATED'!J30+Mar!J30</f>
        <v>12841597.47</v>
      </c>
      <c r="G30" s="4">
        <f t="shared" si="2"/>
        <v>-4721896.99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v>22.0</v>
      </c>
      <c r="C31" s="3" t="s">
        <v>35</v>
      </c>
      <c r="D31" s="6">
        <f>Mar!F31</f>
        <v>488790275.5</v>
      </c>
      <c r="E31" s="4">
        <f>Jan!I31+'Feb UPDATED'!I31+Mar!I31</f>
        <v>97621383.52</v>
      </c>
      <c r="F31" s="4">
        <f>Jan!J31+'Feb UPDATED'!J31+Mar!J31</f>
        <v>87258761.96</v>
      </c>
      <c r="G31" s="4">
        <f t="shared" si="2"/>
        <v>10362621.56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18" t="s">
        <v>43</v>
      </c>
      <c r="B32" s="2"/>
      <c r="C32" s="3"/>
      <c r="D32" s="6"/>
      <c r="E32" s="4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1.25" customHeight="1">
      <c r="A33" s="3"/>
      <c r="B33" s="2">
        <v>23.0</v>
      </c>
      <c r="C33" s="3" t="s">
        <v>44</v>
      </c>
      <c r="D33" s="6">
        <f>Mar!F33</f>
        <v>2161549204</v>
      </c>
      <c r="E33" s="4">
        <f>Jan!I33+'Feb UPDATED'!I33+Mar!I33</f>
        <v>24256591</v>
      </c>
      <c r="F33" s="4">
        <f>Jan!J33+'Feb UPDATED'!J33+Mar!J33</f>
        <v>76900589</v>
      </c>
      <c r="G33" s="4">
        <f>E33-F33</f>
        <v>-52643998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24" t="s">
        <v>45</v>
      </c>
      <c r="B34" s="25"/>
      <c r="C34" s="1"/>
      <c r="D34" s="54">
        <f t="shared" ref="D34:G34" si="3">SUM(D9:D33)</f>
        <v>68096725981</v>
      </c>
      <c r="E34" s="54">
        <f t="shared" si="3"/>
        <v>2385752875</v>
      </c>
      <c r="F34" s="54">
        <f t="shared" si="3"/>
        <v>2613602379</v>
      </c>
      <c r="G34" s="54">
        <f t="shared" si="3"/>
        <v>-227849504.4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0" customHeight="1">
      <c r="A35" s="18" t="s">
        <v>46</v>
      </c>
      <c r="B35" s="2"/>
      <c r="C35" s="3"/>
      <c r="D35" s="6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2">
        <v>24.0</v>
      </c>
      <c r="C36" s="3" t="s">
        <v>47</v>
      </c>
      <c r="D36" s="6">
        <f>Mar!F36</f>
        <v>34451210.45</v>
      </c>
      <c r="E36" s="4">
        <f>Jan!I36+'Feb UPDATED'!I36+Mar!I36</f>
        <v>78879.62</v>
      </c>
      <c r="F36" s="4">
        <f>Jan!J36+'Feb UPDATED'!J36+Mar!J36</f>
        <v>19382.09</v>
      </c>
      <c r="G36" s="4">
        <f t="shared" ref="G36:G37" si="4">E36-F36</f>
        <v>59497.53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v>25.0</v>
      </c>
      <c r="C37" s="3" t="s">
        <v>48</v>
      </c>
      <c r="D37" s="6">
        <f>Mar!F37</f>
        <v>1769788333</v>
      </c>
      <c r="E37" s="4">
        <f>Jan!I37+'Feb UPDATED'!I37+Mar!I37</f>
        <v>18475062.47</v>
      </c>
      <c r="F37" s="4">
        <f>Jan!J37+'Feb UPDATED'!J37+Mar!J37</f>
        <v>77759569.43</v>
      </c>
      <c r="G37" s="4">
        <f t="shared" si="4"/>
        <v>-59284506.96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24" t="s">
        <v>49</v>
      </c>
      <c r="B38" s="25"/>
      <c r="C38" s="1"/>
      <c r="D38" s="54">
        <f t="shared" ref="D38:G38" si="5">SUM(D36:D37)</f>
        <v>1804239543</v>
      </c>
      <c r="E38" s="54">
        <f t="shared" si="5"/>
        <v>18553942.09</v>
      </c>
      <c r="F38" s="54">
        <f t="shared" si="5"/>
        <v>77778951.52</v>
      </c>
      <c r="G38" s="54">
        <f t="shared" si="5"/>
        <v>-59225009.43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0" customHeight="1">
      <c r="A39" s="1" t="s">
        <v>50</v>
      </c>
      <c r="B39" s="25"/>
      <c r="C39" s="1"/>
      <c r="D39" s="54">
        <f t="shared" ref="D39:G39" si="6">D34+D38</f>
        <v>69900965524</v>
      </c>
      <c r="E39" s="54">
        <f t="shared" si="6"/>
        <v>2404306817</v>
      </c>
      <c r="F39" s="54">
        <f t="shared" si="6"/>
        <v>2691381331</v>
      </c>
      <c r="G39" s="54">
        <f t="shared" si="6"/>
        <v>-287074513.9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"/>
      <c r="C40" s="3"/>
      <c r="D40" s="6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18" t="s">
        <v>20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18"/>
      <c r="B42" s="2">
        <v>26.0</v>
      </c>
      <c r="C42" s="3" t="s">
        <v>52</v>
      </c>
      <c r="D42" s="6">
        <f>Mar!F42</f>
        <v>116368890</v>
      </c>
      <c r="E42" s="4">
        <f>Jan!I42+'Feb UPDATED'!I42+Mar!I42</f>
        <v>1090496.06</v>
      </c>
      <c r="F42" s="4">
        <f>Jan!J42+'Feb UPDATED'!J42+Mar!J42</f>
        <v>739241</v>
      </c>
      <c r="G42" s="4">
        <f t="shared" ref="G42:G51" si="7">E42-F42</f>
        <v>351255.06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v>27.0</v>
      </c>
      <c r="C43" s="3" t="s">
        <v>53</v>
      </c>
      <c r="D43" s="6">
        <f>Mar!F43</f>
        <v>581287097.5</v>
      </c>
      <c r="E43" s="4">
        <f>Jan!I43+'Feb UPDATED'!I43+Mar!I43</f>
        <v>3123622.09</v>
      </c>
      <c r="F43" s="4">
        <f>Jan!J43+'Feb UPDATED'!J43+Mar!J43</f>
        <v>16165567.47</v>
      </c>
      <c r="G43" s="4">
        <f t="shared" si="7"/>
        <v>-13041945.38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v>28.0</v>
      </c>
      <c r="C44" s="3" t="s">
        <v>54</v>
      </c>
      <c r="D44" s="6">
        <f>Mar!F44</f>
        <v>1056169633</v>
      </c>
      <c r="E44" s="4">
        <f>Jan!I44+'Feb UPDATED'!I44+Mar!I44</f>
        <v>6487314.55</v>
      </c>
      <c r="F44" s="4">
        <f>Jan!J44+'Feb UPDATED'!J44+Mar!J44</f>
        <v>14463100.08</v>
      </c>
      <c r="G44" s="4">
        <f t="shared" si="7"/>
        <v>-7975785.53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v>29.0</v>
      </c>
      <c r="C45" s="3" t="s">
        <v>55</v>
      </c>
      <c r="D45" s="6">
        <f>Mar!F45</f>
        <v>270264638</v>
      </c>
      <c r="E45" s="4">
        <f>Jan!I45+'Feb UPDATED'!I45+Mar!I45</f>
        <v>9671594.27</v>
      </c>
      <c r="F45" s="4">
        <f>Jan!J45+'Feb UPDATED'!J45+Mar!J45</f>
        <v>42536435.26</v>
      </c>
      <c r="G45" s="4">
        <f t="shared" si="7"/>
        <v>-32864840.99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v>30.0</v>
      </c>
      <c r="C46" s="3" t="s">
        <v>56</v>
      </c>
      <c r="D46" s="6">
        <f>Mar!F46</f>
        <v>344616852</v>
      </c>
      <c r="E46" s="4">
        <f>Jan!I46+'Feb UPDATED'!I46+Mar!I46</f>
        <v>0</v>
      </c>
      <c r="F46" s="4">
        <f>Jan!J46+'Feb UPDATED'!J46+Mar!J46</f>
        <v>1508185</v>
      </c>
      <c r="G46" s="4">
        <f t="shared" si="7"/>
        <v>-1508185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v>31.0</v>
      </c>
      <c r="C47" s="3" t="s">
        <v>57</v>
      </c>
      <c r="D47" s="6">
        <f>Mar!F47</f>
        <v>543652853.4</v>
      </c>
      <c r="E47" s="4">
        <f>Jan!I47+'Feb UPDATED'!I47+Mar!I47</f>
        <v>1928994.27</v>
      </c>
      <c r="F47" s="4">
        <f>Jan!J47+'Feb UPDATED'!J47+Mar!J47</f>
        <v>12123095.2</v>
      </c>
      <c r="G47" s="4">
        <f t="shared" si="7"/>
        <v>-10194100.93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v>32.0</v>
      </c>
      <c r="C48" s="3" t="s">
        <v>58</v>
      </c>
      <c r="D48" s="6">
        <f>Mar!F48</f>
        <v>2040940824</v>
      </c>
      <c r="E48" s="4">
        <f>Jan!I48+'Feb UPDATED'!I48+Mar!I48</f>
        <v>6642233.24</v>
      </c>
      <c r="F48" s="4">
        <f>Jan!J48+'Feb UPDATED'!J48+Mar!J48</f>
        <v>48668489.36</v>
      </c>
      <c r="G48" s="4">
        <f t="shared" si="7"/>
        <v>-42026256.12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1.25" customHeight="1">
      <c r="A49" s="18"/>
      <c r="B49" s="2">
        <v>33.0</v>
      </c>
      <c r="C49" s="3" t="s">
        <v>59</v>
      </c>
      <c r="D49" s="6">
        <f>Mar!F49</f>
        <v>136711780.6</v>
      </c>
      <c r="E49" s="4">
        <f>Jan!I49+'Feb UPDATED'!I49+Mar!I49</f>
        <v>211296.33</v>
      </c>
      <c r="F49" s="4">
        <f>Jan!J49+'Feb UPDATED'!J49+Mar!J49</f>
        <v>1632502.14</v>
      </c>
      <c r="G49" s="4">
        <f t="shared" si="7"/>
        <v>-1421205.81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2">
        <v>34.0</v>
      </c>
      <c r="C50" s="3" t="s">
        <v>60</v>
      </c>
      <c r="D50" s="6">
        <f>Mar!F50</f>
        <v>7177072486</v>
      </c>
      <c r="E50" s="4">
        <f>Jan!I50+'Feb UPDATED'!I50+Mar!I50</f>
        <v>25898108.15</v>
      </c>
      <c r="F50" s="4">
        <f>Jan!J50+'Feb UPDATED'!J50+Mar!J50</f>
        <v>166522206.2</v>
      </c>
      <c r="G50" s="4">
        <f t="shared" si="7"/>
        <v>-140624098.1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v>35.0</v>
      </c>
      <c r="C51" s="3" t="s">
        <v>61</v>
      </c>
      <c r="D51" s="6">
        <f>Mar!F51</f>
        <v>1158094632</v>
      </c>
      <c r="E51" s="4">
        <f>Jan!I51+'Feb UPDATED'!I51+Mar!I51</f>
        <v>0</v>
      </c>
      <c r="F51" s="4">
        <f>Jan!J51+'Feb UPDATED'!J51+Mar!J51</f>
        <v>15774239.81</v>
      </c>
      <c r="G51" s="4">
        <f t="shared" si="7"/>
        <v>-15774239.81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18" t="s">
        <v>40</v>
      </c>
      <c r="B52" s="2"/>
      <c r="C52" s="3"/>
      <c r="D52" s="6"/>
      <c r="E52" s="4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2">
        <v>36.0</v>
      </c>
      <c r="C53" s="3" t="s">
        <v>62</v>
      </c>
      <c r="D53" s="6">
        <f>Mar!F53</f>
        <v>76824272</v>
      </c>
      <c r="E53" s="4">
        <f>Jan!I53+'Feb UPDATED'!I53+Mar!I53</f>
        <v>1637171.2</v>
      </c>
      <c r="F53" s="4">
        <f>Jan!J53+'Feb UPDATED'!J53+Mar!J53</f>
        <v>331541.55</v>
      </c>
      <c r="G53" s="4">
        <f t="shared" ref="G53:G55" si="8">E53-F53</f>
        <v>1305629.65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v>37.0</v>
      </c>
      <c r="C54" s="3" t="s">
        <v>63</v>
      </c>
      <c r="D54" s="6">
        <f>Mar!F54</f>
        <v>55942811</v>
      </c>
      <c r="E54" s="4">
        <f>Jan!I54+'Feb UPDATED'!I54+Mar!I54</f>
        <v>685741</v>
      </c>
      <c r="F54" s="4">
        <f>Jan!J54+'Feb UPDATED'!J54+Mar!J54</f>
        <v>321665.19</v>
      </c>
      <c r="G54" s="4">
        <f t="shared" si="8"/>
        <v>364075.81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v>38.0</v>
      </c>
      <c r="C55" s="3" t="s">
        <v>64</v>
      </c>
      <c r="D55" s="6">
        <f>Mar!F55</f>
        <v>46883173</v>
      </c>
      <c r="E55" s="4">
        <f>Jan!I55+'Feb UPDATED'!I55+Mar!I55</f>
        <v>181950</v>
      </c>
      <c r="F55" s="4">
        <f>Jan!J55+'Feb UPDATED'!J55+Mar!J55</f>
        <v>91381.96</v>
      </c>
      <c r="G55" s="4">
        <f t="shared" si="8"/>
        <v>90568.04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24" t="s">
        <v>45</v>
      </c>
      <c r="B56" s="24"/>
      <c r="C56" s="1"/>
      <c r="D56" s="54">
        <f t="shared" ref="D56:G56" si="9">SUM(D42:D55)</f>
        <v>13604829942</v>
      </c>
      <c r="E56" s="54">
        <f t="shared" si="9"/>
        <v>57558521.16</v>
      </c>
      <c r="F56" s="54">
        <f t="shared" si="9"/>
        <v>320877650.3</v>
      </c>
      <c r="G56" s="54">
        <f t="shared" si="9"/>
        <v>-263319129.1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0" customHeight="1">
      <c r="A57" s="18" t="s">
        <v>46</v>
      </c>
      <c r="B57" s="2"/>
      <c r="C57" s="3"/>
      <c r="D57" s="6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18"/>
      <c r="B58" s="2">
        <v>39.0</v>
      </c>
      <c r="C58" s="3" t="s">
        <v>65</v>
      </c>
      <c r="D58" s="6">
        <f>Mar!F58</f>
        <v>70212097</v>
      </c>
      <c r="E58" s="4">
        <f>Jan!I58+'Feb UPDATED'!I58+Mar!I58</f>
        <v>0</v>
      </c>
      <c r="F58" s="4">
        <f>Jan!J58+'Feb UPDATED'!J58+Mar!J58</f>
        <v>447875.7492</v>
      </c>
      <c r="G58" s="4">
        <f t="shared" ref="G58:G61" si="10">E58-F58</f>
        <v>-447875.7492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18"/>
      <c r="B59" s="2">
        <v>40.0</v>
      </c>
      <c r="C59" s="3" t="s">
        <v>66</v>
      </c>
      <c r="D59" s="6">
        <f>Mar!F59</f>
        <v>321676907.4</v>
      </c>
      <c r="E59" s="4">
        <f>Jan!I59+'Feb UPDATED'!I59+Mar!I59</f>
        <v>5631.4684</v>
      </c>
      <c r="F59" s="4">
        <f>Jan!J59+'Feb UPDATED'!J59+Mar!J59</f>
        <v>9739240.44</v>
      </c>
      <c r="G59" s="4">
        <f t="shared" si="10"/>
        <v>-9733608.972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2">
        <v>41.0</v>
      </c>
      <c r="C60" s="3" t="s">
        <v>67</v>
      </c>
      <c r="D60" s="6">
        <f>Mar!F60</f>
        <v>1489278458</v>
      </c>
      <c r="E60" s="4">
        <f>Jan!I60+'Feb UPDATED'!I60+Mar!I60</f>
        <v>2766963.286</v>
      </c>
      <c r="F60" s="4">
        <f>Jan!J60+'Feb UPDATED'!J60+Mar!J60</f>
        <v>44017287.24</v>
      </c>
      <c r="G60" s="4">
        <f t="shared" si="10"/>
        <v>-41250323.95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v>42.0</v>
      </c>
      <c r="C61" s="3" t="s">
        <v>68</v>
      </c>
      <c r="D61" s="6">
        <f>Mar!F61</f>
        <v>261845277</v>
      </c>
      <c r="E61" s="4">
        <f>Jan!I61+'Feb UPDATED'!I61+Mar!I61</f>
        <v>645309.064</v>
      </c>
      <c r="F61" s="4">
        <f>Jan!J61+'Feb UPDATED'!J61+Mar!J61</f>
        <v>30957204.42</v>
      </c>
      <c r="G61" s="4">
        <f t="shared" si="10"/>
        <v>-30311895.35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24" t="s">
        <v>49</v>
      </c>
      <c r="B62" s="25"/>
      <c r="C62" s="1"/>
      <c r="D62" s="54">
        <f t="shared" ref="D62:G62" si="11">SUM(D58:D61)</f>
        <v>2143012739</v>
      </c>
      <c r="E62" s="54">
        <f t="shared" si="11"/>
        <v>3417903.818</v>
      </c>
      <c r="F62" s="54">
        <f t="shared" si="11"/>
        <v>85161607.85</v>
      </c>
      <c r="G62" s="54">
        <f t="shared" si="11"/>
        <v>-81743704.03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 t="s">
        <v>69</v>
      </c>
      <c r="B63" s="25"/>
      <c r="C63" s="1"/>
      <c r="D63" s="54">
        <f t="shared" ref="D63:G63" si="12">D56+D62</f>
        <v>15747842682</v>
      </c>
      <c r="E63" s="54">
        <f t="shared" si="12"/>
        <v>60976424.98</v>
      </c>
      <c r="F63" s="54">
        <f t="shared" si="12"/>
        <v>406039258.1</v>
      </c>
      <c r="G63" s="54">
        <f t="shared" si="12"/>
        <v>-345062833.1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"/>
      <c r="C64" s="3"/>
      <c r="D64" s="6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18" t="s">
        <v>20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2">
        <v>43.0</v>
      </c>
      <c r="C66" s="3" t="s">
        <v>71</v>
      </c>
      <c r="D66" s="6">
        <f>Mar!F66</f>
        <v>38767945220</v>
      </c>
      <c r="E66" s="4">
        <f>Jan!I66+'Feb UPDATED'!I66+Mar!I66</f>
        <v>837841261.2</v>
      </c>
      <c r="F66" s="4">
        <f>Jan!J66+'Feb UPDATED'!J66+Mar!J66</f>
        <v>2157279967</v>
      </c>
      <c r="G66" s="4">
        <f t="shared" ref="G66:G76" si="13">E66-F66</f>
        <v>-1319438706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v>44.0</v>
      </c>
      <c r="C67" s="3" t="s">
        <v>72</v>
      </c>
      <c r="D67" s="6">
        <f>Mar!F67</f>
        <v>477360158.2</v>
      </c>
      <c r="E67" s="4">
        <f>Jan!I67+'Feb UPDATED'!I67+Mar!I67</f>
        <v>32574305.54</v>
      </c>
      <c r="F67" s="4">
        <f>Jan!J67+'Feb UPDATED'!J67+Mar!J67</f>
        <v>22388002.25</v>
      </c>
      <c r="G67" s="4">
        <f t="shared" si="13"/>
        <v>10186303.29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v>45.0</v>
      </c>
      <c r="C68" s="3" t="s">
        <v>73</v>
      </c>
      <c r="D68" s="6">
        <f>Mar!F68</f>
        <v>984102901</v>
      </c>
      <c r="E68" s="4">
        <f>Jan!I68+'Feb UPDATED'!I68+Mar!I68</f>
        <v>21474256.61</v>
      </c>
      <c r="F68" s="4">
        <f>Jan!J68+'Feb UPDATED'!J68+Mar!J68</f>
        <v>42667489.43</v>
      </c>
      <c r="G68" s="4">
        <f t="shared" si="13"/>
        <v>-21193232.82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1"/>
      <c r="B69" s="2">
        <v>46.0</v>
      </c>
      <c r="C69" s="3" t="s">
        <v>74</v>
      </c>
      <c r="D69" s="6">
        <f>Mar!F69</f>
        <v>195751001.6</v>
      </c>
      <c r="E69" s="4">
        <f>Jan!I69+'Feb UPDATED'!I69+Mar!I69</f>
        <v>3098037.77</v>
      </c>
      <c r="F69" s="4">
        <f>Jan!J69+'Feb UPDATED'!J69+Mar!J69</f>
        <v>4172275.1</v>
      </c>
      <c r="G69" s="4">
        <f t="shared" si="13"/>
        <v>-1074237.33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2">
        <v>47.0</v>
      </c>
      <c r="C70" s="3" t="s">
        <v>75</v>
      </c>
      <c r="D70" s="6">
        <f>Mar!F70</f>
        <v>1351958344</v>
      </c>
      <c r="E70" s="4">
        <f>Jan!I70+'Feb UPDATED'!I70+Mar!I70</f>
        <v>69708595.13</v>
      </c>
      <c r="F70" s="4">
        <f>Jan!J70+'Feb UPDATED'!J70+Mar!J70</f>
        <v>16254703.67</v>
      </c>
      <c r="G70" s="4">
        <f t="shared" si="13"/>
        <v>53453891.46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v>48.0</v>
      </c>
      <c r="C71" s="3" t="s">
        <v>76</v>
      </c>
      <c r="D71" s="6">
        <f>Mar!F71</f>
        <v>725623419.1</v>
      </c>
      <c r="E71" s="4">
        <f>Jan!I71+'Feb UPDATED'!I71+Mar!I71</f>
        <v>6438783.85</v>
      </c>
      <c r="F71" s="4">
        <f>Jan!J71+'Feb UPDATED'!J71+Mar!J71</f>
        <v>104157657</v>
      </c>
      <c r="G71" s="4">
        <f t="shared" si="13"/>
        <v>-97718873.16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v>49.0</v>
      </c>
      <c r="C72" s="3" t="s">
        <v>77</v>
      </c>
      <c r="D72" s="6">
        <f>Mar!F72</f>
        <v>1689250788</v>
      </c>
      <c r="E72" s="4">
        <f>Jan!I72+'Feb UPDATED'!I72+Mar!I72</f>
        <v>12138515.89</v>
      </c>
      <c r="F72" s="4">
        <f>Jan!J72+'Feb UPDATED'!J72+Mar!J72</f>
        <v>38299534.85</v>
      </c>
      <c r="G72" s="4">
        <f t="shared" si="13"/>
        <v>-26161018.96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v>50.0</v>
      </c>
      <c r="C73" s="3" t="s">
        <v>78</v>
      </c>
      <c r="D73" s="6">
        <f>Mar!F73</f>
        <v>307672604</v>
      </c>
      <c r="E73" s="4">
        <f>Jan!I73+'Feb UPDATED'!I73+Mar!I73</f>
        <v>15334937.01</v>
      </c>
      <c r="F73" s="4">
        <f>Jan!J73+'Feb UPDATED'!J73+Mar!J73</f>
        <v>16594168.75</v>
      </c>
      <c r="G73" s="4">
        <f t="shared" si="13"/>
        <v>-1259231.74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v>51.0</v>
      </c>
      <c r="C74" s="3" t="s">
        <v>79</v>
      </c>
      <c r="D74" s="6">
        <f>Mar!F74</f>
        <v>1337144081</v>
      </c>
      <c r="E74" s="4">
        <f>Jan!I74+'Feb UPDATED'!I74+Mar!I74</f>
        <v>103038335.5</v>
      </c>
      <c r="F74" s="4">
        <f>Jan!J74+'Feb UPDATED'!J74+Mar!J74</f>
        <v>2996959</v>
      </c>
      <c r="G74" s="4">
        <f t="shared" si="13"/>
        <v>100041376.5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v>52.0</v>
      </c>
      <c r="C75" s="3" t="s">
        <v>80</v>
      </c>
      <c r="D75" s="6">
        <f>Mar!F75</f>
        <v>4900458919</v>
      </c>
      <c r="E75" s="4">
        <f>Jan!I75+'Feb UPDATED'!I75+Mar!I75</f>
        <v>565047786</v>
      </c>
      <c r="F75" s="4">
        <f>Jan!J75+'Feb UPDATED'!J75+Mar!J75</f>
        <v>219267428</v>
      </c>
      <c r="G75" s="4">
        <f t="shared" si="13"/>
        <v>345780358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v>53.0</v>
      </c>
      <c r="C76" s="3" t="s">
        <v>81</v>
      </c>
      <c r="D76" s="6">
        <f>Mar!F76</f>
        <v>139365179</v>
      </c>
      <c r="E76" s="4">
        <f>Jan!I76+'Feb UPDATED'!I76+Mar!I76</f>
        <v>1488132.44</v>
      </c>
      <c r="F76" s="4">
        <f>Jan!J76+'Feb UPDATED'!J76+Mar!J76</f>
        <v>2245623.71</v>
      </c>
      <c r="G76" s="4">
        <f t="shared" si="13"/>
        <v>-757491.27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24" t="s">
        <v>45</v>
      </c>
      <c r="B77" s="1"/>
      <c r="C77" s="1"/>
      <c r="D77" s="54">
        <f t="shared" ref="D77:G77" si="14">SUM(D66:D76)</f>
        <v>50876632615</v>
      </c>
      <c r="E77" s="54">
        <f t="shared" si="14"/>
        <v>1668182947</v>
      </c>
      <c r="F77" s="54">
        <f t="shared" si="14"/>
        <v>2626323809</v>
      </c>
      <c r="G77" s="54">
        <f t="shared" si="14"/>
        <v>-958140862.1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18" t="s">
        <v>46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v>54.0</v>
      </c>
      <c r="C79" s="3" t="s">
        <v>82</v>
      </c>
      <c r="D79" s="6">
        <f>Mar!F79</f>
        <v>13373773161</v>
      </c>
      <c r="E79" s="4">
        <f>Jan!I79+'Feb UPDATED'!I79+Mar!I79</f>
        <v>221143714</v>
      </c>
      <c r="F79" s="4">
        <f>Jan!J79+'Feb UPDATED'!J79+Mar!J79</f>
        <v>428658749.8</v>
      </c>
      <c r="G79" s="4">
        <f t="shared" ref="G79:G85" si="15">E79-F79</f>
        <v>-207515035.7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2">
        <v>55.0</v>
      </c>
      <c r="C80" s="3" t="s">
        <v>83</v>
      </c>
      <c r="D80" s="6">
        <f>Mar!F80</f>
        <v>253792974.4</v>
      </c>
      <c r="E80" s="4">
        <f>Jan!I80+'Feb UPDATED'!I80+Mar!I80</f>
        <v>1198438.08</v>
      </c>
      <c r="F80" s="4">
        <f>Jan!J80+'Feb UPDATED'!J80+Mar!J80</f>
        <v>4110826.59</v>
      </c>
      <c r="G80" s="4">
        <f t="shared" si="15"/>
        <v>-2912388.51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3"/>
      <c r="B81" s="2">
        <v>56.0</v>
      </c>
      <c r="C81" s="3" t="s">
        <v>84</v>
      </c>
      <c r="D81" s="6">
        <f>Mar!F81</f>
        <v>429679508</v>
      </c>
      <c r="E81" s="4">
        <f>Jan!I81+'Feb UPDATED'!I81+Mar!I81</f>
        <v>7722912.46</v>
      </c>
      <c r="F81" s="4">
        <f>Jan!J81+'Feb UPDATED'!J81+Mar!J81</f>
        <v>5609455.96</v>
      </c>
      <c r="G81" s="4">
        <f t="shared" si="15"/>
        <v>2113456.5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1.25" customHeight="1">
      <c r="A82" s="18"/>
      <c r="B82" s="2">
        <v>57.0</v>
      </c>
      <c r="C82" s="3" t="s">
        <v>85</v>
      </c>
      <c r="D82" s="6">
        <f>Mar!F82</f>
        <v>49000893.31</v>
      </c>
      <c r="E82" s="4">
        <f>Jan!I82+'Feb UPDATED'!I82+Mar!I82</f>
        <v>0</v>
      </c>
      <c r="F82" s="4">
        <f>Jan!J82+'Feb UPDATED'!J82+Mar!J82</f>
        <v>0</v>
      </c>
      <c r="G82" s="4">
        <f t="shared" si="15"/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v>58.0</v>
      </c>
      <c r="C83" s="3" t="s">
        <v>86</v>
      </c>
      <c r="D83" s="6">
        <f>Mar!F83</f>
        <v>1944508226</v>
      </c>
      <c r="E83" s="4">
        <f>Jan!I83+'Feb UPDATED'!I83+Mar!I83</f>
        <v>280843.0856</v>
      </c>
      <c r="F83" s="4">
        <f>Jan!J83+'Feb UPDATED'!J83+Mar!J83</f>
        <v>50642897.62</v>
      </c>
      <c r="G83" s="4">
        <f t="shared" si="15"/>
        <v>-50362054.53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v>59.0</v>
      </c>
      <c r="C84" s="3" t="s">
        <v>87</v>
      </c>
      <c r="D84" s="6">
        <f>Mar!F84</f>
        <v>228667414</v>
      </c>
      <c r="E84" s="4">
        <f>Jan!I84+'Feb UPDATED'!I84+Mar!I84</f>
        <v>419293</v>
      </c>
      <c r="F84" s="4">
        <f>Jan!J84+'Feb UPDATED'!J84+Mar!J84</f>
        <v>427057</v>
      </c>
      <c r="G84" s="4">
        <f t="shared" si="15"/>
        <v>-7764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2">
        <v>60.0</v>
      </c>
      <c r="C85" s="3" t="s">
        <v>88</v>
      </c>
      <c r="D85" s="6">
        <f>Mar!F85</f>
        <v>527873803</v>
      </c>
      <c r="E85" s="4">
        <f>Jan!I85+'Feb UPDATED'!I85+Mar!I85</f>
        <v>96117321.16</v>
      </c>
      <c r="F85" s="4">
        <f>Jan!J85+'Feb UPDATED'!J85+Mar!J85</f>
        <v>10158358.9</v>
      </c>
      <c r="G85" s="4">
        <f t="shared" si="15"/>
        <v>85958962.26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24" t="s">
        <v>89</v>
      </c>
      <c r="B86" s="25"/>
      <c r="C86" s="29"/>
      <c r="D86" s="54">
        <f t="shared" ref="D86:G86" si="16">SUM(D79:D85)</f>
        <v>16807295980</v>
      </c>
      <c r="E86" s="54">
        <f t="shared" si="16"/>
        <v>326882521.8</v>
      </c>
      <c r="F86" s="54">
        <f t="shared" si="16"/>
        <v>499607345.8</v>
      </c>
      <c r="G86" s="54">
        <f t="shared" si="16"/>
        <v>-172724824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v>61.0</v>
      </c>
      <c r="C87" s="3" t="s">
        <v>90</v>
      </c>
      <c r="D87" s="6">
        <f>Mar!F87</f>
        <v>923095350.3</v>
      </c>
      <c r="E87" s="4">
        <f>Jan!I87+'Feb UPDATED'!I87+Mar!I87</f>
        <v>18284661.39</v>
      </c>
      <c r="F87" s="4">
        <f>Jan!J87+'Feb UPDATED'!J87+Mar!J87</f>
        <v>8631913.495</v>
      </c>
      <c r="G87" s="4">
        <f>E87-F87</f>
        <v>9652747.899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24" t="s">
        <v>91</v>
      </c>
      <c r="B88" s="29"/>
      <c r="C88" s="1"/>
      <c r="D88" s="54">
        <f t="shared" ref="D88:G88" si="17">SUM(D87)</f>
        <v>923095350.3</v>
      </c>
      <c r="E88" s="54">
        <f t="shared" si="17"/>
        <v>18284661.39</v>
      </c>
      <c r="F88" s="54">
        <f t="shared" si="17"/>
        <v>8631913.495</v>
      </c>
      <c r="G88" s="54">
        <f t="shared" si="17"/>
        <v>9652747.899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1" t="s">
        <v>92</v>
      </c>
      <c r="B89" s="25"/>
      <c r="C89" s="29"/>
      <c r="D89" s="54">
        <f t="shared" ref="D89:G89" si="18">D77+D86+D88</f>
        <v>68607023945</v>
      </c>
      <c r="E89" s="54">
        <f t="shared" si="18"/>
        <v>2013350130</v>
      </c>
      <c r="F89" s="54">
        <f t="shared" si="18"/>
        <v>3134563068</v>
      </c>
      <c r="G89" s="54">
        <f t="shared" si="18"/>
        <v>-1121212938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1" t="s">
        <v>93</v>
      </c>
      <c r="B90" s="2"/>
      <c r="C90" s="30"/>
      <c r="D90" s="6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18" t="s">
        <v>20</v>
      </c>
      <c r="B91" s="2"/>
      <c r="C91" s="30"/>
      <c r="D91" s="6"/>
      <c r="E91" s="4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8"/>
      <c r="B92" s="2">
        <v>62.0</v>
      </c>
      <c r="C92" s="3" t="s">
        <v>94</v>
      </c>
      <c r="D92" s="6">
        <f>Mar!F92</f>
        <v>36738105513</v>
      </c>
      <c r="E92" s="4">
        <f>Jan!I92+'Feb UPDATED'!I92+Mar!I92</f>
        <v>7711525429</v>
      </c>
      <c r="F92" s="4">
        <f>Jan!J92+'Feb UPDATED'!J92+Mar!J92</f>
        <v>7275236743</v>
      </c>
      <c r="G92" s="4">
        <f t="shared" ref="G92:G94" si="19">E92-F92</f>
        <v>436288685.5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8"/>
      <c r="B93" s="2">
        <v>63.0</v>
      </c>
      <c r="C93" s="3" t="s">
        <v>95</v>
      </c>
      <c r="D93" s="6">
        <f>Mar!F93</f>
        <v>2563537369</v>
      </c>
      <c r="E93" s="4">
        <f>Jan!I93+'Feb UPDATED'!I93+Mar!I93</f>
        <v>248236788.7</v>
      </c>
      <c r="F93" s="4">
        <f>Jan!J93+'Feb UPDATED'!J93+Mar!J93</f>
        <v>530284221.8</v>
      </c>
      <c r="G93" s="4">
        <f t="shared" si="19"/>
        <v>-282047433.1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"/>
      <c r="B94" s="2">
        <v>64.0</v>
      </c>
      <c r="C94" s="3" t="s">
        <v>96</v>
      </c>
      <c r="D94" s="6">
        <f>Mar!F94</f>
        <v>39600841388</v>
      </c>
      <c r="E94" s="4">
        <f>Jan!I94+'Feb UPDATED'!I94+Mar!I94</f>
        <v>6585586404</v>
      </c>
      <c r="F94" s="4">
        <f>Jan!J94+'Feb UPDATED'!J94+Mar!J94</f>
        <v>19510089226</v>
      </c>
      <c r="G94" s="4">
        <f t="shared" si="19"/>
        <v>-12924502822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 t="s">
        <v>40</v>
      </c>
      <c r="B95" s="2"/>
      <c r="C95" s="3"/>
      <c r="D95" s="6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"/>
      <c r="B96" s="2">
        <v>65.0</v>
      </c>
      <c r="C96" s="3" t="s">
        <v>94</v>
      </c>
      <c r="D96" s="6">
        <f>Mar!F96</f>
        <v>4906812744</v>
      </c>
      <c r="E96" s="4">
        <f>Jan!I96+'Feb UPDATED'!I96+Mar!I96</f>
        <v>5166042319</v>
      </c>
      <c r="F96" s="4">
        <f>Jan!J96+'Feb UPDATED'!J96+Mar!J96</f>
        <v>3819778545</v>
      </c>
      <c r="G96" s="4">
        <f>E96-F96</f>
        <v>1346263774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4" t="s">
        <v>45</v>
      </c>
      <c r="B97" s="2"/>
      <c r="C97" s="3"/>
      <c r="D97" s="54">
        <f t="shared" ref="D97:G97" si="20">SUM(D92:D96)</f>
        <v>83809297014</v>
      </c>
      <c r="E97" s="54">
        <f t="shared" si="20"/>
        <v>19711390941</v>
      </c>
      <c r="F97" s="54">
        <f t="shared" si="20"/>
        <v>31135388736</v>
      </c>
      <c r="G97" s="54">
        <f t="shared" si="20"/>
        <v>-11423997795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8" t="s">
        <v>46</v>
      </c>
      <c r="B98" s="2"/>
      <c r="C98" s="3"/>
      <c r="D98" s="6"/>
      <c r="E98" s="4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"/>
      <c r="B99" s="2">
        <v>66.0</v>
      </c>
      <c r="C99" s="3" t="s">
        <v>97</v>
      </c>
      <c r="D99" s="6">
        <f>Mar!F99</f>
        <v>4018021821</v>
      </c>
      <c r="E99" s="4">
        <f>Jan!I99+'Feb UPDATED'!I99+Mar!I99</f>
        <v>2143612081</v>
      </c>
      <c r="F99" s="4">
        <f>Jan!J99+'Feb UPDATED'!J99+Mar!J99</f>
        <v>4677688708</v>
      </c>
      <c r="G99" s="4">
        <f>E99-F99</f>
        <v>-2534076627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24" t="s">
        <v>89</v>
      </c>
      <c r="B100" s="2"/>
      <c r="C100" s="3"/>
      <c r="D100" s="54">
        <f t="shared" ref="D100:G100" si="21">SUM(D99)</f>
        <v>4018021821</v>
      </c>
      <c r="E100" s="54">
        <f t="shared" si="21"/>
        <v>2143612081</v>
      </c>
      <c r="F100" s="54">
        <f t="shared" si="21"/>
        <v>4677688708</v>
      </c>
      <c r="G100" s="54">
        <f t="shared" si="21"/>
        <v>-2534076627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1" t="s">
        <v>98</v>
      </c>
      <c r="B101" s="2"/>
      <c r="C101" s="3"/>
      <c r="D101" s="54">
        <f t="shared" ref="D101:G101" si="22">D97+D100</f>
        <v>87827318835</v>
      </c>
      <c r="E101" s="54">
        <f t="shared" si="22"/>
        <v>21855003022</v>
      </c>
      <c r="F101" s="54">
        <f t="shared" si="22"/>
        <v>35813077444</v>
      </c>
      <c r="G101" s="54">
        <f t="shared" si="22"/>
        <v>-13958074422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" t="s">
        <v>99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8" t="s">
        <v>100</v>
      </c>
      <c r="B103" s="2"/>
      <c r="C103" s="3"/>
      <c r="D103" s="6"/>
      <c r="E103" s="4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18"/>
      <c r="B104" s="2">
        <v>67.0</v>
      </c>
      <c r="C104" s="3" t="s">
        <v>101</v>
      </c>
      <c r="D104" s="6">
        <f>Mar!F104</f>
        <v>9084381006</v>
      </c>
      <c r="E104" s="4">
        <f>Jan!I104+'Feb UPDATED'!I104+Mar!I104</f>
        <v>382115027.8</v>
      </c>
      <c r="F104" s="4">
        <f>Jan!J104+'Feb UPDATED'!J104+Mar!J104</f>
        <v>417251737.3</v>
      </c>
      <c r="G104" s="4">
        <f t="shared" ref="G104:G105" si="23">E104-F104</f>
        <v>-35136709.42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/>
      <c r="B105" s="2">
        <v>68.0</v>
      </c>
      <c r="C105" s="3" t="s">
        <v>102</v>
      </c>
      <c r="D105" s="6">
        <f>Mar!F105</f>
        <v>3310295075</v>
      </c>
      <c r="E105" s="4">
        <f>Jan!I105+'Feb UPDATED'!I105+Mar!I105</f>
        <v>65307884.13</v>
      </c>
      <c r="F105" s="4">
        <f>Jan!J105+'Feb UPDATED'!J105+Mar!J105</f>
        <v>128797965.7</v>
      </c>
      <c r="G105" s="4">
        <f t="shared" si="23"/>
        <v>-63490081.56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24" t="s">
        <v>45</v>
      </c>
      <c r="B106" s="2"/>
      <c r="C106" s="3"/>
      <c r="D106" s="54">
        <f t="shared" ref="D106:G106" si="24">SUM(D104:D105)</f>
        <v>12394676081</v>
      </c>
      <c r="E106" s="54">
        <f t="shared" si="24"/>
        <v>447422912</v>
      </c>
      <c r="F106" s="54">
        <f t="shared" si="24"/>
        <v>546049702.9</v>
      </c>
      <c r="G106" s="54">
        <f t="shared" si="24"/>
        <v>-98626790.98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8" t="s">
        <v>103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"/>
      <c r="B108" s="2">
        <v>69.0</v>
      </c>
      <c r="C108" s="3" t="s">
        <v>104</v>
      </c>
      <c r="D108" s="6">
        <f>Mar!F108</f>
        <v>9802313764</v>
      </c>
      <c r="E108" s="4">
        <f>Jan!I108+'Feb UPDATED'!I108+Mar!I108</f>
        <v>261722163.8</v>
      </c>
      <c r="F108" s="4">
        <f>Jan!J108+'Feb UPDATED'!J108+Mar!J108</f>
        <v>295829761.5</v>
      </c>
      <c r="G108" s="4">
        <f>E108-F108</f>
        <v>-34107597.69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24" t="s">
        <v>89</v>
      </c>
      <c r="B109" s="25"/>
      <c r="C109" s="1"/>
      <c r="D109" s="54">
        <f t="shared" ref="D109:G109" si="25">SUM(D108)</f>
        <v>9802313764</v>
      </c>
      <c r="E109" s="54">
        <f t="shared" si="25"/>
        <v>261722163.8</v>
      </c>
      <c r="F109" s="54">
        <f t="shared" si="25"/>
        <v>295829761.5</v>
      </c>
      <c r="G109" s="54">
        <f t="shared" si="25"/>
        <v>-34107597.69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 t="s">
        <v>105</v>
      </c>
      <c r="B110" s="31"/>
      <c r="C110" s="29"/>
      <c r="D110" s="54">
        <f t="shared" ref="D110:G110" si="26">D106+D109</f>
        <v>22196989845</v>
      </c>
      <c r="E110" s="54">
        <f t="shared" si="26"/>
        <v>709145075.7</v>
      </c>
      <c r="F110" s="54">
        <f t="shared" si="26"/>
        <v>841879464.4</v>
      </c>
      <c r="G110" s="54">
        <f t="shared" si="26"/>
        <v>-132734388.7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2" t="s">
        <v>106</v>
      </c>
      <c r="B111" s="33"/>
      <c r="C111" s="34"/>
      <c r="D111" s="55">
        <f t="shared" ref="D111:G111" si="27">D39+D63+D89+D101+D110</f>
        <v>264280140830</v>
      </c>
      <c r="E111" s="55">
        <f t="shared" si="27"/>
        <v>27042781470</v>
      </c>
      <c r="F111" s="55">
        <f t="shared" si="27"/>
        <v>42886940565</v>
      </c>
      <c r="G111" s="55">
        <f t="shared" si="27"/>
        <v>-15844159096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0" customHeight="1">
      <c r="A112" s="3"/>
      <c r="B112" s="2"/>
      <c r="C112" s="37"/>
      <c r="D112" s="4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0"/>
      <c r="B113" s="37"/>
      <c r="C113" s="37"/>
      <c r="D113" s="4">
        <f>D111-Mar!F111</f>
        <v>0</v>
      </c>
      <c r="E113" s="4">
        <f>E111-Jan!I111-'Feb UPDATED'!I111-Mar!I111</f>
        <v>-0.000002861022949</v>
      </c>
      <c r="F113" s="4">
        <f>F111-Jan!J111-'Feb UPDATED'!J111-Mar!J111</f>
        <v>0.000001907348633</v>
      </c>
      <c r="G113" s="4">
        <f>G111-Jan!K111-'Feb UPDATED'!K111-Mar!K111</f>
        <v>-0.0000009536743164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7"/>
      <c r="B114" s="37"/>
      <c r="C114" s="37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7"/>
      <c r="B115" s="37"/>
      <c r="C115" s="37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7"/>
      <c r="B116" s="37"/>
      <c r="C116" s="37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7"/>
      <c r="B117" s="37"/>
      <c r="C117" s="37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7"/>
      <c r="B118" s="37"/>
      <c r="C118" s="37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7"/>
      <c r="B119" s="37"/>
      <c r="C119" s="37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7"/>
      <c r="B120" s="37"/>
      <c r="C120" s="37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7"/>
      <c r="B121" s="37"/>
      <c r="C121" s="37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7"/>
      <c r="B122" s="37"/>
      <c r="C122" s="37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7"/>
      <c r="B123" s="37"/>
      <c r="C123" s="37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7"/>
      <c r="B124" s="37"/>
      <c r="C124" s="37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7"/>
      <c r="B125" s="37"/>
      <c r="C125" s="37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7"/>
      <c r="B126" s="37"/>
      <c r="C126" s="37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7"/>
      <c r="B127" s="37"/>
      <c r="C127" s="37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7"/>
      <c r="B128" s="37"/>
      <c r="C128" s="37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7"/>
      <c r="B129" s="37"/>
      <c r="C129" s="37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7"/>
      <c r="B130" s="37"/>
      <c r="C130" s="37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7"/>
      <c r="B131" s="37"/>
      <c r="C131" s="37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7"/>
      <c r="B132" s="37"/>
      <c r="C132" s="37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7"/>
      <c r="B133" s="37"/>
      <c r="C133" s="37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7"/>
      <c r="B134" s="37"/>
      <c r="C134" s="37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7"/>
      <c r="B135" s="37"/>
      <c r="C135" s="37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7"/>
      <c r="B136" s="37"/>
      <c r="C136" s="37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7"/>
      <c r="B137" s="37"/>
      <c r="C137" s="37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7"/>
      <c r="B138" s="37"/>
      <c r="C138" s="37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7"/>
      <c r="B139" s="37"/>
      <c r="C139" s="37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7"/>
      <c r="B140" s="37"/>
      <c r="C140" s="37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7"/>
      <c r="B141" s="37"/>
      <c r="C141" s="37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7"/>
      <c r="B142" s="37"/>
      <c r="C142" s="37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7"/>
      <c r="B143" s="37"/>
      <c r="C143" s="37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7"/>
      <c r="B144" s="37"/>
      <c r="C144" s="37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7"/>
      <c r="B145" s="37"/>
      <c r="C145" s="37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7"/>
      <c r="B146" s="37"/>
      <c r="C146" s="37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7"/>
      <c r="B147" s="37"/>
      <c r="C147" s="37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7"/>
      <c r="B148" s="37"/>
      <c r="C148" s="37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7"/>
      <c r="B149" s="37"/>
      <c r="C149" s="37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7"/>
      <c r="B150" s="37"/>
      <c r="C150" s="37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7"/>
      <c r="B151" s="37"/>
      <c r="C151" s="37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7"/>
      <c r="B152" s="37"/>
      <c r="C152" s="37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7"/>
      <c r="B153" s="37"/>
      <c r="C153" s="37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7"/>
      <c r="B154" s="37"/>
      <c r="C154" s="37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7"/>
      <c r="B155" s="37"/>
      <c r="C155" s="37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7"/>
      <c r="B156" s="37"/>
      <c r="C156" s="37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7"/>
      <c r="B157" s="37"/>
      <c r="C157" s="37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7"/>
      <c r="B158" s="37"/>
      <c r="C158" s="37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7"/>
      <c r="B159" s="37"/>
      <c r="C159" s="37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7"/>
      <c r="B160" s="37"/>
      <c r="C160" s="37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7"/>
      <c r="B161" s="37"/>
      <c r="C161" s="37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7"/>
      <c r="B162" s="37"/>
      <c r="C162" s="37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7"/>
      <c r="B163" s="37"/>
      <c r="C163" s="37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7"/>
      <c r="B164" s="37"/>
      <c r="C164" s="37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7"/>
      <c r="B165" s="37"/>
      <c r="C165" s="37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7"/>
      <c r="B166" s="37"/>
      <c r="C166" s="37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7"/>
      <c r="B167" s="37"/>
      <c r="C167" s="37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7"/>
      <c r="B168" s="37"/>
      <c r="C168" s="37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7"/>
      <c r="B169" s="37"/>
      <c r="C169" s="37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7"/>
      <c r="B170" s="37"/>
      <c r="C170" s="37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7"/>
      <c r="B171" s="37"/>
      <c r="C171" s="37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7"/>
      <c r="B172" s="37"/>
      <c r="C172" s="37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7"/>
      <c r="B173" s="37"/>
      <c r="C173" s="37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7"/>
      <c r="B174" s="37"/>
      <c r="C174" s="37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7"/>
      <c r="B175" s="37"/>
      <c r="C175" s="37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7"/>
      <c r="B176" s="37"/>
      <c r="C176" s="37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7"/>
      <c r="B177" s="37"/>
      <c r="C177" s="37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7"/>
      <c r="B178" s="37"/>
      <c r="C178" s="37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7"/>
      <c r="B179" s="37"/>
      <c r="C179" s="37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7"/>
      <c r="B180" s="37"/>
      <c r="C180" s="37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7"/>
      <c r="B181" s="37"/>
      <c r="C181" s="37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7"/>
      <c r="B182" s="37"/>
      <c r="C182" s="37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7"/>
      <c r="B183" s="37"/>
      <c r="C183" s="37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7"/>
      <c r="B184" s="37"/>
      <c r="C184" s="37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7"/>
      <c r="B185" s="37"/>
      <c r="C185" s="37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7"/>
      <c r="B186" s="37"/>
      <c r="C186" s="37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7"/>
      <c r="B187" s="37"/>
      <c r="C187" s="37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7"/>
      <c r="B188" s="37"/>
      <c r="C188" s="37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7"/>
      <c r="B189" s="37"/>
      <c r="C189" s="37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7"/>
      <c r="B190" s="37"/>
      <c r="C190" s="37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7"/>
      <c r="B191" s="37"/>
      <c r="C191" s="37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7"/>
      <c r="B192" s="37"/>
      <c r="C192" s="37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7"/>
      <c r="B193" s="37"/>
      <c r="C193" s="37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7"/>
      <c r="B194" s="37"/>
      <c r="C194" s="37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7"/>
      <c r="B195" s="37"/>
      <c r="C195" s="37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7"/>
      <c r="B196" s="37"/>
      <c r="C196" s="37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7"/>
      <c r="B197" s="37"/>
      <c r="C197" s="37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7"/>
      <c r="B198" s="37"/>
      <c r="C198" s="37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7"/>
      <c r="B199" s="37"/>
      <c r="C199" s="37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7"/>
      <c r="B200" s="37"/>
      <c r="C200" s="37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7"/>
      <c r="B201" s="37"/>
      <c r="C201" s="37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7"/>
      <c r="B202" s="37"/>
      <c r="C202" s="37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7"/>
      <c r="B203" s="37"/>
      <c r="C203" s="37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7"/>
      <c r="B204" s="37"/>
      <c r="C204" s="37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7"/>
      <c r="B205" s="37"/>
      <c r="C205" s="37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7"/>
      <c r="B206" s="37"/>
      <c r="C206" s="37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7"/>
      <c r="B207" s="37"/>
      <c r="C207" s="37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7"/>
      <c r="B208" s="37"/>
      <c r="C208" s="37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7"/>
      <c r="B209" s="37"/>
      <c r="C209" s="37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7"/>
      <c r="B210" s="37"/>
      <c r="C210" s="37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7"/>
      <c r="B211" s="37"/>
      <c r="C211" s="37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7"/>
      <c r="B212" s="37"/>
      <c r="C212" s="37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7"/>
      <c r="B213" s="37"/>
      <c r="C213" s="37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7"/>
      <c r="B214" s="37"/>
      <c r="C214" s="37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7"/>
      <c r="B215" s="37"/>
      <c r="C215" s="37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7"/>
      <c r="B216" s="37"/>
      <c r="C216" s="37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7"/>
      <c r="B217" s="37"/>
      <c r="C217" s="37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7"/>
      <c r="B218" s="37"/>
      <c r="C218" s="37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7"/>
      <c r="B219" s="37"/>
      <c r="C219" s="37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7"/>
      <c r="B220" s="37"/>
      <c r="C220" s="37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7"/>
      <c r="B221" s="37"/>
      <c r="C221" s="37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7"/>
      <c r="B222" s="37"/>
      <c r="C222" s="37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7"/>
      <c r="B223" s="37"/>
      <c r="C223" s="37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7"/>
      <c r="B224" s="37"/>
      <c r="C224" s="37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7"/>
      <c r="B225" s="37"/>
      <c r="C225" s="37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7"/>
      <c r="B226" s="37"/>
      <c r="C226" s="37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7"/>
      <c r="B227" s="37"/>
      <c r="C227" s="37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7"/>
      <c r="B228" s="37"/>
      <c r="C228" s="37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7"/>
      <c r="B229" s="37"/>
      <c r="C229" s="37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7"/>
      <c r="B230" s="37"/>
      <c r="C230" s="37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7"/>
      <c r="B231" s="37"/>
      <c r="C231" s="37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7"/>
      <c r="B232" s="37"/>
      <c r="C232" s="37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7"/>
      <c r="B233" s="37"/>
      <c r="C233" s="37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7"/>
      <c r="B234" s="37"/>
      <c r="C234" s="37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7"/>
      <c r="B235" s="37"/>
      <c r="C235" s="37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7"/>
      <c r="B236" s="37"/>
      <c r="C236" s="37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7"/>
      <c r="B237" s="37"/>
      <c r="C237" s="37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7"/>
      <c r="B238" s="37"/>
      <c r="C238" s="37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7"/>
      <c r="B239" s="37"/>
      <c r="C239" s="37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7"/>
      <c r="B240" s="37"/>
      <c r="C240" s="37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7"/>
      <c r="B241" s="37"/>
      <c r="C241" s="37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7"/>
      <c r="B242" s="37"/>
      <c r="C242" s="37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7"/>
      <c r="B243" s="37"/>
      <c r="C243" s="37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7"/>
      <c r="B244" s="37"/>
      <c r="C244" s="37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7"/>
      <c r="B245" s="37"/>
      <c r="C245" s="37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7"/>
      <c r="B246" s="37"/>
      <c r="C246" s="37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7"/>
      <c r="B247" s="37"/>
      <c r="C247" s="37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7"/>
      <c r="B248" s="37"/>
      <c r="C248" s="37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7"/>
      <c r="B249" s="37"/>
      <c r="C249" s="37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7"/>
      <c r="B250" s="37"/>
      <c r="C250" s="37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7"/>
      <c r="B251" s="37"/>
      <c r="C251" s="37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7"/>
      <c r="B252" s="37"/>
      <c r="C252" s="37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7"/>
      <c r="B253" s="37"/>
      <c r="C253" s="37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7"/>
      <c r="B254" s="37"/>
      <c r="C254" s="37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7"/>
      <c r="B255" s="37"/>
      <c r="C255" s="37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7"/>
      <c r="B256" s="37"/>
      <c r="C256" s="37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7"/>
      <c r="B257" s="37"/>
      <c r="C257" s="37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7"/>
      <c r="B258" s="37"/>
      <c r="C258" s="37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7"/>
      <c r="B259" s="37"/>
      <c r="C259" s="37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7"/>
      <c r="B260" s="37"/>
      <c r="C260" s="37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7"/>
      <c r="B261" s="37"/>
      <c r="C261" s="37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7"/>
      <c r="B262" s="37"/>
      <c r="C262" s="37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7"/>
      <c r="B263" s="37"/>
      <c r="C263" s="37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7"/>
      <c r="B264" s="37"/>
      <c r="C264" s="37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7"/>
      <c r="B265" s="37"/>
      <c r="C265" s="37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7"/>
      <c r="B266" s="37"/>
      <c r="C266" s="37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7"/>
      <c r="B267" s="37"/>
      <c r="C267" s="37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7"/>
      <c r="B268" s="37"/>
      <c r="C268" s="37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7"/>
      <c r="B269" s="37"/>
      <c r="C269" s="37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7"/>
      <c r="B270" s="37"/>
      <c r="C270" s="37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7"/>
      <c r="B271" s="37"/>
      <c r="C271" s="37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7"/>
      <c r="B272" s="37"/>
      <c r="C272" s="37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7"/>
      <c r="B273" s="37"/>
      <c r="C273" s="37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7"/>
      <c r="B274" s="37"/>
      <c r="C274" s="37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7"/>
      <c r="B275" s="37"/>
      <c r="C275" s="37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7"/>
      <c r="B276" s="37"/>
      <c r="C276" s="37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7"/>
      <c r="B277" s="37"/>
      <c r="C277" s="37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7"/>
      <c r="B278" s="37"/>
      <c r="C278" s="37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7"/>
      <c r="B279" s="37"/>
      <c r="C279" s="37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7"/>
      <c r="B280" s="37"/>
      <c r="C280" s="37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7"/>
      <c r="B281" s="37"/>
      <c r="C281" s="37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7"/>
      <c r="B282" s="37"/>
      <c r="C282" s="37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7"/>
      <c r="B283" s="37"/>
      <c r="C283" s="37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7"/>
      <c r="B284" s="37"/>
      <c r="C284" s="37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7"/>
      <c r="B285" s="37"/>
      <c r="C285" s="37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7"/>
      <c r="B286" s="37"/>
      <c r="C286" s="37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7"/>
      <c r="B287" s="37"/>
      <c r="C287" s="37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7"/>
      <c r="B288" s="37"/>
      <c r="C288" s="37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7"/>
      <c r="B289" s="37"/>
      <c r="C289" s="37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7"/>
      <c r="B290" s="37"/>
      <c r="C290" s="37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7"/>
      <c r="B291" s="37"/>
      <c r="C291" s="37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7"/>
      <c r="B292" s="37"/>
      <c r="C292" s="37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7"/>
      <c r="B293" s="37"/>
      <c r="C293" s="37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7"/>
      <c r="B294" s="37"/>
      <c r="C294" s="37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7"/>
      <c r="B295" s="37"/>
      <c r="C295" s="37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7"/>
      <c r="B296" s="37"/>
      <c r="C296" s="37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7"/>
      <c r="B297" s="37"/>
      <c r="C297" s="37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7"/>
      <c r="B298" s="37"/>
      <c r="C298" s="37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7"/>
      <c r="B299" s="37"/>
      <c r="C299" s="37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7"/>
      <c r="B300" s="37"/>
      <c r="C300" s="37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7"/>
      <c r="B301" s="37"/>
      <c r="C301" s="37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7"/>
      <c r="B302" s="37"/>
      <c r="C302" s="37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7"/>
      <c r="B303" s="37"/>
      <c r="C303" s="37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7"/>
      <c r="B304" s="37"/>
      <c r="C304" s="37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7"/>
      <c r="B305" s="37"/>
      <c r="C305" s="37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7"/>
      <c r="B306" s="37"/>
      <c r="C306" s="37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7"/>
      <c r="B307" s="37"/>
      <c r="C307" s="37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7"/>
      <c r="B308" s="37"/>
      <c r="C308" s="37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7"/>
      <c r="B309" s="37"/>
      <c r="C309" s="37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7"/>
      <c r="B310" s="37"/>
      <c r="C310" s="37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7"/>
      <c r="B311" s="37"/>
      <c r="C311" s="37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7"/>
      <c r="B312" s="37"/>
      <c r="C312" s="37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7"/>
      <c r="B313" s="37"/>
      <c r="C313" s="37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7"/>
      <c r="B314" s="37"/>
      <c r="C314" s="37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7"/>
      <c r="B315" s="37"/>
      <c r="C315" s="37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7"/>
      <c r="B316" s="37"/>
      <c r="C316" s="37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7"/>
      <c r="B317" s="37"/>
      <c r="C317" s="37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7"/>
      <c r="B318" s="37"/>
      <c r="C318" s="37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7"/>
      <c r="B319" s="37"/>
      <c r="C319" s="37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7"/>
      <c r="B320" s="37"/>
      <c r="C320" s="37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7"/>
      <c r="B321" s="37"/>
      <c r="C321" s="37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7"/>
      <c r="B322" s="37"/>
      <c r="C322" s="37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7"/>
      <c r="B323" s="37"/>
      <c r="C323" s="37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7"/>
      <c r="B324" s="37"/>
      <c r="C324" s="37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7"/>
      <c r="B325" s="37"/>
      <c r="C325" s="37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7"/>
      <c r="B326" s="37"/>
      <c r="C326" s="37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7"/>
      <c r="B327" s="37"/>
      <c r="C327" s="37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7"/>
      <c r="B328" s="37"/>
      <c r="C328" s="37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7"/>
      <c r="B329" s="37"/>
      <c r="C329" s="37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7"/>
      <c r="B330" s="37"/>
      <c r="C330" s="37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7"/>
      <c r="B331" s="37"/>
      <c r="C331" s="37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7"/>
      <c r="B332" s="37"/>
      <c r="C332" s="37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7"/>
      <c r="B333" s="37"/>
      <c r="C333" s="37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7"/>
      <c r="B334" s="37"/>
      <c r="C334" s="37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7"/>
      <c r="B335" s="37"/>
      <c r="C335" s="37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7"/>
      <c r="B336" s="37"/>
      <c r="C336" s="37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7"/>
      <c r="B337" s="37"/>
      <c r="C337" s="37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7"/>
      <c r="B338" s="37"/>
      <c r="C338" s="37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7"/>
      <c r="B339" s="37"/>
      <c r="C339" s="37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7"/>
      <c r="B340" s="37"/>
      <c r="C340" s="37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7"/>
      <c r="B341" s="37"/>
      <c r="C341" s="37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7"/>
      <c r="B342" s="37"/>
      <c r="C342" s="37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7"/>
      <c r="B343" s="37"/>
      <c r="C343" s="37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7"/>
      <c r="B344" s="37"/>
      <c r="C344" s="37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7"/>
      <c r="B345" s="37"/>
      <c r="C345" s="37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7"/>
      <c r="B346" s="37"/>
      <c r="C346" s="37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7"/>
      <c r="B347" s="37"/>
      <c r="C347" s="37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7"/>
      <c r="B348" s="37"/>
      <c r="C348" s="37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7"/>
      <c r="B349" s="37"/>
      <c r="C349" s="37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7"/>
      <c r="B350" s="37"/>
      <c r="C350" s="37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7"/>
      <c r="B351" s="37"/>
      <c r="C351" s="37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7"/>
      <c r="B352" s="37"/>
      <c r="C352" s="37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7"/>
      <c r="B353" s="37"/>
      <c r="C353" s="37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7"/>
      <c r="B354" s="37"/>
      <c r="C354" s="37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7"/>
      <c r="B355" s="37"/>
      <c r="C355" s="37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7"/>
      <c r="B356" s="37"/>
      <c r="C356" s="37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7"/>
      <c r="B357" s="37"/>
      <c r="C357" s="37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7"/>
      <c r="B358" s="37"/>
      <c r="C358" s="37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7"/>
      <c r="B359" s="37"/>
      <c r="C359" s="37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7"/>
      <c r="B360" s="37"/>
      <c r="C360" s="37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7"/>
      <c r="B361" s="37"/>
      <c r="C361" s="37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7"/>
      <c r="B362" s="37"/>
      <c r="C362" s="37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7"/>
      <c r="B363" s="37"/>
      <c r="C363" s="37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7"/>
      <c r="B364" s="37"/>
      <c r="C364" s="37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7"/>
      <c r="B365" s="37"/>
      <c r="C365" s="37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7"/>
      <c r="B366" s="37"/>
      <c r="C366" s="37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7"/>
      <c r="B367" s="37"/>
      <c r="C367" s="37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7"/>
      <c r="B368" s="37"/>
      <c r="C368" s="37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7"/>
      <c r="B369" s="37"/>
      <c r="C369" s="37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7"/>
      <c r="B370" s="37"/>
      <c r="C370" s="37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7"/>
      <c r="B371" s="37"/>
      <c r="C371" s="37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7"/>
      <c r="B372" s="37"/>
      <c r="C372" s="37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7"/>
      <c r="B373" s="37"/>
      <c r="C373" s="37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7"/>
      <c r="B374" s="37"/>
      <c r="C374" s="37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7"/>
      <c r="B375" s="37"/>
      <c r="C375" s="37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7"/>
      <c r="B376" s="37"/>
      <c r="C376" s="37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7"/>
      <c r="B377" s="37"/>
      <c r="C377" s="37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7"/>
      <c r="B378" s="37"/>
      <c r="C378" s="37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7"/>
      <c r="B379" s="37"/>
      <c r="C379" s="37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7"/>
      <c r="B380" s="37"/>
      <c r="C380" s="37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7"/>
      <c r="B381" s="37"/>
      <c r="C381" s="37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7"/>
      <c r="B382" s="37"/>
      <c r="C382" s="37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7"/>
      <c r="B383" s="37"/>
      <c r="C383" s="37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7"/>
      <c r="B384" s="37"/>
      <c r="C384" s="37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7"/>
      <c r="B385" s="37"/>
      <c r="C385" s="37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7"/>
      <c r="B386" s="37"/>
      <c r="C386" s="37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7"/>
      <c r="B387" s="37"/>
      <c r="C387" s="37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7"/>
      <c r="B388" s="37"/>
      <c r="C388" s="37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7"/>
      <c r="B389" s="37"/>
      <c r="C389" s="37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7"/>
      <c r="B390" s="37"/>
      <c r="C390" s="37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7"/>
      <c r="B391" s="37"/>
      <c r="C391" s="37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7"/>
      <c r="B392" s="37"/>
      <c r="C392" s="37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7"/>
      <c r="B393" s="37"/>
      <c r="C393" s="37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7"/>
      <c r="B394" s="37"/>
      <c r="C394" s="37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7"/>
      <c r="B395" s="37"/>
      <c r="C395" s="37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7"/>
      <c r="B396" s="37"/>
      <c r="C396" s="37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7"/>
      <c r="B397" s="37"/>
      <c r="C397" s="37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7"/>
      <c r="B398" s="37"/>
      <c r="C398" s="37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7"/>
      <c r="B399" s="37"/>
      <c r="C399" s="37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7"/>
      <c r="B400" s="37"/>
      <c r="C400" s="37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7"/>
      <c r="B401" s="37"/>
      <c r="C401" s="37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7"/>
      <c r="B402" s="37"/>
      <c r="C402" s="37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7"/>
      <c r="B403" s="37"/>
      <c r="C403" s="37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7"/>
      <c r="B404" s="37"/>
      <c r="C404" s="37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7"/>
      <c r="B405" s="37"/>
      <c r="C405" s="37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7"/>
      <c r="B406" s="37"/>
      <c r="C406" s="37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7"/>
      <c r="B407" s="37"/>
      <c r="C407" s="37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7"/>
      <c r="B408" s="37"/>
      <c r="C408" s="37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7"/>
      <c r="B409" s="37"/>
      <c r="C409" s="37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7"/>
      <c r="B410" s="37"/>
      <c r="C410" s="37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7"/>
      <c r="B411" s="37"/>
      <c r="C411" s="37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7"/>
      <c r="B412" s="37"/>
      <c r="C412" s="37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7"/>
      <c r="B413" s="37"/>
      <c r="C413" s="37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7"/>
      <c r="B414" s="37"/>
      <c r="C414" s="37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7"/>
      <c r="B415" s="37"/>
      <c r="C415" s="37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7"/>
      <c r="B416" s="37"/>
      <c r="C416" s="37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7"/>
      <c r="B417" s="37"/>
      <c r="C417" s="37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7"/>
      <c r="B418" s="37"/>
      <c r="C418" s="37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7"/>
      <c r="B419" s="37"/>
      <c r="C419" s="37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7"/>
      <c r="B420" s="37"/>
      <c r="C420" s="37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7"/>
      <c r="B421" s="37"/>
      <c r="C421" s="37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7"/>
      <c r="B422" s="37"/>
      <c r="C422" s="37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7"/>
      <c r="B423" s="37"/>
      <c r="C423" s="37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7"/>
      <c r="B424" s="37"/>
      <c r="C424" s="37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7"/>
      <c r="B425" s="37"/>
      <c r="C425" s="37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7"/>
      <c r="B426" s="37"/>
      <c r="C426" s="37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7"/>
      <c r="B427" s="37"/>
      <c r="C427" s="37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7"/>
      <c r="B428" s="37"/>
      <c r="C428" s="37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7"/>
      <c r="B429" s="37"/>
      <c r="C429" s="37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7"/>
      <c r="B430" s="37"/>
      <c r="C430" s="37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7"/>
      <c r="B431" s="37"/>
      <c r="C431" s="37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7"/>
      <c r="B432" s="37"/>
      <c r="C432" s="37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7"/>
      <c r="B433" s="37"/>
      <c r="C433" s="37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7"/>
      <c r="B434" s="37"/>
      <c r="C434" s="37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7"/>
      <c r="B435" s="37"/>
      <c r="C435" s="37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7"/>
      <c r="B436" s="37"/>
      <c r="C436" s="37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7"/>
      <c r="B437" s="37"/>
      <c r="C437" s="37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7"/>
      <c r="B438" s="37"/>
      <c r="C438" s="37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7"/>
      <c r="B439" s="37"/>
      <c r="C439" s="37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7"/>
      <c r="B440" s="37"/>
      <c r="C440" s="37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7"/>
      <c r="B441" s="37"/>
      <c r="C441" s="37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7"/>
      <c r="B442" s="37"/>
      <c r="C442" s="37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7"/>
      <c r="B443" s="37"/>
      <c r="C443" s="37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7"/>
      <c r="B444" s="37"/>
      <c r="C444" s="37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7"/>
      <c r="B445" s="37"/>
      <c r="C445" s="37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7"/>
      <c r="B446" s="37"/>
      <c r="C446" s="37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7"/>
      <c r="B447" s="37"/>
      <c r="C447" s="37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7"/>
      <c r="B448" s="37"/>
      <c r="C448" s="37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7"/>
      <c r="B449" s="37"/>
      <c r="C449" s="37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7"/>
      <c r="B450" s="37"/>
      <c r="C450" s="37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7"/>
      <c r="B451" s="37"/>
      <c r="C451" s="37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7"/>
      <c r="B452" s="37"/>
      <c r="C452" s="37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7"/>
      <c r="B453" s="37"/>
      <c r="C453" s="37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7"/>
      <c r="B454" s="37"/>
      <c r="C454" s="37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7"/>
      <c r="B455" s="37"/>
      <c r="C455" s="37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7"/>
      <c r="B456" s="37"/>
      <c r="C456" s="37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7"/>
      <c r="B457" s="37"/>
      <c r="C457" s="37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7"/>
      <c r="B458" s="37"/>
      <c r="C458" s="37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7"/>
      <c r="B459" s="37"/>
      <c r="C459" s="37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7"/>
      <c r="B460" s="37"/>
      <c r="C460" s="37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7"/>
      <c r="B461" s="37"/>
      <c r="C461" s="37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7"/>
      <c r="B462" s="37"/>
      <c r="C462" s="37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7"/>
      <c r="B463" s="37"/>
      <c r="C463" s="37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7"/>
      <c r="B464" s="37"/>
      <c r="C464" s="37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7"/>
      <c r="B465" s="37"/>
      <c r="C465" s="37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7"/>
      <c r="B466" s="37"/>
      <c r="C466" s="37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7"/>
      <c r="B467" s="37"/>
      <c r="C467" s="37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7"/>
      <c r="B468" s="37"/>
      <c r="C468" s="37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7"/>
      <c r="B469" s="37"/>
      <c r="C469" s="37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7"/>
      <c r="B470" s="37"/>
      <c r="C470" s="37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7"/>
      <c r="B471" s="37"/>
      <c r="C471" s="37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7"/>
      <c r="B472" s="37"/>
      <c r="C472" s="37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7"/>
      <c r="B473" s="37"/>
      <c r="C473" s="37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7"/>
      <c r="B474" s="37"/>
      <c r="C474" s="37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7"/>
      <c r="B475" s="37"/>
      <c r="C475" s="37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7"/>
      <c r="B476" s="37"/>
      <c r="C476" s="37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7"/>
      <c r="B477" s="37"/>
      <c r="C477" s="37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7"/>
      <c r="B478" s="37"/>
      <c r="C478" s="37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7"/>
      <c r="B479" s="37"/>
      <c r="C479" s="37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7"/>
      <c r="B480" s="37"/>
      <c r="C480" s="37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7"/>
      <c r="B481" s="37"/>
      <c r="C481" s="37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7"/>
      <c r="B482" s="37"/>
      <c r="C482" s="37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7"/>
      <c r="B483" s="37"/>
      <c r="C483" s="37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7"/>
      <c r="B484" s="37"/>
      <c r="C484" s="37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7"/>
      <c r="B485" s="37"/>
      <c r="C485" s="37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7"/>
      <c r="B486" s="37"/>
      <c r="C486" s="37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7"/>
      <c r="B487" s="37"/>
      <c r="C487" s="37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7"/>
      <c r="B488" s="37"/>
      <c r="C488" s="37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7"/>
      <c r="B489" s="37"/>
      <c r="C489" s="37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7"/>
      <c r="B490" s="37"/>
      <c r="C490" s="37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7"/>
      <c r="B491" s="37"/>
      <c r="C491" s="37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7"/>
      <c r="B492" s="37"/>
      <c r="C492" s="37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7"/>
      <c r="B493" s="37"/>
      <c r="C493" s="37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7"/>
      <c r="B494" s="37"/>
      <c r="C494" s="37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7"/>
      <c r="B495" s="37"/>
      <c r="C495" s="37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7"/>
      <c r="B496" s="37"/>
      <c r="C496" s="37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7"/>
      <c r="B497" s="37"/>
      <c r="C497" s="37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7"/>
      <c r="B498" s="37"/>
      <c r="C498" s="37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7"/>
      <c r="B499" s="37"/>
      <c r="C499" s="37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7"/>
      <c r="B500" s="37"/>
      <c r="C500" s="37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7"/>
      <c r="B501" s="37"/>
      <c r="C501" s="37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7"/>
      <c r="B502" s="37"/>
      <c r="C502" s="37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7"/>
      <c r="B503" s="37"/>
      <c r="C503" s="37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7"/>
      <c r="B504" s="37"/>
      <c r="C504" s="37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7"/>
      <c r="B505" s="37"/>
      <c r="C505" s="37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7"/>
      <c r="B506" s="37"/>
      <c r="C506" s="37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7"/>
      <c r="B507" s="37"/>
      <c r="C507" s="37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7"/>
      <c r="B508" s="37"/>
      <c r="C508" s="37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7"/>
      <c r="B509" s="37"/>
      <c r="C509" s="37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7"/>
      <c r="B510" s="37"/>
      <c r="C510" s="37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7"/>
      <c r="B511" s="37"/>
      <c r="C511" s="37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7"/>
      <c r="B512" s="37"/>
      <c r="C512" s="37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7"/>
      <c r="B513" s="37"/>
      <c r="C513" s="37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7"/>
      <c r="B514" s="37"/>
      <c r="C514" s="37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7"/>
      <c r="B515" s="37"/>
      <c r="C515" s="37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7"/>
      <c r="B516" s="37"/>
      <c r="C516" s="37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7"/>
      <c r="B517" s="37"/>
      <c r="C517" s="37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7"/>
      <c r="B518" s="37"/>
      <c r="C518" s="37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7"/>
      <c r="B519" s="37"/>
      <c r="C519" s="37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7"/>
      <c r="B520" s="37"/>
      <c r="C520" s="37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7"/>
      <c r="B521" s="37"/>
      <c r="C521" s="37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7"/>
      <c r="B522" s="37"/>
      <c r="C522" s="37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7"/>
      <c r="B523" s="37"/>
      <c r="C523" s="37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7"/>
      <c r="B524" s="37"/>
      <c r="C524" s="37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7"/>
      <c r="B525" s="37"/>
      <c r="C525" s="37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7"/>
      <c r="B526" s="37"/>
      <c r="C526" s="37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7"/>
      <c r="B527" s="37"/>
      <c r="C527" s="37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7"/>
      <c r="B528" s="37"/>
      <c r="C528" s="37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7"/>
      <c r="B529" s="37"/>
      <c r="C529" s="37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7"/>
      <c r="B530" s="37"/>
      <c r="C530" s="37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7"/>
      <c r="B531" s="37"/>
      <c r="C531" s="37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7"/>
      <c r="B532" s="37"/>
      <c r="C532" s="37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7"/>
      <c r="B533" s="37"/>
      <c r="C533" s="37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7"/>
      <c r="B534" s="37"/>
      <c r="C534" s="37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7"/>
      <c r="B535" s="37"/>
      <c r="C535" s="37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7"/>
      <c r="B536" s="37"/>
      <c r="C536" s="37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7"/>
      <c r="B537" s="37"/>
      <c r="C537" s="37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7"/>
      <c r="B538" s="37"/>
      <c r="C538" s="37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7"/>
      <c r="B539" s="37"/>
      <c r="C539" s="37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7"/>
      <c r="B540" s="37"/>
      <c r="C540" s="37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7"/>
      <c r="B541" s="37"/>
      <c r="C541" s="37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7"/>
      <c r="B542" s="37"/>
      <c r="C542" s="37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7"/>
      <c r="B543" s="37"/>
      <c r="C543" s="37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7"/>
      <c r="B544" s="37"/>
      <c r="C544" s="37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7"/>
      <c r="B545" s="37"/>
      <c r="C545" s="37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7"/>
      <c r="B546" s="37"/>
      <c r="C546" s="37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7"/>
      <c r="B547" s="37"/>
      <c r="C547" s="37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7"/>
      <c r="B548" s="37"/>
      <c r="C548" s="37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7"/>
      <c r="B549" s="37"/>
      <c r="C549" s="37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7"/>
      <c r="B550" s="37"/>
      <c r="C550" s="37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7"/>
      <c r="B551" s="37"/>
      <c r="C551" s="37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7"/>
      <c r="B552" s="37"/>
      <c r="C552" s="37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7"/>
      <c r="B553" s="37"/>
      <c r="C553" s="37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7"/>
      <c r="B554" s="37"/>
      <c r="C554" s="37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7"/>
      <c r="B555" s="37"/>
      <c r="C555" s="37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7"/>
      <c r="B556" s="37"/>
      <c r="C556" s="37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7"/>
      <c r="B557" s="37"/>
      <c r="C557" s="37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7"/>
      <c r="B558" s="37"/>
      <c r="C558" s="37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7"/>
      <c r="B559" s="37"/>
      <c r="C559" s="37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7"/>
      <c r="B560" s="37"/>
      <c r="C560" s="37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7"/>
      <c r="B561" s="37"/>
      <c r="C561" s="37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7"/>
      <c r="B562" s="37"/>
      <c r="C562" s="37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7"/>
      <c r="B563" s="37"/>
      <c r="C563" s="37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7"/>
      <c r="B564" s="37"/>
      <c r="C564" s="37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7"/>
      <c r="B565" s="37"/>
      <c r="C565" s="37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7"/>
      <c r="B566" s="37"/>
      <c r="C566" s="37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7"/>
      <c r="B567" s="37"/>
      <c r="C567" s="37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7"/>
      <c r="B568" s="37"/>
      <c r="C568" s="37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7"/>
      <c r="B569" s="37"/>
      <c r="C569" s="37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7"/>
      <c r="B570" s="37"/>
      <c r="C570" s="37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7"/>
      <c r="B571" s="37"/>
      <c r="C571" s="37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7"/>
      <c r="B572" s="37"/>
      <c r="C572" s="37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7"/>
      <c r="B573" s="37"/>
      <c r="C573" s="37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7"/>
      <c r="B574" s="37"/>
      <c r="C574" s="37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7"/>
      <c r="B575" s="37"/>
      <c r="C575" s="37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7"/>
      <c r="B576" s="37"/>
      <c r="C576" s="37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7"/>
      <c r="B577" s="37"/>
      <c r="C577" s="37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7"/>
      <c r="B578" s="37"/>
      <c r="C578" s="37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7"/>
      <c r="B579" s="37"/>
      <c r="C579" s="37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7"/>
      <c r="B580" s="37"/>
      <c r="C580" s="37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7"/>
      <c r="B581" s="37"/>
      <c r="C581" s="37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7"/>
      <c r="B582" s="37"/>
      <c r="C582" s="37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7"/>
      <c r="B583" s="37"/>
      <c r="C583" s="37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7"/>
      <c r="B584" s="37"/>
      <c r="C584" s="37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7"/>
      <c r="B585" s="37"/>
      <c r="C585" s="37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7"/>
      <c r="B586" s="37"/>
      <c r="C586" s="37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7"/>
      <c r="B587" s="37"/>
      <c r="C587" s="37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7"/>
      <c r="B588" s="37"/>
      <c r="C588" s="37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7"/>
      <c r="B589" s="37"/>
      <c r="C589" s="37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7"/>
      <c r="B590" s="37"/>
      <c r="C590" s="37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7"/>
      <c r="B591" s="37"/>
      <c r="C591" s="37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7"/>
      <c r="B592" s="37"/>
      <c r="C592" s="37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7"/>
      <c r="B593" s="37"/>
      <c r="C593" s="37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7"/>
      <c r="B594" s="37"/>
      <c r="C594" s="37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7"/>
      <c r="B595" s="37"/>
      <c r="C595" s="37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7"/>
      <c r="B596" s="37"/>
      <c r="C596" s="37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7"/>
      <c r="B597" s="37"/>
      <c r="C597" s="37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7"/>
      <c r="B598" s="37"/>
      <c r="C598" s="37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7"/>
      <c r="B599" s="37"/>
      <c r="C599" s="37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7"/>
      <c r="B600" s="37"/>
      <c r="C600" s="37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7"/>
      <c r="B601" s="37"/>
      <c r="C601" s="37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7"/>
      <c r="B602" s="37"/>
      <c r="C602" s="37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7"/>
      <c r="B603" s="37"/>
      <c r="C603" s="37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7"/>
      <c r="B604" s="37"/>
      <c r="C604" s="37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7"/>
      <c r="B605" s="37"/>
      <c r="C605" s="37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7"/>
      <c r="B606" s="37"/>
      <c r="C606" s="37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7"/>
      <c r="B607" s="37"/>
      <c r="C607" s="37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7"/>
      <c r="B608" s="37"/>
      <c r="C608" s="37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7"/>
      <c r="B609" s="37"/>
      <c r="C609" s="37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7"/>
      <c r="B610" s="37"/>
      <c r="C610" s="37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7"/>
      <c r="B611" s="37"/>
      <c r="C611" s="37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7"/>
      <c r="B612" s="37"/>
      <c r="C612" s="37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7"/>
      <c r="B613" s="37"/>
      <c r="C613" s="37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7"/>
      <c r="B614" s="37"/>
      <c r="C614" s="37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7"/>
      <c r="B615" s="37"/>
      <c r="C615" s="37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7"/>
      <c r="B616" s="37"/>
      <c r="C616" s="37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7"/>
      <c r="B617" s="37"/>
      <c r="C617" s="37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7"/>
      <c r="B618" s="37"/>
      <c r="C618" s="37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7"/>
      <c r="B619" s="37"/>
      <c r="C619" s="37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7"/>
      <c r="B620" s="37"/>
      <c r="C620" s="37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7"/>
      <c r="B621" s="37"/>
      <c r="C621" s="37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7"/>
      <c r="B622" s="37"/>
      <c r="C622" s="37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7"/>
      <c r="B623" s="37"/>
      <c r="C623" s="37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7"/>
      <c r="B624" s="37"/>
      <c r="C624" s="37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7"/>
      <c r="B625" s="37"/>
      <c r="C625" s="37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7"/>
      <c r="B626" s="37"/>
      <c r="C626" s="37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7"/>
      <c r="B627" s="37"/>
      <c r="C627" s="37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7"/>
      <c r="B628" s="37"/>
      <c r="C628" s="37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7"/>
      <c r="B629" s="37"/>
      <c r="C629" s="37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7"/>
      <c r="B630" s="37"/>
      <c r="C630" s="37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7"/>
      <c r="B631" s="37"/>
      <c r="C631" s="37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7"/>
      <c r="B632" s="37"/>
      <c r="C632" s="37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7"/>
      <c r="B633" s="37"/>
      <c r="C633" s="37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7"/>
      <c r="B634" s="37"/>
      <c r="C634" s="37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7"/>
      <c r="B635" s="37"/>
      <c r="C635" s="37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7"/>
      <c r="B636" s="37"/>
      <c r="C636" s="37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7"/>
      <c r="B637" s="37"/>
      <c r="C637" s="37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7"/>
      <c r="B638" s="37"/>
      <c r="C638" s="37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7"/>
      <c r="B639" s="37"/>
      <c r="C639" s="37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7"/>
      <c r="B640" s="37"/>
      <c r="C640" s="37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7"/>
      <c r="B641" s="37"/>
      <c r="C641" s="37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7"/>
      <c r="B642" s="37"/>
      <c r="C642" s="37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7"/>
      <c r="B643" s="37"/>
      <c r="C643" s="37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7"/>
      <c r="B644" s="37"/>
      <c r="C644" s="37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7"/>
      <c r="B645" s="37"/>
      <c r="C645" s="37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7"/>
      <c r="B646" s="37"/>
      <c r="C646" s="37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7"/>
      <c r="B647" s="37"/>
      <c r="C647" s="37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7"/>
      <c r="B648" s="37"/>
      <c r="C648" s="37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7"/>
      <c r="B649" s="37"/>
      <c r="C649" s="37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7"/>
      <c r="B650" s="37"/>
      <c r="C650" s="37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7"/>
      <c r="B651" s="37"/>
      <c r="C651" s="37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7"/>
      <c r="B652" s="37"/>
      <c r="C652" s="37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7"/>
      <c r="B653" s="37"/>
      <c r="C653" s="37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7"/>
      <c r="B654" s="37"/>
      <c r="C654" s="37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7"/>
      <c r="B655" s="37"/>
      <c r="C655" s="37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7"/>
      <c r="B656" s="37"/>
      <c r="C656" s="37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7"/>
      <c r="B657" s="37"/>
      <c r="C657" s="37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7"/>
      <c r="B658" s="37"/>
      <c r="C658" s="37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7"/>
      <c r="B659" s="37"/>
      <c r="C659" s="37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7"/>
      <c r="B660" s="37"/>
      <c r="C660" s="37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7"/>
      <c r="B661" s="37"/>
      <c r="C661" s="37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7"/>
      <c r="B662" s="37"/>
      <c r="C662" s="37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7"/>
      <c r="B663" s="37"/>
      <c r="C663" s="37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7"/>
      <c r="B664" s="37"/>
      <c r="C664" s="37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7"/>
      <c r="B665" s="37"/>
      <c r="C665" s="37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7"/>
      <c r="B666" s="37"/>
      <c r="C666" s="37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7"/>
      <c r="B667" s="37"/>
      <c r="C667" s="37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7"/>
      <c r="B668" s="37"/>
      <c r="C668" s="37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7"/>
      <c r="B669" s="37"/>
      <c r="C669" s="37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7"/>
      <c r="B670" s="37"/>
      <c r="C670" s="37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7"/>
      <c r="B671" s="37"/>
      <c r="C671" s="37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7"/>
      <c r="B672" s="37"/>
      <c r="C672" s="37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7"/>
      <c r="B673" s="37"/>
      <c r="C673" s="37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7"/>
      <c r="B674" s="37"/>
      <c r="C674" s="37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7"/>
      <c r="B675" s="37"/>
      <c r="C675" s="37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7"/>
      <c r="B676" s="37"/>
      <c r="C676" s="37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7"/>
      <c r="B677" s="37"/>
      <c r="C677" s="37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7"/>
      <c r="B678" s="37"/>
      <c r="C678" s="37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7"/>
      <c r="B679" s="37"/>
      <c r="C679" s="37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7"/>
      <c r="B680" s="37"/>
      <c r="C680" s="37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7"/>
      <c r="B681" s="37"/>
      <c r="C681" s="37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7"/>
      <c r="B682" s="37"/>
      <c r="C682" s="37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7"/>
      <c r="B683" s="37"/>
      <c r="C683" s="37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7"/>
      <c r="B684" s="37"/>
      <c r="C684" s="37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7"/>
      <c r="B685" s="37"/>
      <c r="C685" s="37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7"/>
      <c r="B686" s="37"/>
      <c r="C686" s="37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7"/>
      <c r="B687" s="37"/>
      <c r="C687" s="37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7"/>
      <c r="B688" s="37"/>
      <c r="C688" s="37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7"/>
      <c r="B689" s="37"/>
      <c r="C689" s="37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7"/>
      <c r="B690" s="37"/>
      <c r="C690" s="37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7"/>
      <c r="B691" s="37"/>
      <c r="C691" s="37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7"/>
      <c r="B692" s="37"/>
      <c r="C692" s="37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7"/>
      <c r="B693" s="37"/>
      <c r="C693" s="37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7"/>
      <c r="B694" s="37"/>
      <c r="C694" s="37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7"/>
      <c r="B695" s="37"/>
      <c r="C695" s="37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7"/>
      <c r="B696" s="37"/>
      <c r="C696" s="37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7"/>
      <c r="B697" s="37"/>
      <c r="C697" s="37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7"/>
      <c r="B698" s="37"/>
      <c r="C698" s="37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7"/>
      <c r="B699" s="37"/>
      <c r="C699" s="37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7"/>
      <c r="B700" s="37"/>
      <c r="C700" s="37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7"/>
      <c r="B701" s="37"/>
      <c r="C701" s="37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7"/>
      <c r="B702" s="37"/>
      <c r="C702" s="37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7"/>
      <c r="B703" s="37"/>
      <c r="C703" s="37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7"/>
      <c r="B704" s="37"/>
      <c r="C704" s="37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7"/>
      <c r="B705" s="37"/>
      <c r="C705" s="37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7"/>
      <c r="B706" s="37"/>
      <c r="C706" s="37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7"/>
      <c r="B707" s="37"/>
      <c r="C707" s="37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7"/>
      <c r="B708" s="37"/>
      <c r="C708" s="37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7"/>
      <c r="B709" s="37"/>
      <c r="C709" s="37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7"/>
      <c r="B710" s="37"/>
      <c r="C710" s="37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7"/>
      <c r="B711" s="37"/>
      <c r="C711" s="37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7"/>
      <c r="B712" s="37"/>
      <c r="C712" s="37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7"/>
      <c r="B713" s="37"/>
      <c r="C713" s="37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7"/>
      <c r="B714" s="37"/>
      <c r="C714" s="37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7"/>
      <c r="B715" s="37"/>
      <c r="C715" s="37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7"/>
      <c r="B716" s="37"/>
      <c r="C716" s="37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7"/>
      <c r="B717" s="37"/>
      <c r="C717" s="37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7"/>
      <c r="B718" s="37"/>
      <c r="C718" s="37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7"/>
      <c r="B719" s="37"/>
      <c r="C719" s="37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7"/>
      <c r="B720" s="37"/>
      <c r="C720" s="37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7"/>
      <c r="B721" s="37"/>
      <c r="C721" s="37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7"/>
      <c r="B722" s="37"/>
      <c r="C722" s="37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7"/>
      <c r="B723" s="37"/>
      <c r="C723" s="37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7"/>
      <c r="B724" s="37"/>
      <c r="C724" s="37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7"/>
      <c r="B725" s="37"/>
      <c r="C725" s="37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7"/>
      <c r="B726" s="37"/>
      <c r="C726" s="37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7"/>
      <c r="B727" s="37"/>
      <c r="C727" s="37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7"/>
      <c r="B728" s="37"/>
      <c r="C728" s="37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7"/>
      <c r="B729" s="37"/>
      <c r="C729" s="37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7"/>
      <c r="B730" s="37"/>
      <c r="C730" s="37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7"/>
      <c r="B731" s="37"/>
      <c r="C731" s="37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7"/>
      <c r="B732" s="37"/>
      <c r="C732" s="37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7"/>
      <c r="B733" s="37"/>
      <c r="C733" s="37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7"/>
      <c r="B734" s="37"/>
      <c r="C734" s="37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7"/>
      <c r="B735" s="37"/>
      <c r="C735" s="37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7"/>
      <c r="B736" s="37"/>
      <c r="C736" s="37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7"/>
      <c r="B737" s="37"/>
      <c r="C737" s="37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7"/>
      <c r="B738" s="37"/>
      <c r="C738" s="37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7"/>
      <c r="B739" s="37"/>
      <c r="C739" s="37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7"/>
      <c r="B740" s="37"/>
      <c r="C740" s="37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7"/>
      <c r="B741" s="37"/>
      <c r="C741" s="37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7"/>
      <c r="B742" s="37"/>
      <c r="C742" s="37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7"/>
      <c r="B743" s="37"/>
      <c r="C743" s="37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7"/>
      <c r="B744" s="37"/>
      <c r="C744" s="37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7"/>
      <c r="B745" s="37"/>
      <c r="C745" s="37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7"/>
      <c r="B746" s="37"/>
      <c r="C746" s="37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7"/>
      <c r="B747" s="37"/>
      <c r="C747" s="37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7"/>
      <c r="B748" s="37"/>
      <c r="C748" s="37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7"/>
      <c r="B749" s="37"/>
      <c r="C749" s="37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7"/>
      <c r="B750" s="37"/>
      <c r="C750" s="37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7"/>
      <c r="B751" s="37"/>
      <c r="C751" s="37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7"/>
      <c r="B752" s="37"/>
      <c r="C752" s="37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7"/>
      <c r="B753" s="37"/>
      <c r="C753" s="37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7"/>
      <c r="B754" s="37"/>
      <c r="C754" s="37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7"/>
      <c r="B755" s="37"/>
      <c r="C755" s="37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7"/>
      <c r="B756" s="37"/>
      <c r="C756" s="37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7"/>
      <c r="B757" s="37"/>
      <c r="C757" s="37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7"/>
      <c r="B758" s="37"/>
      <c r="C758" s="37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7"/>
      <c r="B759" s="37"/>
      <c r="C759" s="37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7"/>
      <c r="B760" s="37"/>
      <c r="C760" s="37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7"/>
      <c r="B761" s="37"/>
      <c r="C761" s="37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7"/>
      <c r="B762" s="37"/>
      <c r="C762" s="37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7"/>
      <c r="B763" s="37"/>
      <c r="C763" s="37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7"/>
      <c r="B764" s="37"/>
      <c r="C764" s="37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7"/>
      <c r="B765" s="37"/>
      <c r="C765" s="37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7"/>
      <c r="B766" s="37"/>
      <c r="C766" s="37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7"/>
      <c r="B767" s="37"/>
      <c r="C767" s="37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7"/>
      <c r="B768" s="37"/>
      <c r="C768" s="37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7"/>
      <c r="B769" s="37"/>
      <c r="C769" s="37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7"/>
      <c r="B770" s="37"/>
      <c r="C770" s="37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7"/>
      <c r="B771" s="37"/>
      <c r="C771" s="37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7"/>
      <c r="B772" s="37"/>
      <c r="C772" s="37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7"/>
      <c r="B773" s="37"/>
      <c r="C773" s="37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7"/>
      <c r="B774" s="37"/>
      <c r="C774" s="37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7"/>
      <c r="B775" s="37"/>
      <c r="C775" s="37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7"/>
      <c r="B776" s="37"/>
      <c r="C776" s="37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7"/>
      <c r="B777" s="37"/>
      <c r="C777" s="37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7"/>
      <c r="B778" s="37"/>
      <c r="C778" s="37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7"/>
      <c r="B779" s="37"/>
      <c r="C779" s="37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7"/>
      <c r="B780" s="37"/>
      <c r="C780" s="37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7"/>
      <c r="B781" s="37"/>
      <c r="C781" s="37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7"/>
      <c r="B782" s="37"/>
      <c r="C782" s="37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7"/>
      <c r="B783" s="37"/>
      <c r="C783" s="37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7"/>
      <c r="B784" s="37"/>
      <c r="C784" s="37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7"/>
      <c r="B785" s="37"/>
      <c r="C785" s="37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7"/>
      <c r="B786" s="37"/>
      <c r="C786" s="37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7"/>
      <c r="B787" s="37"/>
      <c r="C787" s="37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7"/>
      <c r="B788" s="37"/>
      <c r="C788" s="37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7"/>
      <c r="B789" s="37"/>
      <c r="C789" s="37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7"/>
      <c r="B790" s="37"/>
      <c r="C790" s="37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7"/>
      <c r="B791" s="37"/>
      <c r="C791" s="37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7"/>
      <c r="B792" s="37"/>
      <c r="C792" s="37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7"/>
      <c r="B793" s="37"/>
      <c r="C793" s="37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7"/>
      <c r="B794" s="37"/>
      <c r="C794" s="37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7"/>
      <c r="B795" s="37"/>
      <c r="C795" s="37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7"/>
      <c r="B796" s="37"/>
      <c r="C796" s="37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7"/>
      <c r="B797" s="37"/>
      <c r="C797" s="37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7"/>
      <c r="B798" s="37"/>
      <c r="C798" s="37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7"/>
      <c r="B799" s="37"/>
      <c r="C799" s="37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7"/>
      <c r="B800" s="37"/>
      <c r="C800" s="37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7"/>
      <c r="B801" s="37"/>
      <c r="C801" s="37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7"/>
      <c r="B802" s="37"/>
      <c r="C802" s="37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7"/>
      <c r="B803" s="37"/>
      <c r="C803" s="37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7"/>
      <c r="B804" s="37"/>
      <c r="C804" s="37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7"/>
      <c r="B805" s="37"/>
      <c r="C805" s="37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7"/>
      <c r="B806" s="37"/>
      <c r="C806" s="37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7"/>
      <c r="B807" s="37"/>
      <c r="C807" s="37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7"/>
      <c r="B808" s="37"/>
      <c r="C808" s="37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7"/>
      <c r="B809" s="37"/>
      <c r="C809" s="37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7"/>
      <c r="B810" s="37"/>
      <c r="C810" s="37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7"/>
      <c r="B811" s="37"/>
      <c r="C811" s="37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7"/>
      <c r="B812" s="37"/>
      <c r="C812" s="37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7"/>
      <c r="B813" s="37"/>
      <c r="C813" s="37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7"/>
      <c r="B814" s="37"/>
      <c r="C814" s="37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7"/>
      <c r="B815" s="37"/>
      <c r="C815" s="37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7"/>
      <c r="B816" s="37"/>
      <c r="C816" s="37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7"/>
      <c r="B817" s="37"/>
      <c r="C817" s="37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7"/>
      <c r="B818" s="37"/>
      <c r="C818" s="37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7"/>
      <c r="B819" s="37"/>
      <c r="C819" s="37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7"/>
      <c r="B820" s="37"/>
      <c r="C820" s="37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7"/>
      <c r="B821" s="37"/>
      <c r="C821" s="37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7"/>
      <c r="B822" s="37"/>
      <c r="C822" s="37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7"/>
      <c r="B823" s="37"/>
      <c r="C823" s="37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7"/>
      <c r="B824" s="37"/>
      <c r="C824" s="37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7"/>
      <c r="B825" s="37"/>
      <c r="C825" s="37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7"/>
      <c r="B826" s="37"/>
      <c r="C826" s="37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7"/>
      <c r="B827" s="37"/>
      <c r="C827" s="37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7"/>
      <c r="B828" s="37"/>
      <c r="C828" s="37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7"/>
      <c r="B829" s="37"/>
      <c r="C829" s="37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7"/>
      <c r="B830" s="37"/>
      <c r="C830" s="37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7"/>
      <c r="B831" s="37"/>
      <c r="C831" s="37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7"/>
      <c r="B832" s="37"/>
      <c r="C832" s="37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7"/>
      <c r="B833" s="37"/>
      <c r="C833" s="37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7"/>
      <c r="B834" s="37"/>
      <c r="C834" s="37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7"/>
      <c r="B835" s="37"/>
      <c r="C835" s="37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7"/>
      <c r="B836" s="37"/>
      <c r="C836" s="37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7"/>
      <c r="B837" s="37"/>
      <c r="C837" s="37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7"/>
      <c r="B838" s="37"/>
      <c r="C838" s="37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7"/>
      <c r="B839" s="37"/>
      <c r="C839" s="37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7"/>
      <c r="B840" s="37"/>
      <c r="C840" s="37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7"/>
      <c r="B841" s="37"/>
      <c r="C841" s="37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7"/>
      <c r="B842" s="37"/>
      <c r="C842" s="37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7"/>
      <c r="B843" s="37"/>
      <c r="C843" s="37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7"/>
      <c r="B844" s="37"/>
      <c r="C844" s="37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7"/>
      <c r="B845" s="37"/>
      <c r="C845" s="37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7"/>
      <c r="B846" s="37"/>
      <c r="C846" s="37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7"/>
      <c r="B847" s="37"/>
      <c r="C847" s="37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7"/>
      <c r="B848" s="37"/>
      <c r="C848" s="37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7"/>
      <c r="B849" s="37"/>
      <c r="C849" s="37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7"/>
      <c r="B850" s="37"/>
      <c r="C850" s="37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7"/>
      <c r="B851" s="37"/>
      <c r="C851" s="37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7"/>
      <c r="B852" s="37"/>
      <c r="C852" s="37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7"/>
      <c r="B853" s="37"/>
      <c r="C853" s="37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7"/>
      <c r="B854" s="37"/>
      <c r="C854" s="37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7"/>
      <c r="B855" s="37"/>
      <c r="C855" s="37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7"/>
      <c r="B856" s="37"/>
      <c r="C856" s="37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7"/>
      <c r="B857" s="37"/>
      <c r="C857" s="37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7"/>
      <c r="B858" s="37"/>
      <c r="C858" s="37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7"/>
      <c r="B859" s="37"/>
      <c r="C859" s="37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7"/>
      <c r="B860" s="37"/>
      <c r="C860" s="37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7"/>
      <c r="B861" s="37"/>
      <c r="C861" s="37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7"/>
      <c r="B862" s="37"/>
      <c r="C862" s="37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7"/>
      <c r="B863" s="37"/>
      <c r="C863" s="37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7"/>
      <c r="B864" s="37"/>
      <c r="C864" s="37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7"/>
      <c r="B865" s="37"/>
      <c r="C865" s="37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7"/>
      <c r="B866" s="37"/>
      <c r="C866" s="37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7"/>
      <c r="B867" s="37"/>
      <c r="C867" s="37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7"/>
      <c r="B868" s="37"/>
      <c r="C868" s="37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7"/>
      <c r="B869" s="37"/>
      <c r="C869" s="37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7"/>
      <c r="B870" s="37"/>
      <c r="C870" s="37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7"/>
      <c r="B871" s="37"/>
      <c r="C871" s="37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7"/>
      <c r="B872" s="37"/>
      <c r="C872" s="37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7"/>
      <c r="B873" s="37"/>
      <c r="C873" s="37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7"/>
      <c r="B874" s="37"/>
      <c r="C874" s="37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7"/>
      <c r="B875" s="37"/>
      <c r="C875" s="37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7"/>
      <c r="B876" s="37"/>
      <c r="C876" s="37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7"/>
      <c r="B877" s="37"/>
      <c r="C877" s="37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7"/>
      <c r="B878" s="37"/>
      <c r="C878" s="37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7"/>
      <c r="B879" s="37"/>
      <c r="C879" s="37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7"/>
      <c r="B880" s="37"/>
      <c r="C880" s="37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7"/>
      <c r="B881" s="37"/>
      <c r="C881" s="37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7"/>
      <c r="B882" s="37"/>
      <c r="C882" s="37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7"/>
      <c r="B883" s="37"/>
      <c r="C883" s="37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7"/>
      <c r="B884" s="37"/>
      <c r="C884" s="37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7"/>
      <c r="B885" s="37"/>
      <c r="C885" s="37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7"/>
      <c r="B886" s="37"/>
      <c r="C886" s="37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7"/>
      <c r="B887" s="37"/>
      <c r="C887" s="37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7"/>
      <c r="B888" s="37"/>
      <c r="C888" s="37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7"/>
      <c r="B889" s="37"/>
      <c r="C889" s="37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7"/>
      <c r="B890" s="37"/>
      <c r="C890" s="37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7"/>
      <c r="B891" s="37"/>
      <c r="C891" s="37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7"/>
      <c r="B892" s="37"/>
      <c r="C892" s="37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7"/>
      <c r="B893" s="37"/>
      <c r="C893" s="37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7"/>
      <c r="B894" s="37"/>
      <c r="C894" s="37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7"/>
      <c r="B895" s="37"/>
      <c r="C895" s="37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7"/>
      <c r="B896" s="37"/>
      <c r="C896" s="37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7"/>
      <c r="B897" s="37"/>
      <c r="C897" s="37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7"/>
      <c r="B898" s="37"/>
      <c r="C898" s="37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7"/>
      <c r="B899" s="37"/>
      <c r="C899" s="37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7"/>
      <c r="B900" s="37"/>
      <c r="C900" s="37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7"/>
      <c r="B901" s="37"/>
      <c r="C901" s="37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7"/>
      <c r="B902" s="37"/>
      <c r="C902" s="37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7"/>
      <c r="B903" s="37"/>
      <c r="C903" s="37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7"/>
      <c r="B904" s="37"/>
      <c r="C904" s="37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7"/>
      <c r="B905" s="37"/>
      <c r="C905" s="37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7"/>
      <c r="B906" s="37"/>
      <c r="C906" s="37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7"/>
      <c r="B907" s="37"/>
      <c r="C907" s="37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7"/>
      <c r="B908" s="37"/>
      <c r="C908" s="37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7"/>
      <c r="B909" s="37"/>
      <c r="C909" s="37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7"/>
      <c r="B910" s="37"/>
      <c r="C910" s="37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7"/>
      <c r="B911" s="37"/>
      <c r="C911" s="37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7"/>
      <c r="B912" s="37"/>
      <c r="C912" s="37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7"/>
      <c r="B913" s="37"/>
      <c r="C913" s="37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7"/>
      <c r="B914" s="37"/>
      <c r="C914" s="37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7"/>
      <c r="B915" s="37"/>
      <c r="C915" s="37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7"/>
      <c r="B916" s="37"/>
      <c r="C916" s="37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7"/>
      <c r="B917" s="37"/>
      <c r="C917" s="37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7"/>
      <c r="B918" s="37"/>
      <c r="C918" s="37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7"/>
      <c r="B919" s="37"/>
      <c r="C919" s="37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7"/>
      <c r="B920" s="37"/>
      <c r="C920" s="37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7"/>
      <c r="B921" s="37"/>
      <c r="C921" s="37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7"/>
      <c r="B922" s="37"/>
      <c r="C922" s="37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7"/>
      <c r="B923" s="37"/>
      <c r="C923" s="37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7"/>
      <c r="B924" s="37"/>
      <c r="C924" s="37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7"/>
      <c r="B925" s="37"/>
      <c r="C925" s="37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7"/>
      <c r="B926" s="37"/>
      <c r="C926" s="37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7"/>
      <c r="B927" s="37"/>
      <c r="C927" s="37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7"/>
      <c r="B928" s="37"/>
      <c r="C928" s="37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7"/>
      <c r="B929" s="37"/>
      <c r="C929" s="37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7"/>
      <c r="B930" s="37"/>
      <c r="C930" s="37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7"/>
      <c r="B931" s="37"/>
      <c r="C931" s="37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7"/>
      <c r="B932" s="37"/>
      <c r="C932" s="37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7"/>
      <c r="B933" s="37"/>
      <c r="C933" s="37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7"/>
      <c r="B934" s="37"/>
      <c r="C934" s="37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7"/>
      <c r="B935" s="37"/>
      <c r="C935" s="37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7"/>
      <c r="B936" s="37"/>
      <c r="C936" s="37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7"/>
      <c r="B937" s="37"/>
      <c r="C937" s="37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7"/>
      <c r="B938" s="37"/>
      <c r="C938" s="37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7"/>
      <c r="B939" s="37"/>
      <c r="C939" s="37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7"/>
      <c r="B940" s="37"/>
      <c r="C940" s="37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7"/>
      <c r="B941" s="37"/>
      <c r="C941" s="37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7"/>
      <c r="B942" s="37"/>
      <c r="C942" s="37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7"/>
      <c r="B943" s="37"/>
      <c r="C943" s="37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7"/>
      <c r="B944" s="37"/>
      <c r="C944" s="37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7"/>
      <c r="B945" s="37"/>
      <c r="C945" s="37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7"/>
      <c r="B946" s="37"/>
      <c r="C946" s="37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7"/>
      <c r="B947" s="37"/>
      <c r="C947" s="37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7"/>
      <c r="B948" s="37"/>
      <c r="C948" s="37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7"/>
      <c r="B949" s="37"/>
      <c r="C949" s="37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7"/>
      <c r="B950" s="37"/>
      <c r="C950" s="37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7"/>
      <c r="B951" s="37"/>
      <c r="C951" s="37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7"/>
      <c r="B952" s="37"/>
      <c r="C952" s="37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7"/>
      <c r="B953" s="37"/>
      <c r="C953" s="37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7"/>
      <c r="B954" s="37"/>
      <c r="C954" s="37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7"/>
      <c r="B955" s="37"/>
      <c r="C955" s="37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7"/>
      <c r="B956" s="37"/>
      <c r="C956" s="37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7"/>
      <c r="B957" s="37"/>
      <c r="C957" s="37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7"/>
      <c r="B958" s="37"/>
      <c r="C958" s="37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7"/>
      <c r="B959" s="37"/>
      <c r="C959" s="37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7"/>
      <c r="B960" s="37"/>
      <c r="C960" s="37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7"/>
      <c r="B961" s="37"/>
      <c r="C961" s="37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7"/>
      <c r="B962" s="37"/>
      <c r="C962" s="37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7"/>
      <c r="B963" s="37"/>
      <c r="C963" s="37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7"/>
      <c r="B964" s="37"/>
      <c r="C964" s="37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7"/>
      <c r="B965" s="37"/>
      <c r="C965" s="37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7"/>
      <c r="B966" s="37"/>
      <c r="C966" s="37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7"/>
      <c r="B967" s="37"/>
      <c r="C967" s="37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7"/>
      <c r="B968" s="37"/>
      <c r="C968" s="37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7"/>
      <c r="B969" s="37"/>
      <c r="C969" s="37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7"/>
      <c r="B970" s="37"/>
      <c r="C970" s="37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7"/>
      <c r="B971" s="37"/>
      <c r="C971" s="37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7"/>
      <c r="B972" s="37"/>
      <c r="C972" s="37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7"/>
      <c r="B973" s="37"/>
      <c r="C973" s="37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7"/>
      <c r="B974" s="37"/>
      <c r="C974" s="37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7"/>
      <c r="B975" s="37"/>
      <c r="C975" s="37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7"/>
      <c r="B976" s="37"/>
      <c r="C976" s="37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7"/>
      <c r="B977" s="37"/>
      <c r="C977" s="37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7"/>
      <c r="B978" s="37"/>
      <c r="C978" s="37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7"/>
      <c r="B979" s="37"/>
      <c r="C979" s="37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7"/>
      <c r="B980" s="37"/>
      <c r="C980" s="37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7"/>
      <c r="B981" s="37"/>
      <c r="C981" s="37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7"/>
      <c r="B982" s="37"/>
      <c r="C982" s="37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7"/>
      <c r="B983" s="37"/>
      <c r="C983" s="37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7"/>
      <c r="B984" s="37"/>
      <c r="C984" s="37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7"/>
      <c r="B985" s="37"/>
      <c r="C985" s="37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7"/>
      <c r="B986" s="37"/>
      <c r="C986" s="37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7"/>
      <c r="B987" s="37"/>
      <c r="C987" s="37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7"/>
      <c r="B988" s="37"/>
      <c r="C988" s="37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7"/>
      <c r="B989" s="37"/>
      <c r="C989" s="37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7"/>
      <c r="B990" s="37"/>
      <c r="C990" s="37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7"/>
      <c r="B991" s="37"/>
      <c r="C991" s="37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7"/>
      <c r="B992" s="37"/>
      <c r="C992" s="37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7"/>
      <c r="B993" s="37"/>
      <c r="C993" s="37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7"/>
      <c r="B994" s="37"/>
      <c r="C994" s="37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7"/>
      <c r="B995" s="37"/>
      <c r="C995" s="37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7"/>
      <c r="B996" s="37"/>
      <c r="C996" s="37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7"/>
      <c r="B997" s="37"/>
      <c r="C997" s="37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7"/>
      <c r="B998" s="37"/>
      <c r="C998" s="37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7"/>
      <c r="B999" s="37"/>
      <c r="C999" s="37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086614173228347" footer="0.0" header="0.0" left="0.7086614173228347" right="0.7086614173228347" top="0.7086614173228347"/>
  <pageSetup scale="9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117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4.66755097998E9</v>
      </c>
      <c r="E9" s="6">
        <v>1.198046957E7</v>
      </c>
      <c r="F9" s="6">
        <f t="shared" ref="F9:F27" si="1">D9-E9</f>
        <v>4655570510</v>
      </c>
      <c r="G9" s="6">
        <v>4.18864254076E9</v>
      </c>
      <c r="H9" s="20">
        <v>7172.0</v>
      </c>
      <c r="I9" s="6">
        <v>7189190.93</v>
      </c>
      <c r="J9" s="4">
        <v>2.05037471E7</v>
      </c>
      <c r="K9" s="4">
        <f t="shared" ref="K9:K27" si="2">I9-J9</f>
        <v>-13314556.17</v>
      </c>
      <c r="L9" s="4">
        <f>I9+Mar!L9</f>
        <v>26383297.19</v>
      </c>
      <c r="M9" s="4">
        <f>J9+Mar!M9</f>
        <v>171878579.1</v>
      </c>
      <c r="N9" s="4">
        <f t="shared" ref="N9:N27" si="3">L9-M9</f>
        <v>-145495281.9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6">
        <v>7.74351672E8</v>
      </c>
      <c r="E10" s="6">
        <v>3180125.0</v>
      </c>
      <c r="F10" s="6">
        <f t="shared" si="1"/>
        <v>771171547</v>
      </c>
      <c r="G10" s="6">
        <v>7.31386659E8</v>
      </c>
      <c r="H10" s="20">
        <v>4222.0</v>
      </c>
      <c r="I10" s="6">
        <v>3101557.0</v>
      </c>
      <c r="J10" s="4">
        <v>2532451.0</v>
      </c>
      <c r="K10" s="4">
        <f t="shared" si="2"/>
        <v>569106</v>
      </c>
      <c r="L10" s="4">
        <f>I10+Mar!L10</f>
        <v>18811476.3</v>
      </c>
      <c r="M10" s="4">
        <f>J10+Mar!M10</f>
        <v>38929164.21</v>
      </c>
      <c r="N10" s="4">
        <f t="shared" si="3"/>
        <v>-20117687.91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6">
        <v>1.528840217E9</v>
      </c>
      <c r="E11" s="6">
        <v>9.2591666E7</v>
      </c>
      <c r="F11" s="6">
        <f t="shared" si="1"/>
        <v>1436248551</v>
      </c>
      <c r="G11" s="6">
        <v>1.32052243E9</v>
      </c>
      <c r="H11" s="20">
        <v>2841.0</v>
      </c>
      <c r="I11" s="6">
        <v>1.1561939E7</v>
      </c>
      <c r="J11" s="4">
        <v>1.12504436E8</v>
      </c>
      <c r="K11" s="4">
        <f t="shared" si="2"/>
        <v>-100942497</v>
      </c>
      <c r="L11" s="4">
        <f>I11+Mar!L11</f>
        <v>398101295.7</v>
      </c>
      <c r="M11" s="4">
        <f>J11+Mar!M11</f>
        <v>275957907.7</v>
      </c>
      <c r="N11" s="4">
        <f t="shared" si="3"/>
        <v>122143388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3.4791204988E8</v>
      </c>
      <c r="E12" s="6">
        <v>1.035815244E7</v>
      </c>
      <c r="F12" s="6">
        <f t="shared" si="1"/>
        <v>337553897.4</v>
      </c>
      <c r="G12" s="6">
        <v>2.2799622645E8</v>
      </c>
      <c r="H12" s="20">
        <v>1764.0</v>
      </c>
      <c r="I12" s="6">
        <v>356196.5</v>
      </c>
      <c r="J12" s="4">
        <v>90033.22</v>
      </c>
      <c r="K12" s="4">
        <f t="shared" si="2"/>
        <v>266163.28</v>
      </c>
      <c r="L12" s="4">
        <f>I12+Mar!L12</f>
        <v>2022534.45</v>
      </c>
      <c r="M12" s="4">
        <f>J12+Mar!M12</f>
        <v>1276878.48</v>
      </c>
      <c r="N12" s="4">
        <f t="shared" si="3"/>
        <v>745655.97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5.27205896E8</v>
      </c>
      <c r="E13" s="6">
        <v>4272347.0</v>
      </c>
      <c r="F13" s="6">
        <f t="shared" si="1"/>
        <v>522933549</v>
      </c>
      <c r="G13" s="6">
        <v>4.04537326E8</v>
      </c>
      <c r="H13" s="20">
        <v>1402.0</v>
      </c>
      <c r="I13" s="6">
        <v>324817.0</v>
      </c>
      <c r="J13" s="4">
        <v>623219.0</v>
      </c>
      <c r="K13" s="4">
        <f t="shared" si="2"/>
        <v>-298402</v>
      </c>
      <c r="L13" s="4">
        <f>I13+Mar!L13</f>
        <v>2332561.54</v>
      </c>
      <c r="M13" s="4">
        <f>J13+Mar!M13</f>
        <v>5490934.44</v>
      </c>
      <c r="N13" s="4">
        <f t="shared" si="3"/>
        <v>-3158372.9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4.411079875E9</v>
      </c>
      <c r="E14" s="6">
        <v>7.4465389E7</v>
      </c>
      <c r="F14" s="6">
        <f t="shared" si="1"/>
        <v>4336614486</v>
      </c>
      <c r="G14" s="6">
        <v>3.698284832E9</v>
      </c>
      <c r="H14" s="20">
        <v>16086.0</v>
      </c>
      <c r="I14" s="6">
        <v>1.9127887E7</v>
      </c>
      <c r="J14" s="4">
        <v>1.2992516E7</v>
      </c>
      <c r="K14" s="4">
        <f t="shared" si="2"/>
        <v>6135371</v>
      </c>
      <c r="L14" s="4">
        <f>I14+Mar!L14</f>
        <v>105451823.5</v>
      </c>
      <c r="M14" s="4">
        <f>J14+Mar!M14</f>
        <v>101714246.5</v>
      </c>
      <c r="N14" s="4">
        <f t="shared" si="3"/>
        <v>3737577.001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6">
        <v>1.04697431E8</v>
      </c>
      <c r="E15" s="6">
        <v>799966.0</v>
      </c>
      <c r="F15" s="6">
        <f t="shared" si="1"/>
        <v>103897465</v>
      </c>
      <c r="G15" s="6">
        <v>1.01962097E8</v>
      </c>
      <c r="H15" s="20">
        <v>546.0</v>
      </c>
      <c r="I15" s="6">
        <v>662770.0</v>
      </c>
      <c r="J15" s="4">
        <v>320731.0</v>
      </c>
      <c r="K15" s="4">
        <f t="shared" si="2"/>
        <v>342039</v>
      </c>
      <c r="L15" s="4">
        <f>I15+Mar!L15</f>
        <v>6108744.73</v>
      </c>
      <c r="M15" s="4">
        <f>J15+Mar!M15</f>
        <v>5127933.93</v>
      </c>
      <c r="N15" s="4">
        <f t="shared" si="3"/>
        <v>980810.8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1.3171289E8</v>
      </c>
      <c r="E16" s="6">
        <v>3997860.0</v>
      </c>
      <c r="F16" s="6">
        <f t="shared" si="1"/>
        <v>127715030</v>
      </c>
      <c r="G16" s="6">
        <v>1.12676941E8</v>
      </c>
      <c r="H16" s="20">
        <v>50.0</v>
      </c>
      <c r="I16" s="6">
        <v>0.0</v>
      </c>
      <c r="J16" s="4">
        <v>1621658.0</v>
      </c>
      <c r="K16" s="4">
        <f t="shared" si="2"/>
        <v>-1621658</v>
      </c>
      <c r="L16" s="4">
        <f>I16+Mar!L16</f>
        <v>241.49</v>
      </c>
      <c r="M16" s="4">
        <f>J16+Mar!M16</f>
        <v>2385882.93</v>
      </c>
      <c r="N16" s="4">
        <f t="shared" si="3"/>
        <v>-2385641.44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1.36191974989E9</v>
      </c>
      <c r="E17" s="6">
        <v>7.439211093E7</v>
      </c>
      <c r="F17" s="6">
        <f t="shared" si="1"/>
        <v>1287527639</v>
      </c>
      <c r="G17" s="6">
        <v>1.30633899749E9</v>
      </c>
      <c r="H17" s="20">
        <v>12146.0</v>
      </c>
      <c r="I17" s="6">
        <v>0.0</v>
      </c>
      <c r="J17" s="4">
        <v>6486075.96</v>
      </c>
      <c r="K17" s="4">
        <f t="shared" si="2"/>
        <v>-6486075.96</v>
      </c>
      <c r="L17" s="4">
        <f>I17+Mar!L17</f>
        <v>0</v>
      </c>
      <c r="M17" s="4">
        <f>J17+Mar!M17</f>
        <v>56156614.74</v>
      </c>
      <c r="N17" s="4">
        <f t="shared" si="3"/>
        <v>-56156614.74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3.92849505221E9</v>
      </c>
      <c r="E18" s="6">
        <v>1.6284257944E8</v>
      </c>
      <c r="F18" s="6">
        <f t="shared" si="1"/>
        <v>3765652473</v>
      </c>
      <c r="G18" s="6">
        <v>3.36306986545E9</v>
      </c>
      <c r="H18" s="20">
        <v>12093.0</v>
      </c>
      <c r="I18" s="6">
        <v>2872849.1</v>
      </c>
      <c r="J18" s="4">
        <v>1.690275332E7</v>
      </c>
      <c r="K18" s="4">
        <f t="shared" si="2"/>
        <v>-14029904.22</v>
      </c>
      <c r="L18" s="4">
        <f>I18+Mar!L18</f>
        <v>13156217.7</v>
      </c>
      <c r="M18" s="4">
        <f>J18+Mar!M18</f>
        <v>104305541.5</v>
      </c>
      <c r="N18" s="4">
        <f t="shared" si="3"/>
        <v>-91149323.76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2.250008121E9</v>
      </c>
      <c r="E19" s="6">
        <v>5450875.0</v>
      </c>
      <c r="F19" s="6">
        <f t="shared" si="1"/>
        <v>2244557246</v>
      </c>
      <c r="G19" s="6">
        <v>1.952954572E9</v>
      </c>
      <c r="H19" s="20">
        <v>5522.0</v>
      </c>
      <c r="I19" s="6">
        <v>1521685.0</v>
      </c>
      <c r="J19" s="4">
        <v>2874317.0</v>
      </c>
      <c r="K19" s="4">
        <f t="shared" si="2"/>
        <v>-1352632</v>
      </c>
      <c r="L19" s="4">
        <f>I19+Mar!L19</f>
        <v>136989804.2</v>
      </c>
      <c r="M19" s="4">
        <f>J19+Mar!M19</f>
        <v>14291358.25</v>
      </c>
      <c r="N19" s="4">
        <f t="shared" si="3"/>
        <v>122698445.9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1.002663878E10</v>
      </c>
      <c r="E20" s="6">
        <v>4.8501629E7</v>
      </c>
      <c r="F20" s="6">
        <f t="shared" si="1"/>
        <v>9978137151</v>
      </c>
      <c r="G20" s="6">
        <v>9.069995771E9</v>
      </c>
      <c r="H20" s="20">
        <v>35719.0</v>
      </c>
      <c r="I20" s="6">
        <v>7969619.0</v>
      </c>
      <c r="J20" s="4">
        <v>3.8388163E7</v>
      </c>
      <c r="K20" s="4">
        <f t="shared" si="2"/>
        <v>-30418544</v>
      </c>
      <c r="L20" s="4">
        <f>I20+Mar!L20</f>
        <v>71588837.07</v>
      </c>
      <c r="M20" s="4">
        <f>J20+Mar!M20</f>
        <v>193725774.7</v>
      </c>
      <c r="N20" s="4">
        <f t="shared" si="3"/>
        <v>-122136937.7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3.19869481E8</v>
      </c>
      <c r="E21" s="6">
        <v>907936.0</v>
      </c>
      <c r="F21" s="6">
        <f t="shared" si="1"/>
        <v>318961545</v>
      </c>
      <c r="G21" s="6">
        <v>3.07312151E8</v>
      </c>
      <c r="H21" s="20">
        <v>1007.0</v>
      </c>
      <c r="I21" s="6">
        <v>193915.0</v>
      </c>
      <c r="J21" s="4">
        <v>310621.0</v>
      </c>
      <c r="K21" s="4">
        <f t="shared" si="2"/>
        <v>-116706</v>
      </c>
      <c r="L21" s="4">
        <f>I21+Mar!L21</f>
        <v>1412228.29</v>
      </c>
      <c r="M21" s="4">
        <f>J21+Mar!M21</f>
        <v>3561174.8</v>
      </c>
      <c r="N21" s="4">
        <f t="shared" si="3"/>
        <v>-2148946.51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3.936682962E9</v>
      </c>
      <c r="E22" s="6">
        <v>1.0490841E7</v>
      </c>
      <c r="F22" s="6">
        <f t="shared" si="1"/>
        <v>3926192121</v>
      </c>
      <c r="G22" s="6">
        <v>3.835195175E9</v>
      </c>
      <c r="H22" s="20">
        <v>26732.0</v>
      </c>
      <c r="I22" s="6">
        <v>7528097.0</v>
      </c>
      <c r="J22" s="4">
        <v>1.09765E7</v>
      </c>
      <c r="K22" s="4">
        <f t="shared" si="2"/>
        <v>-3448403</v>
      </c>
      <c r="L22" s="4">
        <f>I22+Mar!L22</f>
        <v>258642696.7</v>
      </c>
      <c r="M22" s="4">
        <f>J22+Mar!M22</f>
        <v>185700363.7</v>
      </c>
      <c r="N22" s="4">
        <f t="shared" si="3"/>
        <v>72942332.93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8.9297856604E9</v>
      </c>
      <c r="E23" s="6">
        <v>1.23017937E7</v>
      </c>
      <c r="F23" s="6">
        <f t="shared" si="1"/>
        <v>8917483867</v>
      </c>
      <c r="G23" s="6">
        <v>8.90120469432E9</v>
      </c>
      <c r="H23" s="20">
        <v>14098.0</v>
      </c>
      <c r="I23" s="6">
        <v>745526.69</v>
      </c>
      <c r="J23" s="4">
        <v>7.147019547E7</v>
      </c>
      <c r="K23" s="4">
        <f t="shared" si="2"/>
        <v>-70724668.78</v>
      </c>
      <c r="L23" s="4">
        <f>I23+Mar!L23</f>
        <v>7922832</v>
      </c>
      <c r="M23" s="4">
        <f>J23+Mar!M23</f>
        <v>402039497.6</v>
      </c>
      <c r="N23" s="4">
        <f t="shared" si="3"/>
        <v>-394116665.6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6">
        <v>3.286759958E9</v>
      </c>
      <c r="E24" s="6">
        <v>4.2781295E7</v>
      </c>
      <c r="F24" s="6">
        <f t="shared" si="1"/>
        <v>3243978663</v>
      </c>
      <c r="G24" s="6">
        <v>3.044015327E9</v>
      </c>
      <c r="H24" s="20">
        <v>11206.0</v>
      </c>
      <c r="I24" s="6">
        <v>1.7770563E7</v>
      </c>
      <c r="J24" s="4">
        <v>3616009.0</v>
      </c>
      <c r="K24" s="4">
        <f t="shared" si="2"/>
        <v>14154554</v>
      </c>
      <c r="L24" s="4">
        <f>I24+Mar!L24</f>
        <v>151303173.5</v>
      </c>
      <c r="M24" s="4">
        <f>J24+Mar!M24</f>
        <v>12780720.32</v>
      </c>
      <c r="N24" s="4">
        <f t="shared" si="3"/>
        <v>138522453.2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6">
        <v>7.195303899E9</v>
      </c>
      <c r="E25" s="6">
        <v>7.1661778E7</v>
      </c>
      <c r="F25" s="6">
        <f t="shared" si="1"/>
        <v>7123642121</v>
      </c>
      <c r="G25" s="6">
        <v>6.798093381E9</v>
      </c>
      <c r="H25" s="20">
        <v>66578.0</v>
      </c>
      <c r="I25" s="6">
        <v>2.3902941E7</v>
      </c>
      <c r="J25" s="4">
        <v>3.51159E7</v>
      </c>
      <c r="K25" s="4">
        <f t="shared" si="2"/>
        <v>-11212959</v>
      </c>
      <c r="L25" s="4">
        <f>I25+Mar!L25</f>
        <v>111672707.6</v>
      </c>
      <c r="M25" s="4">
        <f>J25+Mar!M25</f>
        <v>360084373.7</v>
      </c>
      <c r="N25" s="4">
        <f t="shared" si="3"/>
        <v>-248411666.1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6">
        <v>1.2222135925E10</v>
      </c>
      <c r="E26" s="6">
        <v>3.8668758E7</v>
      </c>
      <c r="F26" s="6">
        <f t="shared" si="1"/>
        <v>12183467167</v>
      </c>
      <c r="G26" s="6">
        <v>1.212843277E10</v>
      </c>
      <c r="H26" s="20">
        <v>57280.0</v>
      </c>
      <c r="I26" s="6">
        <v>3.5810565E7</v>
      </c>
      <c r="J26" s="4">
        <v>6.592547E7</v>
      </c>
      <c r="K26" s="4">
        <f t="shared" si="2"/>
        <v>-30114905</v>
      </c>
      <c r="L26" s="4">
        <f>I26+Mar!L26</f>
        <v>997725099.6</v>
      </c>
      <c r="M26" s="4">
        <f>J26+Mar!M26</f>
        <v>896447844.4</v>
      </c>
      <c r="N26" s="4">
        <f t="shared" si="3"/>
        <v>101277255.2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6.02158905E8</v>
      </c>
      <c r="E27" s="6">
        <v>1634154.0</v>
      </c>
      <c r="F27" s="6">
        <f t="shared" si="1"/>
        <v>600524751</v>
      </c>
      <c r="G27" s="6">
        <v>5.19188141E8</v>
      </c>
      <c r="H27" s="20">
        <v>1299.0</v>
      </c>
      <c r="I27" s="6">
        <v>226182.0</v>
      </c>
      <c r="J27" s="4">
        <v>424100.0</v>
      </c>
      <c r="K27" s="4">
        <f t="shared" si="2"/>
        <v>-197918</v>
      </c>
      <c r="L27" s="4">
        <f>I27+Mar!L27</f>
        <v>4180887.59</v>
      </c>
      <c r="M27" s="4">
        <f>J27+Mar!M27</f>
        <v>4565504.18</v>
      </c>
      <c r="N27" s="4">
        <f t="shared" si="3"/>
        <v>-384616.59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20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41</v>
      </c>
      <c r="D29" s="6">
        <v>1.9643358E8</v>
      </c>
      <c r="E29" s="6">
        <v>907906.0</v>
      </c>
      <c r="F29" s="6">
        <f t="shared" ref="F29:F31" si="4">D29-E29</f>
        <v>195525674</v>
      </c>
      <c r="G29" s="6">
        <v>1.90585636E8</v>
      </c>
      <c r="H29" s="20">
        <v>1831.0</v>
      </c>
      <c r="I29" s="6">
        <v>5141519.0</v>
      </c>
      <c r="J29" s="4">
        <v>607224.0</v>
      </c>
      <c r="K29" s="4">
        <f t="shared" ref="K29:K31" si="5">I29-J29</f>
        <v>4534295</v>
      </c>
      <c r="L29" s="4">
        <f>I29+Mar!L29</f>
        <v>87956560.15</v>
      </c>
      <c r="M29" s="4">
        <f>J29+Mar!M29</f>
        <v>4467255.84</v>
      </c>
      <c r="N29" s="4">
        <f t="shared" ref="N29:N31" si="6">L29-M29</f>
        <v>83489304.31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6">
        <v>3.50754219E8</v>
      </c>
      <c r="E30" s="6">
        <v>5543884.0</v>
      </c>
      <c r="F30" s="6">
        <f t="shared" si="4"/>
        <v>345210335</v>
      </c>
      <c r="G30" s="6">
        <v>3.02350718E8</v>
      </c>
      <c r="H30" s="20">
        <v>1403.0</v>
      </c>
      <c r="I30" s="6">
        <v>2887511.0</v>
      </c>
      <c r="J30" s="4">
        <v>2537938.0</v>
      </c>
      <c r="K30" s="4">
        <f t="shared" si="5"/>
        <v>349573</v>
      </c>
      <c r="L30" s="4">
        <f>I30+Mar!L30</f>
        <v>11007211.48</v>
      </c>
      <c r="M30" s="4">
        <f>J30+Mar!M30</f>
        <v>15379535.47</v>
      </c>
      <c r="N30" s="4">
        <f t="shared" si="6"/>
        <v>-4372323.99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6">
        <v>5.0876378186E8</v>
      </c>
      <c r="E31" s="6">
        <v>1899177.52</v>
      </c>
      <c r="F31" s="6">
        <f t="shared" si="4"/>
        <v>506864604.3</v>
      </c>
      <c r="G31" s="6">
        <v>5.024432491E8</v>
      </c>
      <c r="H31" s="20">
        <v>370876.0</v>
      </c>
      <c r="I31" s="6">
        <v>2.043872183E7</v>
      </c>
      <c r="J31" s="4">
        <v>1.322319647E7</v>
      </c>
      <c r="K31" s="4">
        <f t="shared" si="5"/>
        <v>7215525.36</v>
      </c>
      <c r="L31" s="4">
        <f>I31+Mar!L31</f>
        <v>118060105.4</v>
      </c>
      <c r="M31" s="4">
        <f>J31+Mar!M31</f>
        <v>100481958.4</v>
      </c>
      <c r="N31" s="4">
        <f t="shared" si="6"/>
        <v>17578146.92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6"/>
      <c r="E32" s="6"/>
      <c r="F32" s="6"/>
      <c r="G32" s="6"/>
      <c r="H32" s="20"/>
      <c r="I32" s="6"/>
      <c r="J32" s="4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6">
        <v>2.21252276E9</v>
      </c>
      <c r="E33" s="6">
        <v>5746902.0</v>
      </c>
      <c r="F33" s="6">
        <f>D33-E33</f>
        <v>2206775858</v>
      </c>
      <c r="G33" s="6">
        <v>2.183005778E9</v>
      </c>
      <c r="H33" s="20">
        <v>3262.0</v>
      </c>
      <c r="I33" s="6">
        <v>2027560.0</v>
      </c>
      <c r="J33" s="4">
        <v>4091292.0</v>
      </c>
      <c r="K33" s="4">
        <f>I33-J33</f>
        <v>-2063732</v>
      </c>
      <c r="L33" s="4">
        <f>I33+Mar!L33</f>
        <v>26284151</v>
      </c>
      <c r="M33" s="4">
        <f>J33+Mar!M33</f>
        <v>80991881</v>
      </c>
      <c r="N33" s="4">
        <f>L33-M33</f>
        <v>-54707730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54">
        <f t="shared" ref="D34:N34" si="7">SUM(D9:D33)</f>
        <v>69821583845</v>
      </c>
      <c r="E34" s="54">
        <f t="shared" si="7"/>
        <v>685377594.6</v>
      </c>
      <c r="F34" s="54">
        <f t="shared" si="7"/>
        <v>69136206251</v>
      </c>
      <c r="G34" s="54">
        <f t="shared" si="7"/>
        <v>65190195279</v>
      </c>
      <c r="H34" s="27">
        <f t="shared" si="7"/>
        <v>655135</v>
      </c>
      <c r="I34" s="54">
        <f t="shared" si="7"/>
        <v>171361612.1</v>
      </c>
      <c r="J34" s="54">
        <f t="shared" si="7"/>
        <v>424138546.5</v>
      </c>
      <c r="K34" s="54">
        <f t="shared" si="7"/>
        <v>-252776934.5</v>
      </c>
      <c r="L34" s="54">
        <f t="shared" si="7"/>
        <v>2557114487</v>
      </c>
      <c r="M34" s="54">
        <f t="shared" si="7"/>
        <v>3037740926</v>
      </c>
      <c r="N34" s="54">
        <f t="shared" si="7"/>
        <v>-480626438.9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6"/>
      <c r="E35" s="6"/>
      <c r="F35" s="6"/>
      <c r="G35" s="6"/>
      <c r="H35" s="20"/>
      <c r="I35" s="6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56">
        <f>55.38*632270.24</f>
        <v>35015125.89</v>
      </c>
      <c r="E36" s="56">
        <f>55.38*13124.47</f>
        <v>726833.1486</v>
      </c>
      <c r="F36" s="6">
        <f t="shared" ref="F36:F37" si="8">D36-E36</f>
        <v>34288292.74</v>
      </c>
      <c r="G36" s="56">
        <f>55.38*561556.6</f>
        <v>31099004.51</v>
      </c>
      <c r="H36" s="20">
        <v>54.0</v>
      </c>
      <c r="I36" s="56">
        <f>55.38*189.86</f>
        <v>10514.4468</v>
      </c>
      <c r="J36" s="56">
        <f>55.38*919.93</f>
        <v>50945.7234</v>
      </c>
      <c r="K36" s="4">
        <f t="shared" ref="K36:K37" si="9">I36-J36</f>
        <v>-40431.2766</v>
      </c>
      <c r="L36" s="4">
        <f>I36+Mar!L36</f>
        <v>89394.0668</v>
      </c>
      <c r="M36" s="4">
        <f>J36+Mar!M36</f>
        <v>70327.8134</v>
      </c>
      <c r="N36" s="4">
        <f t="shared" ref="N36:N37" si="10">L36-M36</f>
        <v>19066.2534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6">
        <v>1.831047393E9</v>
      </c>
      <c r="E37" s="6">
        <v>8458856.0</v>
      </c>
      <c r="F37" s="6">
        <f t="shared" si="8"/>
        <v>1822588537</v>
      </c>
      <c r="G37" s="6">
        <v>0.0</v>
      </c>
      <c r="H37" s="20">
        <v>2881.0</v>
      </c>
      <c r="I37" s="6">
        <v>1608433.0</v>
      </c>
      <c r="J37" s="6">
        <v>4852919.0</v>
      </c>
      <c r="K37" s="4">
        <f t="shared" si="9"/>
        <v>-3244486</v>
      </c>
      <c r="L37" s="4">
        <f>I37+Mar!L37</f>
        <v>20083495.47</v>
      </c>
      <c r="M37" s="4">
        <f>J37+Mar!M37</f>
        <v>82612488.43</v>
      </c>
      <c r="N37" s="4">
        <f t="shared" si="10"/>
        <v>-62528992.96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54">
        <f t="shared" ref="D38:N38" si="11">SUM(D36:D37)</f>
        <v>1866062519</v>
      </c>
      <c r="E38" s="54">
        <f t="shared" si="11"/>
        <v>9185689.149</v>
      </c>
      <c r="F38" s="54">
        <f t="shared" si="11"/>
        <v>1856876830</v>
      </c>
      <c r="G38" s="54">
        <f t="shared" si="11"/>
        <v>31099004.51</v>
      </c>
      <c r="H38" s="27">
        <f t="shared" si="11"/>
        <v>2935</v>
      </c>
      <c r="I38" s="54">
        <f t="shared" si="11"/>
        <v>1618947.447</v>
      </c>
      <c r="J38" s="54">
        <f t="shared" si="11"/>
        <v>4903864.723</v>
      </c>
      <c r="K38" s="54">
        <f t="shared" si="11"/>
        <v>-3284917.277</v>
      </c>
      <c r="L38" s="54">
        <f t="shared" si="11"/>
        <v>20172889.54</v>
      </c>
      <c r="M38" s="54">
        <f t="shared" si="11"/>
        <v>82682816.24</v>
      </c>
      <c r="N38" s="54">
        <f t="shared" si="11"/>
        <v>-62509926.71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54">
        <f t="shared" ref="D39:N39" si="12">D34+D38</f>
        <v>71687646364</v>
      </c>
      <c r="E39" s="54">
        <f t="shared" si="12"/>
        <v>694563283.7</v>
      </c>
      <c r="F39" s="54">
        <f t="shared" si="12"/>
        <v>70993083080</v>
      </c>
      <c r="G39" s="54">
        <f t="shared" si="12"/>
        <v>65221294283</v>
      </c>
      <c r="H39" s="27">
        <f t="shared" si="12"/>
        <v>658070</v>
      </c>
      <c r="I39" s="54">
        <f t="shared" si="12"/>
        <v>172980559.5</v>
      </c>
      <c r="J39" s="54">
        <f t="shared" si="12"/>
        <v>429042411.3</v>
      </c>
      <c r="K39" s="54">
        <f t="shared" si="12"/>
        <v>-256061851.8</v>
      </c>
      <c r="L39" s="54">
        <f t="shared" si="12"/>
        <v>2577287377</v>
      </c>
      <c r="M39" s="54">
        <f t="shared" si="12"/>
        <v>3120423742</v>
      </c>
      <c r="N39" s="54">
        <f t="shared" si="12"/>
        <v>-543136365.6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6"/>
      <c r="E40" s="6"/>
      <c r="F40" s="6"/>
      <c r="G40" s="6"/>
      <c r="H40" s="6"/>
      <c r="I40" s="6"/>
      <c r="J40" s="6"/>
      <c r="K40" s="6"/>
      <c r="L40" s="6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6"/>
      <c r="E41" s="6"/>
      <c r="F41" s="6"/>
      <c r="G41" s="6"/>
      <c r="H41" s="20"/>
      <c r="I41" s="6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6">
        <v>1.28087667E8</v>
      </c>
      <c r="E42" s="6">
        <v>9040364.0</v>
      </c>
      <c r="F42" s="6">
        <f t="shared" ref="F42:F51" si="13">D42-E42</f>
        <v>119047303</v>
      </c>
      <c r="G42" s="6">
        <v>3.459145E7</v>
      </c>
      <c r="H42" s="20">
        <v>724.0</v>
      </c>
      <c r="I42" s="6">
        <v>214713.0</v>
      </c>
      <c r="J42" s="4">
        <v>111893.0</v>
      </c>
      <c r="K42" s="4">
        <f t="shared" ref="K42:K51" si="14">I42-J42</f>
        <v>102820</v>
      </c>
      <c r="L42" s="4">
        <f>I42+Mar!L42</f>
        <v>1305209.06</v>
      </c>
      <c r="M42" s="4">
        <f>J42+Mar!M42</f>
        <v>851134</v>
      </c>
      <c r="N42" s="4">
        <f t="shared" ref="N42:N51" si="15">L42-M42</f>
        <v>454075.06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6.04211941E8</v>
      </c>
      <c r="E43" s="6">
        <v>1.2563354E7</v>
      </c>
      <c r="F43" s="6">
        <f t="shared" si="13"/>
        <v>591648587</v>
      </c>
      <c r="G43" s="6">
        <v>2.66804912E8</v>
      </c>
      <c r="H43" s="20">
        <v>2415.0</v>
      </c>
      <c r="I43" s="6">
        <v>417818.0</v>
      </c>
      <c r="J43" s="4">
        <v>1591707.0</v>
      </c>
      <c r="K43" s="4">
        <f t="shared" si="14"/>
        <v>-1173889</v>
      </c>
      <c r="L43" s="4">
        <f>I43+Mar!L43</f>
        <v>3541440.09</v>
      </c>
      <c r="M43" s="4">
        <f>J43+Mar!M43</f>
        <v>17757274.47</v>
      </c>
      <c r="N43" s="4">
        <f t="shared" si="15"/>
        <v>-14215834.38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1.078420636E9</v>
      </c>
      <c r="E44" s="6">
        <v>1.6022947E7</v>
      </c>
      <c r="F44" s="6">
        <f t="shared" si="13"/>
        <v>1062397689</v>
      </c>
      <c r="G44" s="6">
        <v>5.095267E8</v>
      </c>
      <c r="H44" s="20">
        <v>4635.0</v>
      </c>
      <c r="I44" s="6">
        <v>671902.0</v>
      </c>
      <c r="J44" s="4">
        <v>7277210.0</v>
      </c>
      <c r="K44" s="4">
        <f t="shared" si="14"/>
        <v>-6605308</v>
      </c>
      <c r="L44" s="4">
        <f>I44+Mar!L44</f>
        <v>7159216.55</v>
      </c>
      <c r="M44" s="4">
        <f>J44+Mar!M44</f>
        <v>21740310.08</v>
      </c>
      <c r="N44" s="4">
        <f t="shared" si="15"/>
        <v>-14581093.53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2.90596193E8</v>
      </c>
      <c r="E45" s="6">
        <v>4956355.0</v>
      </c>
      <c r="F45" s="6">
        <f t="shared" si="13"/>
        <v>285639838</v>
      </c>
      <c r="G45" s="6">
        <v>1.33315522E8</v>
      </c>
      <c r="H45" s="20">
        <v>245.0</v>
      </c>
      <c r="I45" s="6">
        <v>1.3086295E7</v>
      </c>
      <c r="J45" s="4">
        <v>10084.0</v>
      </c>
      <c r="K45" s="4">
        <f t="shared" si="14"/>
        <v>13076211</v>
      </c>
      <c r="L45" s="4">
        <f>I45+Mar!L45</f>
        <v>22757889.27</v>
      </c>
      <c r="M45" s="4">
        <f>J45+Mar!M45</f>
        <v>42546519.26</v>
      </c>
      <c r="N45" s="4">
        <f t="shared" si="15"/>
        <v>-19788629.99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3.5216898E8</v>
      </c>
      <c r="E46" s="6">
        <v>3988742.0</v>
      </c>
      <c r="F46" s="6">
        <f t="shared" si="13"/>
        <v>348180238</v>
      </c>
      <c r="G46" s="6">
        <v>1.57797583E8</v>
      </c>
      <c r="H46" s="20">
        <v>54.0</v>
      </c>
      <c r="I46" s="6">
        <v>0.0</v>
      </c>
      <c r="J46" s="4"/>
      <c r="K46" s="4">
        <f t="shared" si="14"/>
        <v>0</v>
      </c>
      <c r="L46" s="4">
        <f>I46+Mar!L46</f>
        <v>0</v>
      </c>
      <c r="M46" s="4">
        <f>J46+Mar!M46</f>
        <v>1508185</v>
      </c>
      <c r="N46" s="4">
        <f t="shared" si="15"/>
        <v>-1508185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5.6016076509E8</v>
      </c>
      <c r="E47" s="6">
        <v>1.851512725E7</v>
      </c>
      <c r="F47" s="6">
        <f t="shared" si="13"/>
        <v>541645637.8</v>
      </c>
      <c r="G47" s="6">
        <v>2.7946803668E8</v>
      </c>
      <c r="H47" s="20">
        <v>10056.0</v>
      </c>
      <c r="I47" s="6">
        <v>114470.59</v>
      </c>
      <c r="J47" s="4">
        <v>8539447.37</v>
      </c>
      <c r="K47" s="4">
        <f t="shared" si="14"/>
        <v>-8424976.78</v>
      </c>
      <c r="L47" s="4">
        <f>I47+Mar!L47</f>
        <v>2043464.86</v>
      </c>
      <c r="M47" s="4">
        <f>J47+Mar!M47</f>
        <v>20662542.57</v>
      </c>
      <c r="N47" s="4">
        <f t="shared" si="15"/>
        <v>-18619077.71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6">
        <v>2.12459277436E9</v>
      </c>
      <c r="E48" s="6">
        <v>6.429118753E7</v>
      </c>
      <c r="F48" s="6">
        <f t="shared" si="13"/>
        <v>2060301587</v>
      </c>
      <c r="G48" s="6">
        <v>1.03940568645E9</v>
      </c>
      <c r="H48" s="20">
        <v>8107.0</v>
      </c>
      <c r="I48" s="6">
        <v>1249811.8</v>
      </c>
      <c r="J48" s="4">
        <v>9094962.03</v>
      </c>
      <c r="K48" s="4">
        <f t="shared" si="14"/>
        <v>-7845150.23</v>
      </c>
      <c r="L48" s="4">
        <f>I48+Mar!L48</f>
        <v>7892045.04</v>
      </c>
      <c r="M48" s="4">
        <f>J48+Mar!M48</f>
        <v>57763451.39</v>
      </c>
      <c r="N48" s="4">
        <f t="shared" si="15"/>
        <v>-49871406.35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6">
        <v>1.3851964419E8</v>
      </c>
      <c r="E49" s="6">
        <v>169852.83</v>
      </c>
      <c r="F49" s="6">
        <f t="shared" si="13"/>
        <v>138349791.4</v>
      </c>
      <c r="G49" s="6">
        <v>7.657522425E7</v>
      </c>
      <c r="H49" s="20">
        <v>198.0</v>
      </c>
      <c r="I49" s="6">
        <v>4998.34</v>
      </c>
      <c r="J49" s="4">
        <v>105465.41</v>
      </c>
      <c r="K49" s="4">
        <f t="shared" si="14"/>
        <v>-100467.07</v>
      </c>
      <c r="L49" s="4">
        <f>I49+Mar!L49</f>
        <v>216294.67</v>
      </c>
      <c r="M49" s="4">
        <f>J49+Mar!M49</f>
        <v>1737967.55</v>
      </c>
      <c r="N49" s="4">
        <f t="shared" si="15"/>
        <v>-1521672.88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7.398265146E9</v>
      </c>
      <c r="E50" s="6">
        <v>1.60060307E8</v>
      </c>
      <c r="F50" s="6">
        <f t="shared" si="13"/>
        <v>7238204839</v>
      </c>
      <c r="G50" s="6">
        <v>3.532450839E9</v>
      </c>
      <c r="H50" s="20">
        <v>53760.0</v>
      </c>
      <c r="I50" s="6">
        <v>7373278.0</v>
      </c>
      <c r="J50" s="4">
        <v>2.6322514E7</v>
      </c>
      <c r="K50" s="4">
        <f t="shared" si="14"/>
        <v>-18949236</v>
      </c>
      <c r="L50" s="4">
        <f>I50+Mar!L50</f>
        <v>33271386.15</v>
      </c>
      <c r="M50" s="4">
        <f>J50+Mar!M50</f>
        <v>192844720.2</v>
      </c>
      <c r="N50" s="4">
        <f t="shared" si="15"/>
        <v>-159573334.1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6">
        <v>1.182599992E9</v>
      </c>
      <c r="E51" s="6">
        <v>1.2902762E7</v>
      </c>
      <c r="F51" s="6">
        <f t="shared" si="13"/>
        <v>1169697230</v>
      </c>
      <c r="G51" s="6">
        <v>6.26817425E8</v>
      </c>
      <c r="H51" s="20">
        <v>4998.0</v>
      </c>
      <c r="I51" s="6">
        <v>0.0</v>
      </c>
      <c r="J51" s="4">
        <v>3201908.0</v>
      </c>
      <c r="K51" s="4">
        <f t="shared" si="14"/>
        <v>-3201908</v>
      </c>
      <c r="L51" s="4">
        <f>I51+Mar!L51</f>
        <v>0</v>
      </c>
      <c r="M51" s="4">
        <f>J51+Mar!M51</f>
        <v>18976147.81</v>
      </c>
      <c r="N51" s="4">
        <f t="shared" si="15"/>
        <v>-18976147.81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6"/>
      <c r="E52" s="6"/>
      <c r="F52" s="6"/>
      <c r="G52" s="6"/>
      <c r="H52" s="20"/>
      <c r="I52" s="6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7.8296086E7</v>
      </c>
      <c r="E53" s="6">
        <v>288718.0</v>
      </c>
      <c r="F53" s="6">
        <f t="shared" ref="F53:F55" si="16">D53-E53</f>
        <v>78007368</v>
      </c>
      <c r="G53" s="6">
        <v>2.3177051E7</v>
      </c>
      <c r="H53" s="20">
        <v>1080.0</v>
      </c>
      <c r="I53" s="6">
        <v>487882.0</v>
      </c>
      <c r="J53" s="4">
        <v>39850.0</v>
      </c>
      <c r="K53" s="4">
        <f t="shared" ref="K53:K55" si="17">I53-J53</f>
        <v>448032</v>
      </c>
      <c r="L53" s="4">
        <f>I53+Mar!L53</f>
        <v>2125053.2</v>
      </c>
      <c r="M53" s="4">
        <f>J53+Mar!M53</f>
        <v>371391.55</v>
      </c>
      <c r="N53" s="4">
        <f t="shared" ref="N53:N55" si="18">L53-M53</f>
        <v>1753661.65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5.710641E7</v>
      </c>
      <c r="E54" s="6">
        <v>296009.0</v>
      </c>
      <c r="F54" s="6">
        <f t="shared" si="16"/>
        <v>56810401</v>
      </c>
      <c r="G54" s="6">
        <v>4.4835485E7</v>
      </c>
      <c r="H54" s="20">
        <v>422.0</v>
      </c>
      <c r="I54" s="6">
        <v>139506.0</v>
      </c>
      <c r="J54" s="4">
        <v>289101.0</v>
      </c>
      <c r="K54" s="4">
        <f t="shared" si="17"/>
        <v>-149595</v>
      </c>
      <c r="L54" s="4">
        <f>I54+Mar!L54</f>
        <v>825247</v>
      </c>
      <c r="M54" s="4">
        <f>J54+Mar!M54</f>
        <v>610766.19</v>
      </c>
      <c r="N54" s="4">
        <f t="shared" si="18"/>
        <v>214480.81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6">
        <v>4.8011871E7</v>
      </c>
      <c r="E55" s="6">
        <v>219875.0</v>
      </c>
      <c r="F55" s="6">
        <f t="shared" si="16"/>
        <v>47791996</v>
      </c>
      <c r="G55" s="6">
        <v>4.036255E7</v>
      </c>
      <c r="H55" s="20">
        <v>196.0</v>
      </c>
      <c r="I55" s="6">
        <v>48000.0</v>
      </c>
      <c r="J55" s="4">
        <v>11422.0</v>
      </c>
      <c r="K55" s="4">
        <f t="shared" si="17"/>
        <v>36578</v>
      </c>
      <c r="L55" s="4">
        <f>I55+Mar!L55</f>
        <v>229950</v>
      </c>
      <c r="M55" s="4">
        <f>J55+Mar!M55</f>
        <v>102803.96</v>
      </c>
      <c r="N55" s="4">
        <f t="shared" si="18"/>
        <v>127146.04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54">
        <f t="shared" ref="D56:N56" si="19">SUM(D42:D55)</f>
        <v>14041038106</v>
      </c>
      <c r="E56" s="54">
        <f t="shared" si="19"/>
        <v>303315600.6</v>
      </c>
      <c r="F56" s="54">
        <f t="shared" si="19"/>
        <v>13737722505</v>
      </c>
      <c r="G56" s="54">
        <f t="shared" si="19"/>
        <v>6765128464</v>
      </c>
      <c r="H56" s="27">
        <f t="shared" si="19"/>
        <v>86890</v>
      </c>
      <c r="I56" s="54">
        <f t="shared" si="19"/>
        <v>23808674.73</v>
      </c>
      <c r="J56" s="54">
        <f t="shared" si="19"/>
        <v>56595563.81</v>
      </c>
      <c r="K56" s="54">
        <f t="shared" si="19"/>
        <v>-32786889.08</v>
      </c>
      <c r="L56" s="54">
        <f t="shared" si="19"/>
        <v>81367195.89</v>
      </c>
      <c r="M56" s="54">
        <f t="shared" si="19"/>
        <v>377473214.1</v>
      </c>
      <c r="N56" s="54">
        <f t="shared" si="19"/>
        <v>-296106018.2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6"/>
      <c r="E57" s="6"/>
      <c r="F57" s="6"/>
      <c r="G57" s="6"/>
      <c r="H57" s="20"/>
      <c r="I57" s="6"/>
      <c r="J57" s="4"/>
      <c r="K57" s="4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108</v>
      </c>
      <c r="D58" s="6">
        <v>7.2088549E7</v>
      </c>
      <c r="E58" s="6">
        <v>424241.0</v>
      </c>
      <c r="F58" s="6">
        <f t="shared" ref="F58:F61" si="20">D58-E58</f>
        <v>71664308</v>
      </c>
      <c r="G58" s="6">
        <v>0.0</v>
      </c>
      <c r="H58" s="20">
        <v>51.0</v>
      </c>
      <c r="I58" s="6">
        <v>0.0</v>
      </c>
      <c r="J58" s="6">
        <v>0.0</v>
      </c>
      <c r="K58" s="4">
        <f t="shared" ref="K58:K61" si="21">I58-J58</f>
        <v>0</v>
      </c>
      <c r="L58" s="4">
        <f>I58+Mar!L58</f>
        <v>0</v>
      </c>
      <c r="M58" s="4">
        <f>J58+Mar!M58</f>
        <v>447875.7492</v>
      </c>
      <c r="N58" s="4">
        <f t="shared" ref="N58:N61" si="22">L58-M58</f>
        <v>-447875.7492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6">
        <v>3.4505844433320004E8</v>
      </c>
      <c r="E59" s="6">
        <v>2.41046284674E7</v>
      </c>
      <c r="F59" s="6">
        <f t="shared" si="20"/>
        <v>320953815.9</v>
      </c>
      <c r="G59" s="6">
        <v>1.702917394698E8</v>
      </c>
      <c r="H59" s="20">
        <v>256.0</v>
      </c>
      <c r="I59" s="6">
        <v>0.0</v>
      </c>
      <c r="J59" s="6">
        <v>1115977.3326</v>
      </c>
      <c r="K59" s="4">
        <f t="shared" si="21"/>
        <v>-1115977.333</v>
      </c>
      <c r="L59" s="4">
        <f>I59+Mar!L59</f>
        <v>5631.4684</v>
      </c>
      <c r="M59" s="4">
        <f>J59+Mar!M59</f>
        <v>10855217.77</v>
      </c>
      <c r="N59" s="4">
        <f t="shared" si="22"/>
        <v>-10849586.3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v>1.531707348E9</v>
      </c>
      <c r="E60" s="6">
        <v>4911434.0</v>
      </c>
      <c r="F60" s="6">
        <f t="shared" si="20"/>
        <v>1526795914</v>
      </c>
      <c r="G60" s="6">
        <v>0.0</v>
      </c>
      <c r="H60" s="20">
        <v>4142.0</v>
      </c>
      <c r="I60" s="6">
        <v>614718.0</v>
      </c>
      <c r="J60" s="6">
        <v>5651635.0</v>
      </c>
      <c r="K60" s="4">
        <f t="shared" si="21"/>
        <v>-5036917</v>
      </c>
      <c r="L60" s="4">
        <f>I60+Mar!L60</f>
        <v>3381681.286</v>
      </c>
      <c r="M60" s="4">
        <f>J60+Mar!M60</f>
        <v>49668922.24</v>
      </c>
      <c r="N60" s="4">
        <f t="shared" si="22"/>
        <v>-46287240.95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6">
        <v>2.68377307E8</v>
      </c>
      <c r="E61" s="6">
        <v>1365981.0</v>
      </c>
      <c r="F61" s="6">
        <f t="shared" si="20"/>
        <v>267011326</v>
      </c>
      <c r="G61" s="6">
        <v>0.0</v>
      </c>
      <c r="H61" s="20">
        <v>717.0</v>
      </c>
      <c r="I61" s="6">
        <v>27690.0</v>
      </c>
      <c r="J61" s="6">
        <v>1651089.0</v>
      </c>
      <c r="K61" s="4">
        <f t="shared" si="21"/>
        <v>-1623399</v>
      </c>
      <c r="L61" s="4">
        <f>I61+Mar!L61</f>
        <v>672999.064</v>
      </c>
      <c r="M61" s="4">
        <f>J61+Mar!M61</f>
        <v>32608293.42</v>
      </c>
      <c r="N61" s="4">
        <f t="shared" si="22"/>
        <v>-31935294.35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54">
        <f t="shared" ref="D62:N62" si="23">SUM(D58:D61)</f>
        <v>2217231648</v>
      </c>
      <c r="E62" s="54">
        <f t="shared" si="23"/>
        <v>30806284.47</v>
      </c>
      <c r="F62" s="54">
        <f t="shared" si="23"/>
        <v>2186425364</v>
      </c>
      <c r="G62" s="54">
        <f t="shared" si="23"/>
        <v>170291739.5</v>
      </c>
      <c r="H62" s="27">
        <f t="shared" si="23"/>
        <v>5166</v>
      </c>
      <c r="I62" s="54">
        <f t="shared" si="23"/>
        <v>642408</v>
      </c>
      <c r="J62" s="54">
        <f t="shared" si="23"/>
        <v>8418701.333</v>
      </c>
      <c r="K62" s="54">
        <f t="shared" si="23"/>
        <v>-7776293.333</v>
      </c>
      <c r="L62" s="54">
        <f t="shared" si="23"/>
        <v>4060311.818</v>
      </c>
      <c r="M62" s="54">
        <f t="shared" si="23"/>
        <v>93580309.18</v>
      </c>
      <c r="N62" s="54">
        <f t="shared" si="23"/>
        <v>-89519997.36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54">
        <f t="shared" ref="D63:N63" si="24">D56+D62</f>
        <v>16258269754</v>
      </c>
      <c r="E63" s="54">
        <f t="shared" si="24"/>
        <v>334121885.1</v>
      </c>
      <c r="F63" s="54">
        <f t="shared" si="24"/>
        <v>15924147869</v>
      </c>
      <c r="G63" s="54">
        <f t="shared" si="24"/>
        <v>6935420204</v>
      </c>
      <c r="H63" s="27">
        <f t="shared" si="24"/>
        <v>92056</v>
      </c>
      <c r="I63" s="54">
        <f t="shared" si="24"/>
        <v>24451082.73</v>
      </c>
      <c r="J63" s="54">
        <f t="shared" si="24"/>
        <v>65014265.14</v>
      </c>
      <c r="K63" s="54">
        <f t="shared" si="24"/>
        <v>-40563182.41</v>
      </c>
      <c r="L63" s="54">
        <f t="shared" si="24"/>
        <v>85427507.71</v>
      </c>
      <c r="M63" s="54">
        <f t="shared" si="24"/>
        <v>471053523.2</v>
      </c>
      <c r="N63" s="54">
        <f t="shared" si="24"/>
        <v>-385626015.5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6"/>
      <c r="E64" s="6"/>
      <c r="F64" s="6"/>
      <c r="G64" s="6"/>
      <c r="H64" s="20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6"/>
      <c r="E65" s="6"/>
      <c r="F65" s="6"/>
      <c r="G65" s="6"/>
      <c r="H65" s="20"/>
      <c r="I65" s="6"/>
      <c r="J65" s="4"/>
      <c r="K65" s="4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6">
        <v>3.8916311427E10</v>
      </c>
      <c r="E66" s="6">
        <v>2.5239928168E8</v>
      </c>
      <c r="F66" s="6">
        <f t="shared" ref="F66:F76" si="25">D66-E66</f>
        <v>38663912145</v>
      </c>
      <c r="G66" s="6">
        <v>9.249128E8</v>
      </c>
      <c r="H66" s="20">
        <v>24570.0</v>
      </c>
      <c r="I66" s="6">
        <v>2.0620251489E8</v>
      </c>
      <c r="J66" s="4">
        <v>4.3991375864E8</v>
      </c>
      <c r="K66" s="4">
        <f t="shared" ref="K66:K76" si="26">I66-J66</f>
        <v>-233711243.8</v>
      </c>
      <c r="L66" s="4">
        <f>I66+Mar!L66</f>
        <v>1044043776</v>
      </c>
      <c r="M66" s="4">
        <f>J66+Mar!M66</f>
        <v>2597193726</v>
      </c>
      <c r="N66" s="4">
        <f t="shared" ref="N66:N76" si="27">L66-M66</f>
        <v>-1553149950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4.92618091E8</v>
      </c>
      <c r="E67" s="6">
        <v>438110.0</v>
      </c>
      <c r="F67" s="6">
        <f t="shared" si="25"/>
        <v>492179981</v>
      </c>
      <c r="G67" s="6">
        <v>0.0</v>
      </c>
      <c r="H67" s="20">
        <v>1086.0</v>
      </c>
      <c r="I67" s="6">
        <v>1.6216029E7</v>
      </c>
      <c r="J67" s="4">
        <v>3220291.0</v>
      </c>
      <c r="K67" s="4">
        <f t="shared" si="26"/>
        <v>12995738</v>
      </c>
      <c r="L67" s="4">
        <f>I67+Mar!L67</f>
        <v>48790334.54</v>
      </c>
      <c r="M67" s="4">
        <f>J67+Mar!M67</f>
        <v>25608293.25</v>
      </c>
      <c r="N67" s="4">
        <f t="shared" si="27"/>
        <v>23182041.29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6">
        <v>9.94297419E8</v>
      </c>
      <c r="E68" s="6">
        <v>2.3319755E7</v>
      </c>
      <c r="F68" s="6">
        <f t="shared" si="25"/>
        <v>970977664</v>
      </c>
      <c r="G68" s="6">
        <v>0.0</v>
      </c>
      <c r="H68" s="20">
        <v>1957.0</v>
      </c>
      <c r="I68" s="6">
        <v>2227964.0</v>
      </c>
      <c r="J68" s="4">
        <v>1.8195536E7</v>
      </c>
      <c r="K68" s="4">
        <f t="shared" si="26"/>
        <v>-15967572</v>
      </c>
      <c r="L68" s="4">
        <f>I68+Mar!L68</f>
        <v>23702220.61</v>
      </c>
      <c r="M68" s="4">
        <f>J68+Mar!M68</f>
        <v>60863025.43</v>
      </c>
      <c r="N68" s="4">
        <f t="shared" si="27"/>
        <v>-37160804.82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6">
        <v>1.9752355277E8</v>
      </c>
      <c r="E69" s="6">
        <v>170346.78</v>
      </c>
      <c r="F69" s="6">
        <f t="shared" si="25"/>
        <v>197353206</v>
      </c>
      <c r="G69" s="6">
        <v>4950000.0</v>
      </c>
      <c r="H69" s="20">
        <v>195.0</v>
      </c>
      <c r="I69" s="6">
        <v>766010.08</v>
      </c>
      <c r="J69" s="4">
        <v>85323.54</v>
      </c>
      <c r="K69" s="4">
        <f t="shared" si="26"/>
        <v>680686.54</v>
      </c>
      <c r="L69" s="4">
        <f>I69+Mar!L69</f>
        <v>3864047.85</v>
      </c>
      <c r="M69" s="4">
        <f>J69+Mar!M69</f>
        <v>4257598.64</v>
      </c>
      <c r="N69" s="4">
        <f t="shared" si="27"/>
        <v>-393550.79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1.354602922E9</v>
      </c>
      <c r="E70" s="6">
        <v>2558332.0</v>
      </c>
      <c r="F70" s="6">
        <f t="shared" si="25"/>
        <v>1352044590</v>
      </c>
      <c r="G70" s="6">
        <v>0.0</v>
      </c>
      <c r="H70" s="20">
        <v>1824.0</v>
      </c>
      <c r="I70" s="6">
        <v>1.6661151E7</v>
      </c>
      <c r="J70" s="4">
        <v>1.8833897E7</v>
      </c>
      <c r="K70" s="4">
        <f t="shared" si="26"/>
        <v>-2172746</v>
      </c>
      <c r="L70" s="4">
        <f>I70+Mar!L70</f>
        <v>86369746.13</v>
      </c>
      <c r="M70" s="4">
        <f>J70+Mar!M70</f>
        <v>35088600.67</v>
      </c>
      <c r="N70" s="4">
        <f t="shared" si="27"/>
        <v>51281145.46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7.6453719303E8</v>
      </c>
      <c r="E71" s="6">
        <v>3.684649027E7</v>
      </c>
      <c r="F71" s="6">
        <f t="shared" si="25"/>
        <v>727690702.8</v>
      </c>
      <c r="G71" s="6">
        <v>0.0</v>
      </c>
      <c r="H71" s="20">
        <v>501.0</v>
      </c>
      <c r="I71" s="6">
        <v>1076458.64</v>
      </c>
      <c r="J71" s="4">
        <v>1025711.74</v>
      </c>
      <c r="K71" s="4">
        <f t="shared" si="26"/>
        <v>50746.9</v>
      </c>
      <c r="L71" s="4">
        <f>I71+Mar!L71</f>
        <v>7515242.49</v>
      </c>
      <c r="M71" s="4">
        <f>J71+Mar!M71</f>
        <v>105183368.8</v>
      </c>
      <c r="N71" s="4">
        <f t="shared" si="27"/>
        <v>-97668126.26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1.71346474744E9</v>
      </c>
      <c r="E72" s="6">
        <v>2.452657796E7</v>
      </c>
      <c r="F72" s="6">
        <f t="shared" si="25"/>
        <v>1688938169</v>
      </c>
      <c r="G72" s="6">
        <v>0.0</v>
      </c>
      <c r="H72" s="20">
        <v>4982.0</v>
      </c>
      <c r="I72" s="6">
        <v>1084225.26</v>
      </c>
      <c r="J72" s="4">
        <v>6723733.79</v>
      </c>
      <c r="K72" s="4">
        <f t="shared" si="26"/>
        <v>-5639508.53</v>
      </c>
      <c r="L72" s="4">
        <f>I72+Mar!L72</f>
        <v>13222741.15</v>
      </c>
      <c r="M72" s="4">
        <f>J72+Mar!M72</f>
        <v>45023268.64</v>
      </c>
      <c r="N72" s="4">
        <f t="shared" si="27"/>
        <v>-31800527.49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3.06464993E8</v>
      </c>
      <c r="E73" s="6">
        <v>610267.0</v>
      </c>
      <c r="F73" s="6">
        <f t="shared" si="25"/>
        <v>305854726</v>
      </c>
      <c r="G73" s="6">
        <v>0.0</v>
      </c>
      <c r="H73" s="20">
        <v>4148.0</v>
      </c>
      <c r="I73" s="6">
        <v>1640857.0</v>
      </c>
      <c r="J73" s="4">
        <v>3827179.0</v>
      </c>
      <c r="K73" s="4">
        <f t="shared" si="26"/>
        <v>-2186322</v>
      </c>
      <c r="L73" s="4">
        <f>I73+Mar!L73</f>
        <v>16975794.01</v>
      </c>
      <c r="M73" s="4">
        <f>J73+Mar!M73</f>
        <v>20421347.75</v>
      </c>
      <c r="N73" s="4">
        <f t="shared" si="27"/>
        <v>-3445553.74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1.342684201E9</v>
      </c>
      <c r="E74" s="6">
        <v>707129.0</v>
      </c>
      <c r="F74" s="6">
        <f t="shared" si="25"/>
        <v>1341977072</v>
      </c>
      <c r="G74" s="6">
        <v>0.0</v>
      </c>
      <c r="H74" s="20">
        <v>818.0</v>
      </c>
      <c r="I74" s="6">
        <v>1063954.0</v>
      </c>
      <c r="J74" s="4">
        <v>1076884.0</v>
      </c>
      <c r="K74" s="4">
        <f t="shared" si="26"/>
        <v>-12930</v>
      </c>
      <c r="L74" s="4">
        <f>I74+Mar!L74</f>
        <v>104102289.5</v>
      </c>
      <c r="M74" s="4">
        <f>J74+Mar!M74</f>
        <v>4073843</v>
      </c>
      <c r="N74" s="4">
        <f t="shared" si="27"/>
        <v>100028446.5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5.14397556E9</v>
      </c>
      <c r="E75" s="6">
        <v>1.69085279E8</v>
      </c>
      <c r="F75" s="6">
        <f t="shared" si="25"/>
        <v>4974890281</v>
      </c>
      <c r="G75" s="6">
        <v>0.0</v>
      </c>
      <c r="H75" s="20">
        <v>16952.0</v>
      </c>
      <c r="I75" s="6">
        <v>8.8063243E7</v>
      </c>
      <c r="J75" s="4">
        <v>2.773725E7</v>
      </c>
      <c r="K75" s="4">
        <f t="shared" si="26"/>
        <v>60325993</v>
      </c>
      <c r="L75" s="4">
        <f>I75+Mar!L75</f>
        <v>653111029</v>
      </c>
      <c r="M75" s="4">
        <f>J75+Mar!M75</f>
        <v>247004678</v>
      </c>
      <c r="N75" s="4">
        <f t="shared" si="27"/>
        <v>406106351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6">
        <v>1.43129992E8</v>
      </c>
      <c r="E76" s="6">
        <v>5293272.0</v>
      </c>
      <c r="F76" s="6">
        <f t="shared" si="25"/>
        <v>137836720</v>
      </c>
      <c r="G76" s="6">
        <v>0.0</v>
      </c>
      <c r="H76" s="20">
        <v>2670.0</v>
      </c>
      <c r="I76" s="6">
        <v>623100.0</v>
      </c>
      <c r="J76" s="4">
        <v>2456752.0</v>
      </c>
      <c r="K76" s="4">
        <f t="shared" si="26"/>
        <v>-1833652</v>
      </c>
      <c r="L76" s="4">
        <f>I76+Mar!L76</f>
        <v>2111232.44</v>
      </c>
      <c r="M76" s="4">
        <f>J76+Mar!M76</f>
        <v>4702375.71</v>
      </c>
      <c r="N76" s="4">
        <f t="shared" si="27"/>
        <v>-2591143.27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54">
        <f t="shared" ref="D77:N77" si="28">SUM(D66:D76)</f>
        <v>51369610098</v>
      </c>
      <c r="E77" s="54">
        <f t="shared" si="28"/>
        <v>515954840.7</v>
      </c>
      <c r="F77" s="54">
        <f t="shared" si="28"/>
        <v>50853655258</v>
      </c>
      <c r="G77" s="54">
        <f t="shared" si="28"/>
        <v>929862800</v>
      </c>
      <c r="H77" s="27">
        <f t="shared" si="28"/>
        <v>59703</v>
      </c>
      <c r="I77" s="54">
        <f t="shared" si="28"/>
        <v>335625506.9</v>
      </c>
      <c r="J77" s="54">
        <f t="shared" si="28"/>
        <v>523096316.7</v>
      </c>
      <c r="K77" s="54">
        <f t="shared" si="28"/>
        <v>-187470809.8</v>
      </c>
      <c r="L77" s="54">
        <f t="shared" si="28"/>
        <v>2003808454</v>
      </c>
      <c r="M77" s="54">
        <f t="shared" si="28"/>
        <v>3149420126</v>
      </c>
      <c r="N77" s="54">
        <f t="shared" si="28"/>
        <v>-1145611672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6"/>
      <c r="E78" s="6"/>
      <c r="F78" s="6"/>
      <c r="G78" s="6"/>
      <c r="H78" s="6"/>
      <c r="I78" s="6"/>
      <c r="J78" s="6"/>
      <c r="K78" s="6"/>
      <c r="L78" s="6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6">
        <v>1.37527501452978E10</v>
      </c>
      <c r="E79" s="6">
        <v>1.702444482726E8</v>
      </c>
      <c r="F79" s="6">
        <f t="shared" ref="F79:F85" si="29">D79-E79</f>
        <v>13582505697</v>
      </c>
      <c r="G79" s="6">
        <v>0.0</v>
      </c>
      <c r="H79" s="20">
        <v>8511.0</v>
      </c>
      <c r="I79" s="6">
        <v>4.1876697369E7</v>
      </c>
      <c r="J79" s="4">
        <v>1.388727465528E8</v>
      </c>
      <c r="K79" s="4">
        <f t="shared" ref="K79:K85" si="30">I79-J79</f>
        <v>-96996049.18</v>
      </c>
      <c r="L79" s="4">
        <f>I79+Mar!L79</f>
        <v>263020411.4</v>
      </c>
      <c r="M79" s="4">
        <f>J79+Mar!M79</f>
        <v>567531496.3</v>
      </c>
      <c r="N79" s="4">
        <f t="shared" ref="N79:N85" si="31">L79-M79</f>
        <v>-304511084.9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56">
        <f>55.38*4771386.37</f>
        <v>264239377.2</v>
      </c>
      <c r="E80" s="56">
        <f>55.38*18676.66</f>
        <v>1034313.431</v>
      </c>
      <c r="F80" s="6">
        <f t="shared" si="29"/>
        <v>263205063.7</v>
      </c>
      <c r="G80" s="6">
        <v>0.0</v>
      </c>
      <c r="H80" s="20">
        <v>165.0</v>
      </c>
      <c r="I80" s="56">
        <f>55.38*199.33</f>
        <v>11038.8954</v>
      </c>
      <c r="J80" s="57">
        <f>55.38*15013.24</f>
        <v>831433.2312</v>
      </c>
      <c r="K80" s="4">
        <f t="shared" si="30"/>
        <v>-820394.3358</v>
      </c>
      <c r="L80" s="4">
        <f>I80+Mar!L80</f>
        <v>1209476.975</v>
      </c>
      <c r="M80" s="4">
        <f>J80+Mar!M80</f>
        <v>4942259.821</v>
      </c>
      <c r="N80" s="4">
        <f t="shared" si="31"/>
        <v>-3732782.846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6">
        <v>4.43523711E8</v>
      </c>
      <c r="E81" s="6">
        <v>3125435.0</v>
      </c>
      <c r="F81" s="6">
        <f t="shared" si="29"/>
        <v>440398276</v>
      </c>
      <c r="G81" s="6">
        <v>0.0</v>
      </c>
      <c r="H81" s="20">
        <v>157.0</v>
      </c>
      <c r="I81" s="6">
        <v>1517173.0</v>
      </c>
      <c r="J81" s="4">
        <v>1364872.0</v>
      </c>
      <c r="K81" s="4">
        <f t="shared" si="30"/>
        <v>152301</v>
      </c>
      <c r="L81" s="4">
        <f>I81+Mar!L81</f>
        <v>9240085.46</v>
      </c>
      <c r="M81" s="4">
        <f>J81+Mar!M81</f>
        <v>6974327.96</v>
      </c>
      <c r="N81" s="4">
        <f t="shared" si="31"/>
        <v>2265757.5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109</v>
      </c>
      <c r="D82" s="6">
        <v>6.4374634076999985E7</v>
      </c>
      <c r="E82" s="6">
        <v>1.4070226029600002E7</v>
      </c>
      <c r="F82" s="6">
        <f t="shared" si="29"/>
        <v>50304408.05</v>
      </c>
      <c r="G82" s="6">
        <v>0.0</v>
      </c>
      <c r="H82" s="20">
        <v>27.0</v>
      </c>
      <c r="I82" s="6">
        <v>0.0</v>
      </c>
      <c r="J82" s="4">
        <v>0.0</v>
      </c>
      <c r="K82" s="4">
        <f t="shared" si="30"/>
        <v>0</v>
      </c>
      <c r="L82" s="4">
        <f>I82+Mar!L82</f>
        <v>0</v>
      </c>
      <c r="M82" s="4">
        <f>J82+Mar!M82</f>
        <v>0</v>
      </c>
      <c r="N82" s="4">
        <f t="shared" si="31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2.0534460971076002E9</v>
      </c>
      <c r="E83" s="6">
        <v>5.2860841885800004E7</v>
      </c>
      <c r="F83" s="6">
        <f t="shared" si="29"/>
        <v>2000585255</v>
      </c>
      <c r="G83" s="6">
        <v>0.0</v>
      </c>
      <c r="H83" s="20">
        <v>1882.0</v>
      </c>
      <c r="I83" s="6">
        <v>431091.765</v>
      </c>
      <c r="J83" s="4">
        <v>5372130.254400001</v>
      </c>
      <c r="K83" s="4">
        <f t="shared" si="30"/>
        <v>-4941038.489</v>
      </c>
      <c r="L83" s="4">
        <f>I83+Mar!L83</f>
        <v>711934.8506</v>
      </c>
      <c r="M83" s="4">
        <f>J83+Mar!M83</f>
        <v>56015027.87</v>
      </c>
      <c r="N83" s="4">
        <f t="shared" si="31"/>
        <v>-55303093.02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v>2.42719402E8</v>
      </c>
      <c r="E84" s="6">
        <v>1229043.0</v>
      </c>
      <c r="F84" s="6">
        <f t="shared" si="29"/>
        <v>241490359</v>
      </c>
      <c r="G84" s="6">
        <v>0.0</v>
      </c>
      <c r="H84" s="20">
        <v>122.0</v>
      </c>
      <c r="I84" s="6">
        <v>149526.0</v>
      </c>
      <c r="J84" s="4">
        <v>0.0</v>
      </c>
      <c r="K84" s="4">
        <f t="shared" si="30"/>
        <v>149526</v>
      </c>
      <c r="L84" s="4">
        <f>I84+Mar!L84</f>
        <v>568819</v>
      </c>
      <c r="M84" s="4">
        <f>J84+Mar!M84</f>
        <v>427057</v>
      </c>
      <c r="N84" s="4">
        <f t="shared" si="31"/>
        <v>141762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6">
        <v>5.32742307E8</v>
      </c>
      <c r="E85" s="6">
        <v>3861690.0</v>
      </c>
      <c r="F85" s="6">
        <f t="shared" si="29"/>
        <v>528880617</v>
      </c>
      <c r="G85" s="6">
        <v>0.0</v>
      </c>
      <c r="H85" s="20">
        <v>2535.0</v>
      </c>
      <c r="I85" s="6">
        <v>0.0</v>
      </c>
      <c r="J85" s="4">
        <v>1.5507049E7</v>
      </c>
      <c r="K85" s="4">
        <f t="shared" si="30"/>
        <v>-15507049</v>
      </c>
      <c r="L85" s="4">
        <f>I85+Mar!L85</f>
        <v>96117321.16</v>
      </c>
      <c r="M85" s="4">
        <f>J85+Mar!M85</f>
        <v>25665407.9</v>
      </c>
      <c r="N85" s="4">
        <f t="shared" si="31"/>
        <v>70451913.26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54">
        <f t="shared" ref="D86:N86" si="32">SUM(D79:D85)</f>
        <v>17353795674</v>
      </c>
      <c r="E86" s="54">
        <f t="shared" si="32"/>
        <v>246425997.6</v>
      </c>
      <c r="F86" s="54">
        <f t="shared" si="32"/>
        <v>17107369676</v>
      </c>
      <c r="G86" s="54">
        <f t="shared" si="32"/>
        <v>0</v>
      </c>
      <c r="H86" s="27">
        <f t="shared" si="32"/>
        <v>13399</v>
      </c>
      <c r="I86" s="54">
        <f t="shared" si="32"/>
        <v>43985527.03</v>
      </c>
      <c r="J86" s="54">
        <f t="shared" si="32"/>
        <v>161948231</v>
      </c>
      <c r="K86" s="54">
        <f t="shared" si="32"/>
        <v>-117962704</v>
      </c>
      <c r="L86" s="54">
        <f t="shared" si="32"/>
        <v>370868048.8</v>
      </c>
      <c r="M86" s="54">
        <f t="shared" si="32"/>
        <v>661555576.9</v>
      </c>
      <c r="N86" s="54">
        <f t="shared" si="32"/>
        <v>-290687528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6">
        <v>9.530767426983715E8</v>
      </c>
      <c r="E87" s="6">
        <v>7726474.093584481</v>
      </c>
      <c r="F87" s="6">
        <f>D87-E87</f>
        <v>945350268.6</v>
      </c>
      <c r="G87" s="6">
        <v>0.0</v>
      </c>
      <c r="H87" s="20">
        <v>647.0</v>
      </c>
      <c r="I87" s="6">
        <v>2963291.761209</v>
      </c>
      <c r="J87" s="4">
        <v>7416122.34692082</v>
      </c>
      <c r="K87" s="4">
        <f>I87-J87</f>
        <v>-4452830.586</v>
      </c>
      <c r="L87" s="4">
        <f>I87+Mar!L87</f>
        <v>21247953.16</v>
      </c>
      <c r="M87" s="4">
        <f>J87+Mar!M87</f>
        <v>16048035.84</v>
      </c>
      <c r="N87" s="4">
        <f>L87-M87</f>
        <v>5199917.313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54">
        <f t="shared" ref="D88:N88" si="33">SUM(D87)</f>
        <v>953076742.7</v>
      </c>
      <c r="E88" s="54">
        <f t="shared" si="33"/>
        <v>7726474.094</v>
      </c>
      <c r="F88" s="54">
        <f t="shared" si="33"/>
        <v>945350268.6</v>
      </c>
      <c r="G88" s="54">
        <f t="shared" si="33"/>
        <v>0</v>
      </c>
      <c r="H88" s="27">
        <f t="shared" si="33"/>
        <v>647</v>
      </c>
      <c r="I88" s="54">
        <f t="shared" si="33"/>
        <v>2963291.761</v>
      </c>
      <c r="J88" s="54">
        <f t="shared" si="33"/>
        <v>7416122.347</v>
      </c>
      <c r="K88" s="54">
        <f t="shared" si="33"/>
        <v>-4452830.586</v>
      </c>
      <c r="L88" s="54">
        <f t="shared" si="33"/>
        <v>21247953.16</v>
      </c>
      <c r="M88" s="54">
        <f t="shared" si="33"/>
        <v>16048035.84</v>
      </c>
      <c r="N88" s="54">
        <f t="shared" si="33"/>
        <v>5199917.313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54">
        <f t="shared" ref="D89:N89" si="34">D77+D86+D88</f>
        <v>69676482515</v>
      </c>
      <c r="E89" s="54">
        <f t="shared" si="34"/>
        <v>770107312.4</v>
      </c>
      <c r="F89" s="54">
        <f t="shared" si="34"/>
        <v>68906375202</v>
      </c>
      <c r="G89" s="54">
        <f t="shared" si="34"/>
        <v>929862800</v>
      </c>
      <c r="H89" s="27">
        <f t="shared" si="34"/>
        <v>73749</v>
      </c>
      <c r="I89" s="54">
        <f t="shared" si="34"/>
        <v>382574325.7</v>
      </c>
      <c r="J89" s="54">
        <f t="shared" si="34"/>
        <v>692460670.1</v>
      </c>
      <c r="K89" s="54">
        <f t="shared" si="34"/>
        <v>-309886344.4</v>
      </c>
      <c r="L89" s="54">
        <f t="shared" si="34"/>
        <v>2395924456</v>
      </c>
      <c r="M89" s="54">
        <f t="shared" si="34"/>
        <v>3827023738</v>
      </c>
      <c r="N89" s="54">
        <f t="shared" si="34"/>
        <v>-1431099283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6"/>
      <c r="E90" s="6"/>
      <c r="F90" s="6"/>
      <c r="G90" s="6"/>
      <c r="H90" s="20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6"/>
      <c r="E91" s="6"/>
      <c r="F91" s="6"/>
      <c r="G91" s="6"/>
      <c r="H91" s="20"/>
      <c r="I91" s="6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3.578859060944E10</v>
      </c>
      <c r="E92" s="6">
        <v>5.110711002E8</v>
      </c>
      <c r="F92" s="6">
        <f t="shared" ref="F92:F94" si="35">D92-E92</f>
        <v>35277519509</v>
      </c>
      <c r="G92" s="6">
        <v>0.0</v>
      </c>
      <c r="H92" s="20">
        <v>29046.0</v>
      </c>
      <c r="I92" s="6">
        <v>1.471263532E9</v>
      </c>
      <c r="J92" s="4">
        <v>1.56865961977E9</v>
      </c>
      <c r="K92" s="4">
        <f t="shared" ref="K92:K94" si="36">I92-J92</f>
        <v>-97396087.77</v>
      </c>
      <c r="L92" s="4">
        <f>I92+Mar!L92</f>
        <v>9182788961</v>
      </c>
      <c r="M92" s="4">
        <f>J92+Mar!M92</f>
        <v>8843896363</v>
      </c>
      <c r="N92" s="4">
        <f t="shared" ref="N92:N94" si="37">L92-M92</f>
        <v>338892597.7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6">
        <v>2.611319806E9</v>
      </c>
      <c r="E93" s="6">
        <v>5354100.0</v>
      </c>
      <c r="F93" s="6">
        <f t="shared" si="35"/>
        <v>2605965706</v>
      </c>
      <c r="G93" s="6">
        <v>0.0</v>
      </c>
      <c r="H93" s="20">
        <v>777.0</v>
      </c>
      <c r="I93" s="6">
        <v>9.3127984E7</v>
      </c>
      <c r="J93" s="4">
        <v>5.708652E7</v>
      </c>
      <c r="K93" s="4">
        <f t="shared" si="36"/>
        <v>36041464</v>
      </c>
      <c r="L93" s="4">
        <f>I93+Mar!L93</f>
        <v>341364772.7</v>
      </c>
      <c r="M93" s="4">
        <f>J93+Mar!M93</f>
        <v>587370741.8</v>
      </c>
      <c r="N93" s="4">
        <f t="shared" si="37"/>
        <v>-246005969.1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6">
        <v>3.8096782723E10</v>
      </c>
      <c r="E94" s="6">
        <v>1.59169312E8</v>
      </c>
      <c r="F94" s="6">
        <f t="shared" si="35"/>
        <v>37937613411</v>
      </c>
      <c r="G94" s="6">
        <v>0.0</v>
      </c>
      <c r="H94" s="20">
        <v>66904.0</v>
      </c>
      <c r="I94" s="6">
        <v>2.029174298E9</v>
      </c>
      <c r="J94" s="4">
        <v>3.78170054E9</v>
      </c>
      <c r="K94" s="4">
        <f t="shared" si="36"/>
        <v>-1752526242</v>
      </c>
      <c r="L94" s="4">
        <f>I94+Mar!L94</f>
        <v>8614760702</v>
      </c>
      <c r="M94" s="4">
        <f>J94+Mar!M94</f>
        <v>23291789766</v>
      </c>
      <c r="N94" s="4">
        <f t="shared" si="37"/>
        <v>-14677029064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6"/>
      <c r="E95" s="6"/>
      <c r="F95" s="6"/>
      <c r="G95" s="6"/>
      <c r="H95" s="20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6">
        <v>5.94684764716E9</v>
      </c>
      <c r="E96" s="6">
        <v>4.9560805907E8</v>
      </c>
      <c r="F96" s="6">
        <f>D96-E96</f>
        <v>5451239588</v>
      </c>
      <c r="G96" s="6">
        <v>0.0</v>
      </c>
      <c r="H96" s="20">
        <v>5691.0</v>
      </c>
      <c r="I96" s="6">
        <v>9.1154218615E8</v>
      </c>
      <c r="J96" s="4">
        <v>3.884593381E8</v>
      </c>
      <c r="K96" s="4">
        <f>I96-J96</f>
        <v>523082848.1</v>
      </c>
      <c r="L96" s="4">
        <f>I96+Mar!L96</f>
        <v>6077584506</v>
      </c>
      <c r="M96" s="4">
        <f>J96+Mar!M96</f>
        <v>4208237883</v>
      </c>
      <c r="N96" s="4">
        <f>L96-M96</f>
        <v>1869346622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54">
        <f t="shared" ref="D97:N97" si="38">SUM(D92:D94)+D96</f>
        <v>82443540786</v>
      </c>
      <c r="E97" s="54">
        <f t="shared" si="38"/>
        <v>1171202571</v>
      </c>
      <c r="F97" s="54">
        <f t="shared" si="38"/>
        <v>81272338214</v>
      </c>
      <c r="G97" s="54">
        <f t="shared" si="38"/>
        <v>0</v>
      </c>
      <c r="H97" s="27">
        <f t="shared" si="38"/>
        <v>102418</v>
      </c>
      <c r="I97" s="54">
        <f t="shared" si="38"/>
        <v>4505108000</v>
      </c>
      <c r="J97" s="54">
        <f t="shared" si="38"/>
        <v>5795906018</v>
      </c>
      <c r="K97" s="54">
        <f t="shared" si="38"/>
        <v>-1290798018</v>
      </c>
      <c r="L97" s="54">
        <f t="shared" si="38"/>
        <v>24216498941</v>
      </c>
      <c r="M97" s="54">
        <f t="shared" si="38"/>
        <v>36931294754</v>
      </c>
      <c r="N97" s="54">
        <f t="shared" si="38"/>
        <v>-12714795813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6"/>
      <c r="E98" s="6"/>
      <c r="F98" s="6"/>
      <c r="G98" s="6"/>
      <c r="H98" s="20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6">
        <v>3.987818761E9</v>
      </c>
      <c r="E99" s="6">
        <v>1.545096E7</v>
      </c>
      <c r="F99" s="6">
        <f>D99-E99</f>
        <v>3972367801</v>
      </c>
      <c r="G99" s="6">
        <v>0.0</v>
      </c>
      <c r="H99" s="20">
        <v>3513.0</v>
      </c>
      <c r="I99" s="6">
        <v>6.10251762E8</v>
      </c>
      <c r="J99" s="6">
        <v>7.38478065E8</v>
      </c>
      <c r="K99" s="4">
        <f>I99-J99</f>
        <v>-128226303</v>
      </c>
      <c r="L99" s="4">
        <f>I99+Mar!L99</f>
        <v>2753863843</v>
      </c>
      <c r="M99" s="4">
        <f>J99+Mar!M99</f>
        <v>5416166773</v>
      </c>
      <c r="N99" s="4">
        <f>L99-M99</f>
        <v>-2662302930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54">
        <f t="shared" ref="D100:N100" si="39">SUM(D99)</f>
        <v>3987818761</v>
      </c>
      <c r="E100" s="54">
        <f t="shared" si="39"/>
        <v>15450960</v>
      </c>
      <c r="F100" s="54">
        <f t="shared" si="39"/>
        <v>3972367801</v>
      </c>
      <c r="G100" s="54">
        <f t="shared" si="39"/>
        <v>0</v>
      </c>
      <c r="H100" s="27">
        <f t="shared" si="39"/>
        <v>3513</v>
      </c>
      <c r="I100" s="54">
        <f t="shared" si="39"/>
        <v>610251762</v>
      </c>
      <c r="J100" s="54">
        <f t="shared" si="39"/>
        <v>738478065</v>
      </c>
      <c r="K100" s="54">
        <f t="shared" si="39"/>
        <v>-128226303</v>
      </c>
      <c r="L100" s="54">
        <f t="shared" si="39"/>
        <v>2753863843</v>
      </c>
      <c r="M100" s="54">
        <f t="shared" si="39"/>
        <v>5416166773</v>
      </c>
      <c r="N100" s="54">
        <f t="shared" si="39"/>
        <v>-2662302930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54">
        <f t="shared" ref="D101:N101" si="40">D97+D100</f>
        <v>86431359547</v>
      </c>
      <c r="E101" s="54">
        <f t="shared" si="40"/>
        <v>1186653531</v>
      </c>
      <c r="F101" s="54">
        <f t="shared" si="40"/>
        <v>85244706015</v>
      </c>
      <c r="G101" s="54">
        <f t="shared" si="40"/>
        <v>0</v>
      </c>
      <c r="H101" s="27">
        <f t="shared" si="40"/>
        <v>105931</v>
      </c>
      <c r="I101" s="54">
        <f t="shared" si="40"/>
        <v>5115359762</v>
      </c>
      <c r="J101" s="54">
        <f t="shared" si="40"/>
        <v>6534384083</v>
      </c>
      <c r="K101" s="54">
        <f t="shared" si="40"/>
        <v>-1419024321</v>
      </c>
      <c r="L101" s="54">
        <f t="shared" si="40"/>
        <v>26970362784</v>
      </c>
      <c r="M101" s="54">
        <f t="shared" si="40"/>
        <v>42347461527</v>
      </c>
      <c r="N101" s="54">
        <f t="shared" si="40"/>
        <v>-15377098743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6"/>
      <c r="E102" s="6"/>
      <c r="F102" s="6"/>
      <c r="G102" s="6"/>
      <c r="H102" s="20"/>
      <c r="I102" s="6"/>
      <c r="J102" s="6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6"/>
      <c r="E103" s="6"/>
      <c r="F103" s="6"/>
      <c r="G103" s="6"/>
      <c r="H103" s="20"/>
      <c r="I103" s="6"/>
      <c r="J103" s="6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101</v>
      </c>
      <c r="D104" s="6">
        <v>9.33467726703E9</v>
      </c>
      <c r="E104" s="6">
        <v>4.326267365E7</v>
      </c>
      <c r="F104" s="6">
        <f t="shared" ref="F104:F105" si="41">D104-E104</f>
        <v>9291414593</v>
      </c>
      <c r="G104" s="6">
        <v>0.0</v>
      </c>
      <c r="H104" s="20">
        <v>76524.0</v>
      </c>
      <c r="I104" s="6">
        <v>5.115166208E7</v>
      </c>
      <c r="J104" s="6">
        <v>4.576449214E7</v>
      </c>
      <c r="K104" s="4">
        <f t="shared" ref="K104:K105" si="42">I104-J104</f>
        <v>5387169.94</v>
      </c>
      <c r="L104" s="4">
        <f>I104+Mar!L104</f>
        <v>433266689.9</v>
      </c>
      <c r="M104" s="4">
        <f>J104+Mar!M104</f>
        <v>463016229.4</v>
      </c>
      <c r="N104" s="4">
        <f t="shared" ref="N104:N105" si="43">L104-M104</f>
        <v>-29749539.48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6">
        <v>3.320603522E9</v>
      </c>
      <c r="E105" s="6">
        <v>3.944937E7</v>
      </c>
      <c r="F105" s="6">
        <f t="shared" si="41"/>
        <v>3281154152</v>
      </c>
      <c r="G105" s="6">
        <v>0.0</v>
      </c>
      <c r="H105" s="20">
        <v>6082.0</v>
      </c>
      <c r="I105" s="6">
        <v>1.0906391E7</v>
      </c>
      <c r="J105" s="6">
        <v>1.40432363E8</v>
      </c>
      <c r="K105" s="4">
        <f t="shared" si="42"/>
        <v>-129525972</v>
      </c>
      <c r="L105" s="4">
        <f>I105+Mar!L105</f>
        <v>76214275.13</v>
      </c>
      <c r="M105" s="4">
        <f>J105+Mar!M105</f>
        <v>269230328.7</v>
      </c>
      <c r="N105" s="4">
        <f t="shared" si="43"/>
        <v>-193016053.6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4" t="s">
        <v>45</v>
      </c>
      <c r="B106" s="2"/>
      <c r="C106" s="3"/>
      <c r="D106" s="54">
        <f t="shared" ref="D106:N106" si="44">D104+D105</f>
        <v>12655280789</v>
      </c>
      <c r="E106" s="54">
        <f t="shared" si="44"/>
        <v>82712043.65</v>
      </c>
      <c r="F106" s="54">
        <f t="shared" si="44"/>
        <v>12572568745</v>
      </c>
      <c r="G106" s="54">
        <f t="shared" si="44"/>
        <v>0</v>
      </c>
      <c r="H106" s="27">
        <f t="shared" si="44"/>
        <v>82606</v>
      </c>
      <c r="I106" s="54">
        <f t="shared" si="44"/>
        <v>62058053.08</v>
      </c>
      <c r="J106" s="54">
        <f t="shared" si="44"/>
        <v>186196855.1</v>
      </c>
      <c r="K106" s="54">
        <f t="shared" si="44"/>
        <v>-124138802.1</v>
      </c>
      <c r="L106" s="54">
        <f t="shared" si="44"/>
        <v>509480965</v>
      </c>
      <c r="M106" s="54">
        <f t="shared" si="44"/>
        <v>732246558.1</v>
      </c>
      <c r="N106" s="54">
        <f t="shared" si="44"/>
        <v>-222765593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0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104</v>
      </c>
      <c r="D108" s="6">
        <v>1.0040851815937801E10</v>
      </c>
      <c r="E108" s="6">
        <v>3.2942831766E7</v>
      </c>
      <c r="F108" s="6">
        <f>D108-E108</f>
        <v>10007908984</v>
      </c>
      <c r="G108" s="6">
        <v>0.0</v>
      </c>
      <c r="H108" s="20">
        <v>8233.0</v>
      </c>
      <c r="I108" s="6">
        <v>4.31776660536E7</v>
      </c>
      <c r="J108" s="6">
        <v>5.206131528779999E7</v>
      </c>
      <c r="K108" s="4">
        <f>I108-J108</f>
        <v>-8883649.234</v>
      </c>
      <c r="L108" s="4">
        <f>I108+Mar!L108</f>
        <v>304899829.8</v>
      </c>
      <c r="M108" s="4">
        <f>J108+Mar!M108</f>
        <v>347891076.7</v>
      </c>
      <c r="N108" s="4">
        <f>L108-M108</f>
        <v>-42991246.92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4" t="s">
        <v>89</v>
      </c>
      <c r="B109" s="25"/>
      <c r="C109" s="1"/>
      <c r="D109" s="54">
        <f t="shared" ref="D109:N109" si="45">SUM(D108)</f>
        <v>10040851816</v>
      </c>
      <c r="E109" s="54">
        <f t="shared" si="45"/>
        <v>32942831.77</v>
      </c>
      <c r="F109" s="54">
        <f t="shared" si="45"/>
        <v>10007908984</v>
      </c>
      <c r="G109" s="54">
        <f t="shared" si="45"/>
        <v>0</v>
      </c>
      <c r="H109" s="27">
        <f t="shared" si="45"/>
        <v>8233</v>
      </c>
      <c r="I109" s="54">
        <f t="shared" si="45"/>
        <v>43177666.05</v>
      </c>
      <c r="J109" s="54">
        <f t="shared" si="45"/>
        <v>52061315.29</v>
      </c>
      <c r="K109" s="54">
        <f t="shared" si="45"/>
        <v>-8883649.234</v>
      </c>
      <c r="L109" s="54">
        <f t="shared" si="45"/>
        <v>304899829.8</v>
      </c>
      <c r="M109" s="54">
        <f t="shared" si="45"/>
        <v>347891076.7</v>
      </c>
      <c r="N109" s="54">
        <f t="shared" si="45"/>
        <v>-42991246.92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105</v>
      </c>
      <c r="B110" s="31"/>
      <c r="C110" s="29"/>
      <c r="D110" s="54">
        <f t="shared" ref="D110:N110" si="46">SUM(D106+D109)</f>
        <v>22696132605</v>
      </c>
      <c r="E110" s="54">
        <f t="shared" si="46"/>
        <v>115654875.4</v>
      </c>
      <c r="F110" s="54">
        <f t="shared" si="46"/>
        <v>22580477730</v>
      </c>
      <c r="G110" s="54">
        <f t="shared" si="46"/>
        <v>0</v>
      </c>
      <c r="H110" s="27">
        <f t="shared" si="46"/>
        <v>90839</v>
      </c>
      <c r="I110" s="54">
        <f t="shared" si="46"/>
        <v>105235719.1</v>
      </c>
      <c r="J110" s="54">
        <f t="shared" si="46"/>
        <v>238258170.4</v>
      </c>
      <c r="K110" s="54">
        <f t="shared" si="46"/>
        <v>-133022451.3</v>
      </c>
      <c r="L110" s="54">
        <f t="shared" si="46"/>
        <v>814380794.9</v>
      </c>
      <c r="M110" s="54">
        <f t="shared" si="46"/>
        <v>1080137635</v>
      </c>
      <c r="N110" s="54">
        <f t="shared" si="46"/>
        <v>-265756840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106</v>
      </c>
      <c r="B111" s="33"/>
      <c r="C111" s="34"/>
      <c r="D111" s="55">
        <f t="shared" ref="D111:N111" si="47">D39+D63+D89+D101+D110</f>
        <v>266749890784</v>
      </c>
      <c r="E111" s="55">
        <f t="shared" si="47"/>
        <v>3101100888</v>
      </c>
      <c r="F111" s="55">
        <f t="shared" si="47"/>
        <v>263648789896</v>
      </c>
      <c r="G111" s="55">
        <f t="shared" si="47"/>
        <v>73086577287</v>
      </c>
      <c r="H111" s="36">
        <f t="shared" si="47"/>
        <v>1020645</v>
      </c>
      <c r="I111" s="55">
        <f t="shared" si="47"/>
        <v>5800601449</v>
      </c>
      <c r="J111" s="55">
        <f t="shared" si="47"/>
        <v>7959159600</v>
      </c>
      <c r="K111" s="55">
        <f t="shared" si="47"/>
        <v>-2158558151</v>
      </c>
      <c r="L111" s="55">
        <f t="shared" si="47"/>
        <v>32843382919</v>
      </c>
      <c r="M111" s="55">
        <f t="shared" si="47"/>
        <v>50846100165</v>
      </c>
      <c r="N111" s="55">
        <f t="shared" si="47"/>
        <v>-18002717246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7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0"/>
      <c r="B113" s="30"/>
      <c r="C113" s="30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0"/>
      <c r="B114" s="30"/>
      <c r="C114" s="30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7"/>
      <c r="B115" s="37"/>
      <c r="C115" s="37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118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4.580283054E9</v>
      </c>
      <c r="E9" s="6">
        <v>4.1708631E7</v>
      </c>
      <c r="F9" s="6">
        <f t="shared" ref="F9:F27" si="1">D9-E9</f>
        <v>4538574423</v>
      </c>
      <c r="G9" s="6">
        <v>4.088428812E9</v>
      </c>
      <c r="H9" s="20">
        <v>7113.0</v>
      </c>
      <c r="I9" s="6">
        <v>2.1300859E7</v>
      </c>
      <c r="J9" s="4">
        <v>5.9179975E7</v>
      </c>
      <c r="K9" s="4">
        <f t="shared" ref="K9:K27" si="2">I9-J9</f>
        <v>-37879116</v>
      </c>
      <c r="L9" s="4">
        <f>I9+Apr!L9</f>
        <v>47684156.19</v>
      </c>
      <c r="M9" s="4">
        <f>J9+Apr!M9</f>
        <v>231058554.1</v>
      </c>
      <c r="N9" s="4">
        <f t="shared" ref="N9:N27" si="3">L9-M9</f>
        <v>-183374397.9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6">
        <v>8.07006136E8</v>
      </c>
      <c r="E10" s="6">
        <v>3.6975838E7</v>
      </c>
      <c r="F10" s="6">
        <f t="shared" si="1"/>
        <v>770030298</v>
      </c>
      <c r="G10" s="6">
        <v>7.27559256E8</v>
      </c>
      <c r="H10" s="20">
        <v>4210.0</v>
      </c>
      <c r="I10" s="6">
        <v>1.0786118E7</v>
      </c>
      <c r="J10" s="4">
        <v>5902468.0</v>
      </c>
      <c r="K10" s="4">
        <f t="shared" si="2"/>
        <v>4883650</v>
      </c>
      <c r="L10" s="4">
        <f>I10+Apr!L10</f>
        <v>29597594.3</v>
      </c>
      <c r="M10" s="4">
        <f>J10+Apr!M10</f>
        <v>44831632.21</v>
      </c>
      <c r="N10" s="4">
        <f t="shared" si="3"/>
        <v>-15234037.91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6">
        <v>1.338790122E9</v>
      </c>
      <c r="E11" s="6">
        <v>1.747363E7</v>
      </c>
      <c r="F11" s="6">
        <f t="shared" si="1"/>
        <v>1321316492</v>
      </c>
      <c r="G11" s="6">
        <v>1.262531747E9</v>
      </c>
      <c r="H11" s="20">
        <v>2822.0</v>
      </c>
      <c r="I11" s="6">
        <v>5539370.0</v>
      </c>
      <c r="J11" s="4">
        <v>1.02641009E8</v>
      </c>
      <c r="K11" s="4">
        <f t="shared" si="2"/>
        <v>-97101639</v>
      </c>
      <c r="L11" s="4">
        <f>I11+Apr!L11</f>
        <v>403640665.7</v>
      </c>
      <c r="M11" s="4">
        <f>J11+Apr!M11</f>
        <v>378598916.7</v>
      </c>
      <c r="N11" s="4">
        <f t="shared" si="3"/>
        <v>25041748.98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3.45494042E8</v>
      </c>
      <c r="E12" s="6">
        <v>7536978.0</v>
      </c>
      <c r="F12" s="6">
        <f t="shared" si="1"/>
        <v>337957064</v>
      </c>
      <c r="G12" s="6">
        <v>2.3199504E8</v>
      </c>
      <c r="H12" s="20">
        <v>1775.0</v>
      </c>
      <c r="I12" s="6">
        <v>559688.0</v>
      </c>
      <c r="J12" s="4">
        <v>64773.0</v>
      </c>
      <c r="K12" s="4">
        <f t="shared" si="2"/>
        <v>494915</v>
      </c>
      <c r="L12" s="4">
        <f>I12+Apr!L12</f>
        <v>2582222.45</v>
      </c>
      <c r="M12" s="4">
        <f>J12+Apr!M12</f>
        <v>1341651.48</v>
      </c>
      <c r="N12" s="4">
        <f t="shared" si="3"/>
        <v>1240570.97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5.14887101E8</v>
      </c>
      <c r="E13" s="6">
        <v>8495304.0</v>
      </c>
      <c r="F13" s="6">
        <f t="shared" si="1"/>
        <v>506391797</v>
      </c>
      <c r="G13" s="6">
        <v>4.44226187E8</v>
      </c>
      <c r="H13" s="20">
        <v>1393.0</v>
      </c>
      <c r="I13" s="6">
        <v>509137.0</v>
      </c>
      <c r="J13" s="4">
        <v>1535932.0</v>
      </c>
      <c r="K13" s="4">
        <f t="shared" si="2"/>
        <v>-1026795</v>
      </c>
      <c r="L13" s="4">
        <f>I13+Apr!L13</f>
        <v>2841698.54</v>
      </c>
      <c r="M13" s="4">
        <f>J13+Apr!M13</f>
        <v>7026866.44</v>
      </c>
      <c r="N13" s="4">
        <f t="shared" si="3"/>
        <v>-4185167.9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4.107114137E9</v>
      </c>
      <c r="E14" s="6">
        <v>4.2256803E7</v>
      </c>
      <c r="F14" s="6">
        <f t="shared" si="1"/>
        <v>4064857334</v>
      </c>
      <c r="G14" s="6">
        <v>3.764677328E9</v>
      </c>
      <c r="H14" s="20">
        <v>15997.0</v>
      </c>
      <c r="I14" s="6">
        <v>1.3906297E7</v>
      </c>
      <c r="J14" s="4">
        <v>1.91260478E8</v>
      </c>
      <c r="K14" s="4">
        <f t="shared" si="2"/>
        <v>-177354181</v>
      </c>
      <c r="L14" s="4">
        <f>I14+Apr!L14</f>
        <v>119358120.5</v>
      </c>
      <c r="M14" s="4">
        <f>J14+Apr!M14</f>
        <v>292974724.5</v>
      </c>
      <c r="N14" s="4">
        <f t="shared" si="3"/>
        <v>-173616604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6">
        <v>1.02335589E8</v>
      </c>
      <c r="E15" s="6">
        <v>790199.0</v>
      </c>
      <c r="F15" s="6">
        <f t="shared" si="1"/>
        <v>101545390</v>
      </c>
      <c r="G15" s="6">
        <v>9.9688379E7</v>
      </c>
      <c r="H15" s="20">
        <v>541.0</v>
      </c>
      <c r="I15" s="6">
        <v>741530.0</v>
      </c>
      <c r="J15" s="4">
        <v>944418.0</v>
      </c>
      <c r="K15" s="4">
        <f t="shared" si="2"/>
        <v>-202888</v>
      </c>
      <c r="L15" s="4">
        <f>I15+Apr!L15</f>
        <v>6850274.73</v>
      </c>
      <c r="M15" s="4">
        <f>J15+Apr!M15</f>
        <v>6072351.93</v>
      </c>
      <c r="N15" s="4">
        <f t="shared" si="3"/>
        <v>777922.8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1.32203274E8</v>
      </c>
      <c r="E16" s="6">
        <v>2397846.0</v>
      </c>
      <c r="F16" s="6">
        <f t="shared" si="1"/>
        <v>129805428</v>
      </c>
      <c r="G16" s="6">
        <v>1.18915632E8</v>
      </c>
      <c r="H16" s="20">
        <v>50.0</v>
      </c>
      <c r="I16" s="6">
        <v>0.0</v>
      </c>
      <c r="J16" s="4">
        <v>75475.0</v>
      </c>
      <c r="K16" s="4">
        <f t="shared" si="2"/>
        <v>-75475</v>
      </c>
      <c r="L16" s="4">
        <f>I16+Apr!L16</f>
        <v>241.49</v>
      </c>
      <c r="M16" s="4">
        <f>J16+Apr!M16</f>
        <v>2461357.93</v>
      </c>
      <c r="N16" s="4">
        <f t="shared" si="3"/>
        <v>-2461116.44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1.330130478E9</v>
      </c>
      <c r="E17" s="6">
        <v>7.4573444E7</v>
      </c>
      <c r="F17" s="6">
        <f t="shared" si="1"/>
        <v>1255557034</v>
      </c>
      <c r="G17" s="6">
        <v>1.272397363E9</v>
      </c>
      <c r="H17" s="20">
        <v>12086.0</v>
      </c>
      <c r="I17" s="6">
        <v>0.0</v>
      </c>
      <c r="J17" s="4">
        <v>5781563.0</v>
      </c>
      <c r="K17" s="4">
        <f t="shared" si="2"/>
        <v>-5781563</v>
      </c>
      <c r="L17" s="4">
        <f>I17+Apr!L17</f>
        <v>0</v>
      </c>
      <c r="M17" s="4">
        <f>J17+Apr!M17</f>
        <v>61938177.74</v>
      </c>
      <c r="N17" s="4">
        <f t="shared" si="3"/>
        <v>-61938177.74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3.872439462E9</v>
      </c>
      <c r="E18" s="6">
        <v>2.02508627E8</v>
      </c>
      <c r="F18" s="6">
        <f t="shared" si="1"/>
        <v>3669930835</v>
      </c>
      <c r="G18" s="6">
        <v>3.29707471E9</v>
      </c>
      <c r="H18" s="20">
        <v>12041.0</v>
      </c>
      <c r="I18" s="6">
        <v>1977642.0</v>
      </c>
      <c r="J18" s="4">
        <v>3.33891E7</v>
      </c>
      <c r="K18" s="4">
        <f t="shared" si="2"/>
        <v>-31411458</v>
      </c>
      <c r="L18" s="4">
        <f>I18+Apr!L18</f>
        <v>15133859.7</v>
      </c>
      <c r="M18" s="4">
        <f>J18+Apr!M18</f>
        <v>137694641.5</v>
      </c>
      <c r="N18" s="4">
        <f t="shared" si="3"/>
        <v>-122560781.8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2.2017711716118E9</v>
      </c>
      <c r="E19" s="6">
        <v>1.10928996593E7</v>
      </c>
      <c r="F19" s="6">
        <f t="shared" si="1"/>
        <v>2190678272</v>
      </c>
      <c r="G19" s="6" t="str">
        <f t="shared" ref="G19:G22" si="4">VLOOKUP(C19,'[1]May 2023'!$A:$E,5,FALSE)</f>
        <v>#REF!</v>
      </c>
      <c r="H19" s="4">
        <v>5438.0</v>
      </c>
      <c r="I19" s="6">
        <v>1797727.18</v>
      </c>
      <c r="J19" s="4">
        <v>7003587.08</v>
      </c>
      <c r="K19" s="4">
        <f t="shared" si="2"/>
        <v>-5205859.9</v>
      </c>
      <c r="L19" s="4">
        <f>I19+Apr!L19</f>
        <v>138787531.4</v>
      </c>
      <c r="M19" s="4">
        <f>J19+Apr!M19</f>
        <v>21294945.33</v>
      </c>
      <c r="N19" s="4">
        <f t="shared" si="3"/>
        <v>117492586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9.8166714255537E9</v>
      </c>
      <c r="E20" s="6">
        <v>8.30435701295E7</v>
      </c>
      <c r="F20" s="6">
        <f t="shared" si="1"/>
        <v>9733627855</v>
      </c>
      <c r="G20" s="6" t="str">
        <f t="shared" si="4"/>
        <v>#REF!</v>
      </c>
      <c r="H20" s="4">
        <v>35498.0</v>
      </c>
      <c r="I20" s="6">
        <v>1.616979751E7</v>
      </c>
      <c r="J20" s="4">
        <v>6.7042576E7</v>
      </c>
      <c r="K20" s="4">
        <f t="shared" si="2"/>
        <v>-50872778.49</v>
      </c>
      <c r="L20" s="4">
        <f>I20+Apr!L20</f>
        <v>87758634.58</v>
      </c>
      <c r="M20" s="4">
        <f>J20+Apr!M20</f>
        <v>260768350.7</v>
      </c>
      <c r="N20" s="4">
        <f t="shared" si="3"/>
        <v>-173009716.2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3.286513562471E8</v>
      </c>
      <c r="E21" s="6">
        <v>1.913882733E7</v>
      </c>
      <c r="F21" s="6">
        <f t="shared" si="1"/>
        <v>309512528.9</v>
      </c>
      <c r="G21" s="6" t="str">
        <f t="shared" si="4"/>
        <v>#REF!</v>
      </c>
      <c r="H21" s="4">
        <v>998.0</v>
      </c>
      <c r="I21" s="6">
        <v>211920.79</v>
      </c>
      <c r="J21" s="4">
        <v>536416.84</v>
      </c>
      <c r="K21" s="4">
        <f t="shared" si="2"/>
        <v>-324496.05</v>
      </c>
      <c r="L21" s="4">
        <f>I21+Apr!L21</f>
        <v>1624149.08</v>
      </c>
      <c r="M21" s="4">
        <f>J21+Apr!M21</f>
        <v>4097591.64</v>
      </c>
      <c r="N21" s="4">
        <f t="shared" si="3"/>
        <v>-2473442.56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3.8580665179396E9</v>
      </c>
      <c r="E22" s="6">
        <v>1.35619217368E7</v>
      </c>
      <c r="F22" s="6">
        <f t="shared" si="1"/>
        <v>3844504596</v>
      </c>
      <c r="G22" s="6" t="str">
        <f t="shared" si="4"/>
        <v>#REF!</v>
      </c>
      <c r="H22" s="4">
        <v>26552.0</v>
      </c>
      <c r="I22" s="6">
        <v>8896361.54</v>
      </c>
      <c r="J22" s="4">
        <v>1.422773965E7</v>
      </c>
      <c r="K22" s="4">
        <f t="shared" si="2"/>
        <v>-5331378.11</v>
      </c>
      <c r="L22" s="4">
        <f>I22+Apr!L22</f>
        <v>267539058.2</v>
      </c>
      <c r="M22" s="4">
        <f>J22+Apr!M22</f>
        <v>199928103.4</v>
      </c>
      <c r="N22" s="4">
        <f t="shared" si="3"/>
        <v>67610954.82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8.683492437E9</v>
      </c>
      <c r="E23" s="6">
        <v>1.2709656E7</v>
      </c>
      <c r="F23" s="6">
        <f t="shared" si="1"/>
        <v>8670782781</v>
      </c>
      <c r="G23" s="6">
        <v>8.621744003E9</v>
      </c>
      <c r="H23" s="20">
        <v>14009.0</v>
      </c>
      <c r="I23" s="6">
        <v>1084781.0</v>
      </c>
      <c r="J23" s="4">
        <v>6.895413E7</v>
      </c>
      <c r="K23" s="4">
        <f t="shared" si="2"/>
        <v>-67869349</v>
      </c>
      <c r="L23" s="4">
        <f>I23+Apr!L23</f>
        <v>9007613</v>
      </c>
      <c r="M23" s="4">
        <f>J23+Apr!M23</f>
        <v>470993627.6</v>
      </c>
      <c r="N23" s="4">
        <f t="shared" si="3"/>
        <v>-461986014.6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6">
        <v>3.266404923E9</v>
      </c>
      <c r="E24" s="6">
        <v>2.0535171E7</v>
      </c>
      <c r="F24" s="6">
        <f t="shared" si="1"/>
        <v>3245869752</v>
      </c>
      <c r="G24" s="6">
        <v>3.079277001E9</v>
      </c>
      <c r="H24" s="20">
        <v>4432.0</v>
      </c>
      <c r="I24" s="6">
        <v>5.2238108E7</v>
      </c>
      <c r="J24" s="4">
        <v>3095006.0</v>
      </c>
      <c r="K24" s="4">
        <f t="shared" si="2"/>
        <v>49143102</v>
      </c>
      <c r="L24" s="4">
        <f>I24+Apr!L24</f>
        <v>203541281.5</v>
      </c>
      <c r="M24" s="4">
        <f>J24+Apr!M24</f>
        <v>15875726.32</v>
      </c>
      <c r="N24" s="4">
        <f t="shared" si="3"/>
        <v>187665555.2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6">
        <v>7.060451708E9</v>
      </c>
      <c r="E25" s="6">
        <v>1.19829389E8</v>
      </c>
      <c r="F25" s="6">
        <f t="shared" si="1"/>
        <v>6940622319</v>
      </c>
      <c r="G25" s="6">
        <v>6.783849788E9</v>
      </c>
      <c r="H25" s="20">
        <v>66621.0</v>
      </c>
      <c r="I25" s="6">
        <v>7.7429144E7</v>
      </c>
      <c r="J25" s="4">
        <v>1.16325853E8</v>
      </c>
      <c r="K25" s="4">
        <f t="shared" si="2"/>
        <v>-38896709</v>
      </c>
      <c r="L25" s="4">
        <f>I25+Apr!L25</f>
        <v>189101851.6</v>
      </c>
      <c r="M25" s="4">
        <f>J25+Apr!M25</f>
        <v>476410226.7</v>
      </c>
      <c r="N25" s="4">
        <f t="shared" si="3"/>
        <v>-287308375.1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6">
        <v>1.1945694172E10</v>
      </c>
      <c r="E26" s="6">
        <v>1.00045704E8</v>
      </c>
      <c r="F26" s="6">
        <f t="shared" si="1"/>
        <v>11845648468</v>
      </c>
      <c r="G26" s="6">
        <v>1.1794114479E10</v>
      </c>
      <c r="H26" s="20">
        <v>57340.0</v>
      </c>
      <c r="I26" s="6">
        <v>7.3810926E7</v>
      </c>
      <c r="J26" s="4">
        <v>1.73117339E8</v>
      </c>
      <c r="K26" s="4">
        <f t="shared" si="2"/>
        <v>-99306413</v>
      </c>
      <c r="L26" s="4">
        <f>I26+Apr!L26</f>
        <v>1071536026</v>
      </c>
      <c r="M26" s="4">
        <f>J26+Apr!M26</f>
        <v>1069565183</v>
      </c>
      <c r="N26" s="4">
        <f t="shared" si="3"/>
        <v>1970842.2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5.91099456E8</v>
      </c>
      <c r="E27" s="6">
        <v>2837752.0</v>
      </c>
      <c r="F27" s="6">
        <f t="shared" si="1"/>
        <v>588261704</v>
      </c>
      <c r="G27" s="6">
        <v>5.13442594E8</v>
      </c>
      <c r="H27" s="20">
        <v>1290.0</v>
      </c>
      <c r="I27" s="6">
        <v>317554.0</v>
      </c>
      <c r="J27" s="4">
        <v>1653648.0</v>
      </c>
      <c r="K27" s="4">
        <f t="shared" si="2"/>
        <v>-1336094</v>
      </c>
      <c r="L27" s="4">
        <f>I27+Apr!L27</f>
        <v>4498441.59</v>
      </c>
      <c r="M27" s="4">
        <f>J27+Apr!M27</f>
        <v>6219152.18</v>
      </c>
      <c r="N27" s="4">
        <f t="shared" si="3"/>
        <v>-1720710.59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20"/>
      <c r="I28" s="6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41</v>
      </c>
      <c r="D29" s="6">
        <v>1.97733142E8</v>
      </c>
      <c r="E29" s="6">
        <v>1637615.0</v>
      </c>
      <c r="F29" s="6">
        <f t="shared" ref="F29:F31" si="5">D29-E29</f>
        <v>196095527</v>
      </c>
      <c r="G29" s="6">
        <v>1.90411528E8</v>
      </c>
      <c r="H29" s="20">
        <v>1973.0</v>
      </c>
      <c r="I29" s="6">
        <v>5567706.0</v>
      </c>
      <c r="J29" s="4">
        <v>1011621.0</v>
      </c>
      <c r="K29" s="4">
        <f t="shared" ref="K29:K31" si="6">I29-J29</f>
        <v>4556085</v>
      </c>
      <c r="L29" s="4">
        <f>I29+Apr!L29</f>
        <v>93524266.15</v>
      </c>
      <c r="M29" s="4">
        <f>J29+Apr!M29</f>
        <v>5478876.84</v>
      </c>
      <c r="N29" s="4">
        <f t="shared" ref="N29:N31" si="7">L29-M29</f>
        <v>88045389.31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6">
        <v>3.34270971414E8</v>
      </c>
      <c r="E30" s="6">
        <v>6658410.769</v>
      </c>
      <c r="F30" s="6">
        <f t="shared" si="5"/>
        <v>327612560.6</v>
      </c>
      <c r="G30" s="6">
        <v>3.0089513306E8</v>
      </c>
      <c r="H30" s="20">
        <v>1393.0</v>
      </c>
      <c r="I30" s="6">
        <v>1677415.48</v>
      </c>
      <c r="J30" s="4">
        <v>4637868.46</v>
      </c>
      <c r="K30" s="4">
        <f t="shared" si="6"/>
        <v>-2960452.98</v>
      </c>
      <c r="L30" s="4">
        <f>I30+Apr!L30</f>
        <v>12684626.96</v>
      </c>
      <c r="M30" s="4">
        <f>J30+Apr!M30</f>
        <v>20017403.93</v>
      </c>
      <c r="N30" s="4">
        <f t="shared" si="7"/>
        <v>-7332776.97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6">
        <v>5.01758357E8</v>
      </c>
      <c r="E31" s="6">
        <v>2296560.0</v>
      </c>
      <c r="F31" s="6">
        <f t="shared" si="5"/>
        <v>499461797</v>
      </c>
      <c r="G31" s="6">
        <v>4.95648024E8</v>
      </c>
      <c r="H31" s="20">
        <v>504922.0</v>
      </c>
      <c r="I31" s="6">
        <v>1.7776509E7</v>
      </c>
      <c r="J31" s="4">
        <v>1.4758957E7</v>
      </c>
      <c r="K31" s="4">
        <f t="shared" si="6"/>
        <v>3017552</v>
      </c>
      <c r="L31" s="4">
        <f>I31+Apr!L31</f>
        <v>135836614.4</v>
      </c>
      <c r="M31" s="4">
        <f>J31+Apr!M31</f>
        <v>115240915.4</v>
      </c>
      <c r="N31" s="4">
        <f t="shared" si="7"/>
        <v>20595698.92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6"/>
      <c r="E32" s="6"/>
      <c r="F32" s="6"/>
      <c r="G32" s="6"/>
      <c r="H32" s="20"/>
      <c r="I32" s="6"/>
      <c r="J32" s="4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6">
        <v>2.143737388E9</v>
      </c>
      <c r="E33" s="6">
        <v>1645707.0</v>
      </c>
      <c r="F33" s="6">
        <f>D33-E33</f>
        <v>2142091681</v>
      </c>
      <c r="G33" s="6">
        <v>2.121367148E9</v>
      </c>
      <c r="H33" s="20">
        <v>3254.0</v>
      </c>
      <c r="I33" s="6">
        <v>0.0</v>
      </c>
      <c r="J33" s="4">
        <v>2.293411E7</v>
      </c>
      <c r="K33" s="4">
        <f>I33-J33</f>
        <v>-22934110</v>
      </c>
      <c r="L33" s="4">
        <f>I33+Apr!L33</f>
        <v>26284151</v>
      </c>
      <c r="M33" s="4">
        <f>J33+Apr!M33</f>
        <v>103925991</v>
      </c>
      <c r="N33" s="4">
        <f>L33-M33</f>
        <v>-77641840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54">
        <f t="shared" ref="D34:N34" si="8">SUM(D9:D33)</f>
        <v>68060486421</v>
      </c>
      <c r="E34" s="54">
        <f t="shared" si="8"/>
        <v>829750483.6</v>
      </c>
      <c r="F34" s="54">
        <f t="shared" si="8"/>
        <v>67230735937</v>
      </c>
      <c r="G34" s="54" t="str">
        <f t="shared" si="8"/>
        <v>#REF!</v>
      </c>
      <c r="H34" s="27">
        <f t="shared" si="8"/>
        <v>781748</v>
      </c>
      <c r="I34" s="54">
        <f t="shared" si="8"/>
        <v>312298591.5</v>
      </c>
      <c r="J34" s="54">
        <f t="shared" si="8"/>
        <v>896074043</v>
      </c>
      <c r="K34" s="54">
        <f t="shared" si="8"/>
        <v>-583775451.5</v>
      </c>
      <c r="L34" s="54">
        <f t="shared" si="8"/>
        <v>2869413078</v>
      </c>
      <c r="M34" s="54">
        <f t="shared" si="8"/>
        <v>3933814969</v>
      </c>
      <c r="N34" s="54">
        <f t="shared" si="8"/>
        <v>-1064401890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6"/>
      <c r="E35" s="6"/>
      <c r="F35" s="6"/>
      <c r="G35" s="6"/>
      <c r="H35" s="20"/>
      <c r="I35" s="6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v>3.4293712447000004E7</v>
      </c>
      <c r="E36" s="6">
        <v>1181708.7555</v>
      </c>
      <c r="F36" s="6">
        <f t="shared" ref="F36:F37" si="9">D36-E36</f>
        <v>33112003.69</v>
      </c>
      <c r="G36" s="6">
        <v>0.0</v>
      </c>
      <c r="H36" s="20">
        <v>54.0</v>
      </c>
      <c r="I36" s="6">
        <v>58657.1</v>
      </c>
      <c r="J36" s="6">
        <v>258449.466</v>
      </c>
      <c r="K36" s="4">
        <f t="shared" ref="K36:K37" si="10">I36-J36</f>
        <v>-199792.366</v>
      </c>
      <c r="L36" s="4">
        <f>I36+Apr!L36</f>
        <v>148051.1668</v>
      </c>
      <c r="M36" s="4">
        <f>J36+Apr!M36</f>
        <v>328777.2794</v>
      </c>
      <c r="N36" s="4">
        <f t="shared" ref="N36:N37" si="11">L36-M36</f>
        <v>-180726.1126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6">
        <v>1.933831702E9</v>
      </c>
      <c r="E37" s="6">
        <v>5.8437981E7</v>
      </c>
      <c r="F37" s="6">
        <f t="shared" si="9"/>
        <v>1875393721</v>
      </c>
      <c r="G37" s="6">
        <v>0.0</v>
      </c>
      <c r="H37" s="20">
        <v>2886.0</v>
      </c>
      <c r="I37" s="6">
        <v>6687779.0</v>
      </c>
      <c r="J37" s="6">
        <v>7259235.0</v>
      </c>
      <c r="K37" s="4">
        <f t="shared" si="10"/>
        <v>-571456</v>
      </c>
      <c r="L37" s="4">
        <f>I37+Apr!L37</f>
        <v>26771274.47</v>
      </c>
      <c r="M37" s="4">
        <f>J37+Apr!M37</f>
        <v>89871723.43</v>
      </c>
      <c r="N37" s="4">
        <f t="shared" si="11"/>
        <v>-63100448.96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54">
        <f t="shared" ref="D38:N38" si="12">SUM(D36:D37)</f>
        <v>1968125414</v>
      </c>
      <c r="E38" s="54">
        <f t="shared" si="12"/>
        <v>59619689.76</v>
      </c>
      <c r="F38" s="54">
        <f t="shared" si="12"/>
        <v>1908505725</v>
      </c>
      <c r="G38" s="54">
        <f t="shared" si="12"/>
        <v>0</v>
      </c>
      <c r="H38" s="27">
        <f t="shared" si="12"/>
        <v>2940</v>
      </c>
      <c r="I38" s="54">
        <f t="shared" si="12"/>
        <v>6746436.1</v>
      </c>
      <c r="J38" s="54">
        <f t="shared" si="12"/>
        <v>7517684.466</v>
      </c>
      <c r="K38" s="54">
        <f t="shared" si="12"/>
        <v>-771248.366</v>
      </c>
      <c r="L38" s="54">
        <f t="shared" si="12"/>
        <v>26919325.64</v>
      </c>
      <c r="M38" s="54">
        <f t="shared" si="12"/>
        <v>90200500.71</v>
      </c>
      <c r="N38" s="54">
        <f t="shared" si="12"/>
        <v>-63281175.07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54">
        <f t="shared" ref="D39:N39" si="13">D34+D38</f>
        <v>70028611835</v>
      </c>
      <c r="E39" s="54">
        <f t="shared" si="13"/>
        <v>889370173.4</v>
      </c>
      <c r="F39" s="54">
        <f t="shared" si="13"/>
        <v>69139241662</v>
      </c>
      <c r="G39" s="54" t="str">
        <f t="shared" si="13"/>
        <v>#REF!</v>
      </c>
      <c r="H39" s="27">
        <f t="shared" si="13"/>
        <v>784688</v>
      </c>
      <c r="I39" s="54">
        <f t="shared" si="13"/>
        <v>319045027.6</v>
      </c>
      <c r="J39" s="54">
        <f t="shared" si="13"/>
        <v>903591727.5</v>
      </c>
      <c r="K39" s="54">
        <f t="shared" si="13"/>
        <v>-584546699.9</v>
      </c>
      <c r="L39" s="54">
        <f t="shared" si="13"/>
        <v>2896332404</v>
      </c>
      <c r="M39" s="54">
        <f t="shared" si="13"/>
        <v>4024015470</v>
      </c>
      <c r="N39" s="54">
        <f t="shared" si="13"/>
        <v>-1127683066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6"/>
      <c r="E40" s="6"/>
      <c r="F40" s="6"/>
      <c r="G40" s="6"/>
      <c r="H40" s="6"/>
      <c r="I40" s="6"/>
      <c r="J40" s="6"/>
      <c r="K40" s="6"/>
      <c r="L40" s="6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6"/>
      <c r="E41" s="6"/>
      <c r="F41" s="6"/>
      <c r="G41" s="6"/>
      <c r="H41" s="20"/>
      <c r="I41" s="6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6">
        <v>1.36647808E8</v>
      </c>
      <c r="E42" s="6">
        <v>2.1415098E7</v>
      </c>
      <c r="F42" s="6">
        <f t="shared" ref="F42:F51" si="14">D42-E42</f>
        <v>115232710</v>
      </c>
      <c r="G42" s="6">
        <v>2.8457159E7</v>
      </c>
      <c r="H42" s="20">
        <v>723.0</v>
      </c>
      <c r="I42" s="6">
        <v>221981.0</v>
      </c>
      <c r="J42" s="4">
        <v>446662.0</v>
      </c>
      <c r="K42" s="4">
        <f t="shared" ref="K42:K51" si="15">I42-J42</f>
        <v>-224681</v>
      </c>
      <c r="L42" s="4">
        <f>I42+Apr!L42</f>
        <v>1527190.06</v>
      </c>
      <c r="M42" s="4">
        <f>J42+Apr!M42</f>
        <v>1297796</v>
      </c>
      <c r="N42" s="4">
        <f t="shared" ref="N42:N51" si="16">L42-M42</f>
        <v>229394.06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6.90790882E8</v>
      </c>
      <c r="E43" s="6">
        <v>1.16806029E8</v>
      </c>
      <c r="F43" s="6">
        <f t="shared" si="14"/>
        <v>573984853</v>
      </c>
      <c r="G43" s="6">
        <v>2.20018253E8</v>
      </c>
      <c r="H43" s="20">
        <v>2404.0</v>
      </c>
      <c r="I43" s="6">
        <v>1022695.0</v>
      </c>
      <c r="J43" s="4">
        <v>7505061.0</v>
      </c>
      <c r="K43" s="4">
        <f t="shared" si="15"/>
        <v>-6482366</v>
      </c>
      <c r="L43" s="4">
        <f>I43+Apr!L43</f>
        <v>4564135.09</v>
      </c>
      <c r="M43" s="4">
        <f>J43+Apr!M43</f>
        <v>25262335.47</v>
      </c>
      <c r="N43" s="4">
        <f t="shared" si="16"/>
        <v>-20698200.38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1.058040975E9</v>
      </c>
      <c r="E44" s="6">
        <v>1.0934047E7</v>
      </c>
      <c r="F44" s="6">
        <f t="shared" si="14"/>
        <v>1047106928</v>
      </c>
      <c r="G44" s="6">
        <v>5.3675209E8</v>
      </c>
      <c r="H44" s="20">
        <v>4610.0</v>
      </c>
      <c r="I44" s="6">
        <v>1221623.0</v>
      </c>
      <c r="J44" s="4">
        <v>4671927.0</v>
      </c>
      <c r="K44" s="4">
        <f t="shared" si="15"/>
        <v>-3450304</v>
      </c>
      <c r="L44" s="4">
        <f>I44+Apr!L44</f>
        <v>8380839.55</v>
      </c>
      <c r="M44" s="4">
        <f>J44+Apr!M44</f>
        <v>26412237.08</v>
      </c>
      <c r="N44" s="4">
        <f t="shared" si="16"/>
        <v>-18031397.53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2.86034684E8</v>
      </c>
      <c r="E45" s="6">
        <v>2236080.0</v>
      </c>
      <c r="F45" s="6">
        <f t="shared" si="14"/>
        <v>283798604</v>
      </c>
      <c r="G45" s="6">
        <v>1.73091479E8</v>
      </c>
      <c r="H45" s="20">
        <v>245.0</v>
      </c>
      <c r="I45" s="6">
        <v>8518810.0</v>
      </c>
      <c r="J45" s="4">
        <v>1237200.0</v>
      </c>
      <c r="K45" s="4">
        <f t="shared" si="15"/>
        <v>7281610</v>
      </c>
      <c r="L45" s="4">
        <f>I45+Apr!L45</f>
        <v>31276699.27</v>
      </c>
      <c r="M45" s="4">
        <f>J45+Apr!M45</f>
        <v>43783719.26</v>
      </c>
      <c r="N45" s="4">
        <f t="shared" si="16"/>
        <v>-12507019.99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3.50295727E8</v>
      </c>
      <c r="E46" s="6">
        <v>4211386.0</v>
      </c>
      <c r="F46" s="6">
        <f t="shared" si="14"/>
        <v>346084341</v>
      </c>
      <c r="G46" s="6">
        <v>1.55516563E8</v>
      </c>
      <c r="H46" s="20">
        <v>54.0</v>
      </c>
      <c r="I46" s="6">
        <v>0.0</v>
      </c>
      <c r="J46" s="4">
        <v>0.0</v>
      </c>
      <c r="K46" s="4">
        <f t="shared" si="15"/>
        <v>0</v>
      </c>
      <c r="L46" s="4">
        <f>I46+Apr!L46</f>
        <v>0</v>
      </c>
      <c r="M46" s="4">
        <f>J46+Apr!M46</f>
        <v>1508185</v>
      </c>
      <c r="N46" s="4">
        <f t="shared" si="16"/>
        <v>-1508185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5.53955165E8</v>
      </c>
      <c r="E47" s="6">
        <v>1.8266913E7</v>
      </c>
      <c r="F47" s="6">
        <f t="shared" si="14"/>
        <v>535688252</v>
      </c>
      <c r="G47" s="6">
        <v>2.69756246E8</v>
      </c>
      <c r="H47" s="20">
        <v>10034.0</v>
      </c>
      <c r="I47" s="6">
        <v>202241.0</v>
      </c>
      <c r="J47" s="4">
        <v>4585190.0</v>
      </c>
      <c r="K47" s="4">
        <f t="shared" si="15"/>
        <v>-4382949</v>
      </c>
      <c r="L47" s="4">
        <f>I47+Apr!L47</f>
        <v>2245705.86</v>
      </c>
      <c r="M47" s="4">
        <f>J47+Apr!M47</f>
        <v>25247732.57</v>
      </c>
      <c r="N47" s="4">
        <f t="shared" si="16"/>
        <v>-23002026.71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6">
        <v>2.100875342E9</v>
      </c>
      <c r="E48" s="6">
        <v>5.2643497E7</v>
      </c>
      <c r="F48" s="6">
        <f t="shared" si="14"/>
        <v>2048231845</v>
      </c>
      <c r="G48" s="6">
        <v>9.88913624E8</v>
      </c>
      <c r="H48" s="20">
        <v>8090.0</v>
      </c>
      <c r="I48" s="6">
        <v>2337885.0</v>
      </c>
      <c r="J48" s="4">
        <v>9771921.0</v>
      </c>
      <c r="K48" s="4">
        <f t="shared" si="15"/>
        <v>-7434036</v>
      </c>
      <c r="L48" s="4">
        <f>I48+Apr!L48</f>
        <v>10229930.04</v>
      </c>
      <c r="M48" s="4">
        <f>J48+Apr!M48</f>
        <v>67535372.39</v>
      </c>
      <c r="N48" s="4">
        <f t="shared" si="16"/>
        <v>-57305442.35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6">
        <v>1.3401584E8</v>
      </c>
      <c r="E49" s="6">
        <v>554613.0</v>
      </c>
      <c r="F49" s="6">
        <f t="shared" si="14"/>
        <v>133461227</v>
      </c>
      <c r="G49" s="6">
        <v>7.4873921E7</v>
      </c>
      <c r="H49" s="20">
        <v>199.0</v>
      </c>
      <c r="I49" s="6">
        <v>19998.0</v>
      </c>
      <c r="J49" s="4">
        <v>3713275.0</v>
      </c>
      <c r="K49" s="4">
        <f t="shared" si="15"/>
        <v>-3693277</v>
      </c>
      <c r="L49" s="4">
        <f>I49+Apr!L49</f>
        <v>236292.67</v>
      </c>
      <c r="M49" s="4">
        <f>J49+Apr!M49</f>
        <v>5451242.55</v>
      </c>
      <c r="N49" s="4">
        <f t="shared" si="16"/>
        <v>-5214949.88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7.458714123E9</v>
      </c>
      <c r="E50" s="6">
        <v>3.01328292E8</v>
      </c>
      <c r="F50" s="6">
        <f t="shared" si="14"/>
        <v>7157385831</v>
      </c>
      <c r="G50" s="6">
        <v>3.375029819E9</v>
      </c>
      <c r="H50" s="20">
        <v>53783.0</v>
      </c>
      <c r="I50" s="6">
        <v>1.4328996E7</v>
      </c>
      <c r="J50" s="4">
        <v>6.2936026E7</v>
      </c>
      <c r="K50" s="4">
        <f t="shared" si="15"/>
        <v>-48607030</v>
      </c>
      <c r="L50" s="4">
        <f>I50+Apr!L50</f>
        <v>47600382.15</v>
      </c>
      <c r="M50" s="4">
        <f>J50+Apr!M50</f>
        <v>255780746.2</v>
      </c>
      <c r="N50" s="4">
        <f t="shared" si="16"/>
        <v>-208180364.1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6">
        <v>1.137193258E9</v>
      </c>
      <c r="E51" s="6">
        <v>6142717.0</v>
      </c>
      <c r="F51" s="6">
        <f t="shared" si="14"/>
        <v>1131050541</v>
      </c>
      <c r="G51" s="6">
        <v>5.85477393E8</v>
      </c>
      <c r="H51" s="20">
        <v>4998.0</v>
      </c>
      <c r="I51" s="6">
        <v>0.0</v>
      </c>
      <c r="J51" s="4">
        <v>3.295769E7</v>
      </c>
      <c r="K51" s="4">
        <f t="shared" si="15"/>
        <v>-32957690</v>
      </c>
      <c r="L51" s="4">
        <f>I51+Apr!L51</f>
        <v>0</v>
      </c>
      <c r="M51" s="4">
        <f>J51+Apr!M51</f>
        <v>51933837.81</v>
      </c>
      <c r="N51" s="4">
        <f t="shared" si="16"/>
        <v>-51933837.81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6"/>
      <c r="E52" s="6"/>
      <c r="F52" s="6"/>
      <c r="G52" s="6"/>
      <c r="H52" s="20"/>
      <c r="I52" s="6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7.826837E7</v>
      </c>
      <c r="E53" s="6">
        <v>445603.0</v>
      </c>
      <c r="F53" s="6">
        <f t="shared" ref="F53:F55" si="17">D53-E53</f>
        <v>77822767</v>
      </c>
      <c r="G53" s="6">
        <v>2.2666877E7</v>
      </c>
      <c r="H53" s="20">
        <v>1090.0</v>
      </c>
      <c r="I53" s="6">
        <v>387279.0</v>
      </c>
      <c r="J53" s="4">
        <v>579057.0</v>
      </c>
      <c r="K53" s="4">
        <f t="shared" ref="K53:K55" si="18">I53-J53</f>
        <v>-191778</v>
      </c>
      <c r="L53" s="4">
        <f>I53+Apr!L53</f>
        <v>2512332.2</v>
      </c>
      <c r="M53" s="4">
        <f>J53+Apr!M53</f>
        <v>950448.55</v>
      </c>
      <c r="N53" s="4">
        <f t="shared" ref="N53:N55" si="19">L53-M53</f>
        <v>1561883.65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5.5428473E7</v>
      </c>
      <c r="E54" s="6">
        <v>267004.0</v>
      </c>
      <c r="F54" s="6">
        <f t="shared" si="17"/>
        <v>55161469</v>
      </c>
      <c r="G54" s="6">
        <v>4.3205949E7</v>
      </c>
      <c r="H54" s="20">
        <v>425.0</v>
      </c>
      <c r="I54" s="6">
        <v>92950.0</v>
      </c>
      <c r="J54" s="4">
        <v>1211823.0</v>
      </c>
      <c r="K54" s="4">
        <f t="shared" si="18"/>
        <v>-1118873</v>
      </c>
      <c r="L54" s="4">
        <f>I54+Apr!L54</f>
        <v>918197</v>
      </c>
      <c r="M54" s="4">
        <f>J54+Apr!M54</f>
        <v>1822589.19</v>
      </c>
      <c r="N54" s="4">
        <f t="shared" si="19"/>
        <v>-904392.19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6">
        <v>4.7475569E7</v>
      </c>
      <c r="E55" s="6">
        <v>196913.0</v>
      </c>
      <c r="F55" s="6">
        <f t="shared" si="17"/>
        <v>47278656</v>
      </c>
      <c r="G55" s="6">
        <v>3.9423663E7</v>
      </c>
      <c r="H55" s="20">
        <v>199.0</v>
      </c>
      <c r="I55" s="6">
        <v>77017.0</v>
      </c>
      <c r="J55" s="4">
        <v>1030.0</v>
      </c>
      <c r="K55" s="4">
        <f t="shared" si="18"/>
        <v>75987</v>
      </c>
      <c r="L55" s="4">
        <f>I55+Apr!L55</f>
        <v>306967</v>
      </c>
      <c r="M55" s="4">
        <f>J55+Apr!M55</f>
        <v>103833.96</v>
      </c>
      <c r="N55" s="4">
        <f t="shared" si="19"/>
        <v>203133.04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54">
        <f t="shared" ref="D56:N56" si="20">SUM(D42:D55)</f>
        <v>14087736216</v>
      </c>
      <c r="E56" s="54">
        <f t="shared" si="20"/>
        <v>535448192</v>
      </c>
      <c r="F56" s="54">
        <f t="shared" si="20"/>
        <v>13552288024</v>
      </c>
      <c r="G56" s="54">
        <f t="shared" si="20"/>
        <v>6513183036</v>
      </c>
      <c r="H56" s="27">
        <f t="shared" si="20"/>
        <v>86854</v>
      </c>
      <c r="I56" s="54">
        <f t="shared" si="20"/>
        <v>28431475</v>
      </c>
      <c r="J56" s="54">
        <f t="shared" si="20"/>
        <v>129616862</v>
      </c>
      <c r="K56" s="54">
        <f t="shared" si="20"/>
        <v>-101185387</v>
      </c>
      <c r="L56" s="54">
        <f t="shared" si="20"/>
        <v>109798670.9</v>
      </c>
      <c r="M56" s="54">
        <f t="shared" si="20"/>
        <v>507090076.1</v>
      </c>
      <c r="N56" s="54">
        <f t="shared" si="20"/>
        <v>-397291405.2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6"/>
      <c r="E57" s="6"/>
      <c r="F57" s="6"/>
      <c r="G57" s="6"/>
      <c r="H57" s="20"/>
      <c r="I57" s="6"/>
      <c r="J57" s="4"/>
      <c r="K57" s="4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108</v>
      </c>
      <c r="D58" s="6">
        <v>7.2938472E7</v>
      </c>
      <c r="E58" s="6">
        <v>401259.0</v>
      </c>
      <c r="F58" s="6">
        <f t="shared" ref="F58:F61" si="21">D58-E58</f>
        <v>72537213</v>
      </c>
      <c r="G58" s="6">
        <v>0.0</v>
      </c>
      <c r="H58" s="20">
        <v>51.0</v>
      </c>
      <c r="I58" s="6">
        <v>0.0</v>
      </c>
      <c r="J58" s="6">
        <v>0.0</v>
      </c>
      <c r="K58" s="4">
        <f t="shared" ref="K58:K61" si="22">I58-J58</f>
        <v>0</v>
      </c>
      <c r="L58" s="4">
        <f>I58+Apr!L58</f>
        <v>0</v>
      </c>
      <c r="M58" s="4">
        <f>J58+Apr!M58</f>
        <v>447875.7492</v>
      </c>
      <c r="N58" s="4">
        <f t="shared" ref="N58:N61" si="23">L58-M58</f>
        <v>-447875.7492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6">
        <v>3.40970285E8</v>
      </c>
      <c r="E59" s="6">
        <v>2.6836143E7</v>
      </c>
      <c r="F59" s="6">
        <f t="shared" si="21"/>
        <v>314134142</v>
      </c>
      <c r="G59" s="6">
        <v>1.66508689E8</v>
      </c>
      <c r="H59" s="20">
        <v>256.0</v>
      </c>
      <c r="I59" s="6">
        <v>0.0</v>
      </c>
      <c r="J59" s="6">
        <v>2242046.0</v>
      </c>
      <c r="K59" s="4">
        <f t="shared" si="22"/>
        <v>-2242046</v>
      </c>
      <c r="L59" s="4">
        <f>I59+Apr!L59</f>
        <v>5631.4684</v>
      </c>
      <c r="M59" s="4">
        <f>J59+Apr!M59</f>
        <v>13097263.77</v>
      </c>
      <c r="N59" s="4">
        <f t="shared" si="23"/>
        <v>-13091632.3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v>1.566699002E9</v>
      </c>
      <c r="E60" s="6">
        <v>2.7132749E7</v>
      </c>
      <c r="F60" s="6">
        <f t="shared" si="21"/>
        <v>1539566253</v>
      </c>
      <c r="G60" s="6">
        <v>0.0</v>
      </c>
      <c r="H60" s="20">
        <v>4144.0</v>
      </c>
      <c r="I60" s="6">
        <v>7548543.0</v>
      </c>
      <c r="J60" s="6">
        <v>1.9456611E7</v>
      </c>
      <c r="K60" s="4">
        <f t="shared" si="22"/>
        <v>-11908068</v>
      </c>
      <c r="L60" s="4">
        <f>I60+Apr!L60</f>
        <v>10930224.29</v>
      </c>
      <c r="M60" s="4">
        <f>J60+Apr!M60</f>
        <v>69125533.24</v>
      </c>
      <c r="N60" s="4">
        <f t="shared" si="23"/>
        <v>-58195308.95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6">
        <v>2.7470969E8</v>
      </c>
      <c r="E61" s="6">
        <v>3010721.0</v>
      </c>
      <c r="F61" s="6">
        <f t="shared" si="21"/>
        <v>271698969</v>
      </c>
      <c r="G61" s="6">
        <v>0.0</v>
      </c>
      <c r="H61" s="20">
        <v>731.0</v>
      </c>
      <c r="I61" s="6">
        <v>4606579.0</v>
      </c>
      <c r="J61" s="6">
        <v>1209537.0</v>
      </c>
      <c r="K61" s="4">
        <f t="shared" si="22"/>
        <v>3397042</v>
      </c>
      <c r="L61" s="4">
        <f>I61+Apr!L61</f>
        <v>5279578.064</v>
      </c>
      <c r="M61" s="4">
        <f>J61+Apr!M61</f>
        <v>33817830.42</v>
      </c>
      <c r="N61" s="4">
        <f t="shared" si="23"/>
        <v>-28538252.35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54">
        <f t="shared" ref="D62:N62" si="24">SUM(D58:D61)</f>
        <v>2255317449</v>
      </c>
      <c r="E62" s="54">
        <f t="shared" si="24"/>
        <v>57380872</v>
      </c>
      <c r="F62" s="54">
        <f t="shared" si="24"/>
        <v>2197936577</v>
      </c>
      <c r="G62" s="54">
        <f t="shared" si="24"/>
        <v>166508689</v>
      </c>
      <c r="H62" s="27">
        <f t="shared" si="24"/>
        <v>5182</v>
      </c>
      <c r="I62" s="54">
        <f t="shared" si="24"/>
        <v>12155122</v>
      </c>
      <c r="J62" s="54">
        <f t="shared" si="24"/>
        <v>22908194</v>
      </c>
      <c r="K62" s="54">
        <f t="shared" si="24"/>
        <v>-10753072</v>
      </c>
      <c r="L62" s="54">
        <f t="shared" si="24"/>
        <v>16215433.82</v>
      </c>
      <c r="M62" s="54">
        <f t="shared" si="24"/>
        <v>116488503.2</v>
      </c>
      <c r="N62" s="54">
        <f t="shared" si="24"/>
        <v>-100273069.4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54">
        <f t="shared" ref="D63:N63" si="25">D56+D62</f>
        <v>16343053665</v>
      </c>
      <c r="E63" s="54">
        <f t="shared" si="25"/>
        <v>592829064</v>
      </c>
      <c r="F63" s="54">
        <f t="shared" si="25"/>
        <v>15750224601</v>
      </c>
      <c r="G63" s="54">
        <f t="shared" si="25"/>
        <v>6679691725</v>
      </c>
      <c r="H63" s="27">
        <f t="shared" si="25"/>
        <v>92036</v>
      </c>
      <c r="I63" s="54">
        <f t="shared" si="25"/>
        <v>40586597</v>
      </c>
      <c r="J63" s="54">
        <f t="shared" si="25"/>
        <v>152525056</v>
      </c>
      <c r="K63" s="54">
        <f t="shared" si="25"/>
        <v>-111938459</v>
      </c>
      <c r="L63" s="54">
        <f t="shared" si="25"/>
        <v>126014104.7</v>
      </c>
      <c r="M63" s="54">
        <f t="shared" si="25"/>
        <v>623578579.2</v>
      </c>
      <c r="N63" s="54">
        <f t="shared" si="25"/>
        <v>-497564474.5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6"/>
      <c r="E64" s="6"/>
      <c r="F64" s="6"/>
      <c r="G64" s="6"/>
      <c r="H64" s="20"/>
      <c r="I64" s="6"/>
      <c r="J64" s="4"/>
      <c r="K64" s="4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6"/>
      <c r="E65" s="6"/>
      <c r="F65" s="6"/>
      <c r="G65" s="6"/>
      <c r="H65" s="20"/>
      <c r="I65" s="6"/>
      <c r="J65" s="4"/>
      <c r="K65" s="4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6">
        <v>3.8749691626E10</v>
      </c>
      <c r="E66" s="6">
        <v>2.49919505E8</v>
      </c>
      <c r="F66" s="6">
        <f t="shared" ref="F66:F76" si="26">D66-E66</f>
        <v>38499772121</v>
      </c>
      <c r="G66" s="6">
        <v>9.1995308E8</v>
      </c>
      <c r="H66" s="20">
        <v>24428.0</v>
      </c>
      <c r="I66" s="6">
        <v>1.877639E8</v>
      </c>
      <c r="J66" s="4">
        <v>4.80238531E8</v>
      </c>
      <c r="K66" s="4">
        <f t="shared" ref="K66:K76" si="27">I66-J66</f>
        <v>-292474631</v>
      </c>
      <c r="L66" s="4">
        <f>I66+Apr!L66</f>
        <v>1231807676</v>
      </c>
      <c r="M66" s="4">
        <f>J66+Apr!M66</f>
        <v>3077432257</v>
      </c>
      <c r="N66" s="4">
        <f t="shared" ref="N66:N76" si="28">L66-M66</f>
        <v>-1845624581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4.95546274E8</v>
      </c>
      <c r="E67" s="6">
        <v>4507434.0</v>
      </c>
      <c r="F67" s="6">
        <f t="shared" si="26"/>
        <v>491038840</v>
      </c>
      <c r="G67" s="6">
        <v>0.0</v>
      </c>
      <c r="H67" s="20">
        <v>1079.0</v>
      </c>
      <c r="I67" s="6">
        <v>4367927.0</v>
      </c>
      <c r="J67" s="4">
        <v>6469374.0</v>
      </c>
      <c r="K67" s="4">
        <f t="shared" si="27"/>
        <v>-2101447</v>
      </c>
      <c r="L67" s="4">
        <f>I67+Apr!L67</f>
        <v>53158261.54</v>
      </c>
      <c r="M67" s="4">
        <f>J67+Apr!M67</f>
        <v>32077667.25</v>
      </c>
      <c r="N67" s="4">
        <f t="shared" si="28"/>
        <v>21080594.29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6">
        <v>9.876306E8</v>
      </c>
      <c r="E68" s="6">
        <v>2.2942691E7</v>
      </c>
      <c r="F68" s="6">
        <f t="shared" si="26"/>
        <v>964687909</v>
      </c>
      <c r="G68" s="6">
        <v>0.0</v>
      </c>
      <c r="H68" s="20">
        <v>1940.0</v>
      </c>
      <c r="I68" s="6">
        <v>1518412.0</v>
      </c>
      <c r="J68" s="4">
        <v>1.368975E7</v>
      </c>
      <c r="K68" s="4">
        <f t="shared" si="27"/>
        <v>-12171338</v>
      </c>
      <c r="L68" s="4">
        <f>I68+Apr!L68</f>
        <v>25220632.61</v>
      </c>
      <c r="M68" s="4">
        <f>J68+Apr!M68</f>
        <v>74552775.43</v>
      </c>
      <c r="N68" s="4">
        <f t="shared" si="28"/>
        <v>-49332142.82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6">
        <v>2.00436104E8</v>
      </c>
      <c r="E69" s="6">
        <v>180312.0</v>
      </c>
      <c r="F69" s="6">
        <f t="shared" si="26"/>
        <v>200255792</v>
      </c>
      <c r="G69" s="6">
        <v>4900000.0</v>
      </c>
      <c r="H69" s="20">
        <v>206.0</v>
      </c>
      <c r="I69" s="6">
        <v>1257961.0</v>
      </c>
      <c r="J69" s="4">
        <v>94464.0</v>
      </c>
      <c r="K69" s="4">
        <f t="shared" si="27"/>
        <v>1163497</v>
      </c>
      <c r="L69" s="4">
        <f>I69+Apr!L69</f>
        <v>5122008.85</v>
      </c>
      <c r="M69" s="4">
        <f>J69+Apr!M69</f>
        <v>4352062.64</v>
      </c>
      <c r="N69" s="4">
        <f t="shared" si="28"/>
        <v>769946.21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1.526311889E9</v>
      </c>
      <c r="E70" s="6">
        <v>1.3343154E7</v>
      </c>
      <c r="F70" s="6">
        <f t="shared" si="26"/>
        <v>1512968735</v>
      </c>
      <c r="G70" s="6">
        <v>0.0</v>
      </c>
      <c r="H70" s="20">
        <v>1851.0</v>
      </c>
      <c r="I70" s="6">
        <v>1.69646484E8</v>
      </c>
      <c r="J70" s="4">
        <v>1.3870528E7</v>
      </c>
      <c r="K70" s="4">
        <f t="shared" si="27"/>
        <v>155775956</v>
      </c>
      <c r="L70" s="4">
        <f>I70+Apr!L70</f>
        <v>256016230.1</v>
      </c>
      <c r="M70" s="4">
        <f>J70+Apr!M70</f>
        <v>48959128.67</v>
      </c>
      <c r="N70" s="4">
        <f t="shared" si="28"/>
        <v>207057101.5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7.65465051E8</v>
      </c>
      <c r="E71" s="6">
        <v>3.6929591E7</v>
      </c>
      <c r="F71" s="6">
        <f t="shared" si="26"/>
        <v>728535460</v>
      </c>
      <c r="G71" s="6">
        <v>0.0</v>
      </c>
      <c r="H71" s="20">
        <v>493.0</v>
      </c>
      <c r="I71" s="6">
        <v>3623141.0</v>
      </c>
      <c r="J71" s="4">
        <v>6828177.0</v>
      </c>
      <c r="K71" s="4">
        <f t="shared" si="27"/>
        <v>-3205036</v>
      </c>
      <c r="L71" s="4">
        <f>I71+Apr!L71</f>
        <v>11138383.49</v>
      </c>
      <c r="M71" s="4">
        <f>J71+Apr!M71</f>
        <v>112011545.8</v>
      </c>
      <c r="N71" s="4">
        <f t="shared" si="28"/>
        <v>-100873162.3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1.731227669E9</v>
      </c>
      <c r="E72" s="6">
        <v>2.4225049E7</v>
      </c>
      <c r="F72" s="6">
        <f t="shared" si="26"/>
        <v>1707002620</v>
      </c>
      <c r="G72" s="6">
        <v>0.0</v>
      </c>
      <c r="H72" s="20">
        <v>4976.0</v>
      </c>
      <c r="I72" s="6">
        <v>5465061.0</v>
      </c>
      <c r="J72" s="4">
        <v>4431973.0</v>
      </c>
      <c r="K72" s="4">
        <f t="shared" si="27"/>
        <v>1033088</v>
      </c>
      <c r="L72" s="4">
        <f>I72+Apr!L72</f>
        <v>18687802.15</v>
      </c>
      <c r="M72" s="4">
        <f>J72+Apr!M72</f>
        <v>49455241.64</v>
      </c>
      <c r="N72" s="4">
        <f t="shared" si="28"/>
        <v>-30767439.49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3.101601059543E8</v>
      </c>
      <c r="E73" s="6">
        <v>976487.6263</v>
      </c>
      <c r="F73" s="6">
        <f t="shared" si="26"/>
        <v>309183618.3</v>
      </c>
      <c r="G73" s="6">
        <v>0.0</v>
      </c>
      <c r="H73" s="20">
        <v>4127.0</v>
      </c>
      <c r="I73" s="6">
        <v>1916075.36</v>
      </c>
      <c r="J73" s="4">
        <v>1037039.69</v>
      </c>
      <c r="K73" s="4">
        <f t="shared" si="27"/>
        <v>879035.67</v>
      </c>
      <c r="L73" s="4">
        <f>I73+Apr!L73</f>
        <v>18891869.37</v>
      </c>
      <c r="M73" s="4">
        <f>J73+Apr!M73</f>
        <v>21458387.44</v>
      </c>
      <c r="N73" s="4">
        <f t="shared" si="28"/>
        <v>-2566518.07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1.373856353E9</v>
      </c>
      <c r="E74" s="6">
        <v>2950946.0</v>
      </c>
      <c r="F74" s="6">
        <f t="shared" si="26"/>
        <v>1370905407</v>
      </c>
      <c r="G74" s="6">
        <v>0.0</v>
      </c>
      <c r="H74" s="20">
        <v>816.0</v>
      </c>
      <c r="I74" s="6">
        <v>2.7161687E7</v>
      </c>
      <c r="J74" s="4">
        <v>290604.0</v>
      </c>
      <c r="K74" s="4">
        <f t="shared" si="27"/>
        <v>26871083</v>
      </c>
      <c r="L74" s="4">
        <f>I74+Apr!L74</f>
        <v>131263976.5</v>
      </c>
      <c r="M74" s="4">
        <f>J74+Apr!M74</f>
        <v>4364447</v>
      </c>
      <c r="N74" s="4">
        <f t="shared" si="28"/>
        <v>126899529.5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5.866508589E9</v>
      </c>
      <c r="E75" s="6">
        <v>3.86186307E8</v>
      </c>
      <c r="F75" s="6">
        <f t="shared" si="26"/>
        <v>5480322282</v>
      </c>
      <c r="G75" s="6">
        <v>0.0</v>
      </c>
      <c r="H75" s="20">
        <v>17126.0</v>
      </c>
      <c r="I75" s="6">
        <v>5.13453037E8</v>
      </c>
      <c r="J75" s="4">
        <v>7.0970507E7</v>
      </c>
      <c r="K75" s="4">
        <f t="shared" si="27"/>
        <v>442482530</v>
      </c>
      <c r="L75" s="4">
        <f>I75+Apr!L75</f>
        <v>1166564066</v>
      </c>
      <c r="M75" s="4">
        <f>J75+Apr!M75</f>
        <v>317975185</v>
      </c>
      <c r="N75" s="4">
        <f t="shared" si="28"/>
        <v>848588881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6">
        <v>1.49031728E8</v>
      </c>
      <c r="E76" s="6">
        <v>8631772.0</v>
      </c>
      <c r="F76" s="6">
        <f t="shared" si="26"/>
        <v>140399956</v>
      </c>
      <c r="G76" s="6">
        <v>0.0</v>
      </c>
      <c r="H76" s="20">
        <v>2685.0</v>
      </c>
      <c r="I76" s="6">
        <v>1190411.0</v>
      </c>
      <c r="J76" s="4">
        <v>308010.0</v>
      </c>
      <c r="K76" s="4">
        <f t="shared" si="27"/>
        <v>882401</v>
      </c>
      <c r="L76" s="4">
        <f>I76+Apr!L76</f>
        <v>3301643.44</v>
      </c>
      <c r="M76" s="4">
        <f>J76+Apr!M76</f>
        <v>5010385.71</v>
      </c>
      <c r="N76" s="4">
        <f t="shared" si="28"/>
        <v>-1708742.27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54">
        <f t="shared" ref="D77:N77" si="29">SUM(D66:D76)</f>
        <v>52155865989</v>
      </c>
      <c r="E77" s="54">
        <f t="shared" si="29"/>
        <v>750793248.6</v>
      </c>
      <c r="F77" s="54">
        <f t="shared" si="29"/>
        <v>51405072740</v>
      </c>
      <c r="G77" s="54">
        <f t="shared" si="29"/>
        <v>924853080</v>
      </c>
      <c r="H77" s="27">
        <f t="shared" si="29"/>
        <v>59727</v>
      </c>
      <c r="I77" s="54">
        <f t="shared" si="29"/>
        <v>917364096.4</v>
      </c>
      <c r="J77" s="54">
        <f t="shared" si="29"/>
        <v>598228957.7</v>
      </c>
      <c r="K77" s="54">
        <f t="shared" si="29"/>
        <v>319135138.7</v>
      </c>
      <c r="L77" s="54">
        <f t="shared" si="29"/>
        <v>2921172550</v>
      </c>
      <c r="M77" s="54">
        <f t="shared" si="29"/>
        <v>3747649083</v>
      </c>
      <c r="N77" s="54">
        <f t="shared" si="29"/>
        <v>-826476533.3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6"/>
      <c r="E78" s="6"/>
      <c r="F78" s="6"/>
      <c r="G78" s="6"/>
      <c r="H78" s="6"/>
      <c r="I78" s="6"/>
      <c r="J78" s="6"/>
      <c r="K78" s="6"/>
      <c r="L78" s="6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6">
        <v>1.3803537305E10</v>
      </c>
      <c r="E79" s="6">
        <v>1.25725878E8</v>
      </c>
      <c r="F79" s="6">
        <f t="shared" ref="F79:F85" si="30">D79-E79</f>
        <v>13677811427</v>
      </c>
      <c r="G79" s="6">
        <v>0.0</v>
      </c>
      <c r="H79" s="20">
        <v>8441.0</v>
      </c>
      <c r="I79" s="6">
        <v>4.2629736E7</v>
      </c>
      <c r="J79" s="4">
        <v>1.66616944E8</v>
      </c>
      <c r="K79" s="4">
        <f t="shared" ref="K79:K85" si="31">I79-J79</f>
        <v>-123987208</v>
      </c>
      <c r="L79" s="4">
        <f>I79+Apr!L79</f>
        <v>305650147.4</v>
      </c>
      <c r="M79" s="4">
        <f>J79+Apr!M79</f>
        <v>734148440.3</v>
      </c>
      <c r="N79" s="4">
        <f t="shared" ref="N79:N85" si="32">L79-M79</f>
        <v>-428498292.9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2.67353504E8</v>
      </c>
      <c r="E80" s="6">
        <v>2374869.0</v>
      </c>
      <c r="F80" s="6">
        <f t="shared" si="30"/>
        <v>264978635</v>
      </c>
      <c r="G80" s="6">
        <v>0.0</v>
      </c>
      <c r="H80" s="20">
        <v>162.0</v>
      </c>
      <c r="I80" s="6">
        <v>125205.0</v>
      </c>
      <c r="J80" s="4">
        <v>903151.0</v>
      </c>
      <c r="K80" s="4">
        <f t="shared" si="31"/>
        <v>-777946</v>
      </c>
      <c r="L80" s="4">
        <f>I80+Apr!L80</f>
        <v>1334681.975</v>
      </c>
      <c r="M80" s="4">
        <f>J80+Apr!M80</f>
        <v>5845410.821</v>
      </c>
      <c r="N80" s="4">
        <f t="shared" si="32"/>
        <v>-4510728.846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6">
        <v>4.67054008E8</v>
      </c>
      <c r="E81" s="6">
        <v>1.6067236E7</v>
      </c>
      <c r="F81" s="6">
        <f t="shared" si="30"/>
        <v>450986772</v>
      </c>
      <c r="G81" s="6">
        <v>0.0</v>
      </c>
      <c r="H81" s="20">
        <v>163.0</v>
      </c>
      <c r="I81" s="6">
        <v>4960352.0</v>
      </c>
      <c r="J81" s="4">
        <v>268703.0</v>
      </c>
      <c r="K81" s="4">
        <f t="shared" si="31"/>
        <v>4691649</v>
      </c>
      <c r="L81" s="4">
        <f>I81+Apr!L81</f>
        <v>14200437.46</v>
      </c>
      <c r="M81" s="4">
        <f>J81+Apr!M81</f>
        <v>7243030.96</v>
      </c>
      <c r="N81" s="4">
        <f t="shared" si="32"/>
        <v>6957406.5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109</v>
      </c>
      <c r="D82" s="6">
        <v>6.5196234E7</v>
      </c>
      <c r="E82" s="6">
        <v>1.4434758E7</v>
      </c>
      <c r="F82" s="6">
        <f t="shared" si="30"/>
        <v>50761476</v>
      </c>
      <c r="G82" s="6">
        <v>0.0</v>
      </c>
      <c r="H82" s="20">
        <v>27.0</v>
      </c>
      <c r="I82" s="6">
        <v>0.0</v>
      </c>
      <c r="J82" s="4">
        <v>0.0</v>
      </c>
      <c r="K82" s="4">
        <f t="shared" si="31"/>
        <v>0</v>
      </c>
      <c r="L82" s="4">
        <f>I82+Apr!L82</f>
        <v>0</v>
      </c>
      <c r="M82" s="4">
        <f>J82+Apr!M82</f>
        <v>0</v>
      </c>
      <c r="N82" s="4">
        <f t="shared" si="32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2.034415722E9</v>
      </c>
      <c r="E83" s="6">
        <v>2.3767207E7</v>
      </c>
      <c r="F83" s="6">
        <f t="shared" si="30"/>
        <v>2010648515</v>
      </c>
      <c r="G83" s="6">
        <v>0.0</v>
      </c>
      <c r="H83" s="20">
        <v>1871.0</v>
      </c>
      <c r="I83" s="6">
        <v>166766.0</v>
      </c>
      <c r="J83" s="4">
        <v>1.144469E7</v>
      </c>
      <c r="K83" s="4">
        <f t="shared" si="31"/>
        <v>-11277924</v>
      </c>
      <c r="L83" s="4">
        <f>I83+Apr!L83</f>
        <v>878700.8506</v>
      </c>
      <c r="M83" s="4">
        <f>J83+Apr!M83</f>
        <v>67459717.87</v>
      </c>
      <c r="N83" s="4">
        <f t="shared" si="32"/>
        <v>-66581017.02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v>2.353521323325E8</v>
      </c>
      <c r="E84" s="6">
        <v>1427612.8635</v>
      </c>
      <c r="F84" s="6">
        <f t="shared" si="30"/>
        <v>233924519.5</v>
      </c>
      <c r="G84" s="6">
        <v>0.0</v>
      </c>
      <c r="H84" s="20">
        <v>120.0</v>
      </c>
      <c r="I84" s="6">
        <v>572730.0</v>
      </c>
      <c r="J84" s="4">
        <v>2945111.297</v>
      </c>
      <c r="K84" s="4">
        <f t="shared" si="31"/>
        <v>-2372381.297</v>
      </c>
      <c r="L84" s="4">
        <f>I84+Apr!L84</f>
        <v>1141549</v>
      </c>
      <c r="M84" s="4">
        <f>J84+Apr!M84</f>
        <v>3372168.297</v>
      </c>
      <c r="N84" s="4">
        <f t="shared" si="32"/>
        <v>-2230619.297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6">
        <v>5.57649169E8</v>
      </c>
      <c r="E85" s="6">
        <v>1.952118E7</v>
      </c>
      <c r="F85" s="6">
        <f t="shared" si="30"/>
        <v>538127989</v>
      </c>
      <c r="G85" s="6">
        <v>0.0</v>
      </c>
      <c r="H85" s="20">
        <v>2552.0</v>
      </c>
      <c r="I85" s="6">
        <v>1.0576226E7</v>
      </c>
      <c r="J85" s="4">
        <v>2006947.0</v>
      </c>
      <c r="K85" s="4">
        <f t="shared" si="31"/>
        <v>8569279</v>
      </c>
      <c r="L85" s="4">
        <f>I85+Apr!L85</f>
        <v>106693547.2</v>
      </c>
      <c r="M85" s="4">
        <f>J85+Apr!M85</f>
        <v>27672354.9</v>
      </c>
      <c r="N85" s="4">
        <f t="shared" si="32"/>
        <v>79021192.26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54">
        <f t="shared" ref="D86:N86" si="33">SUM(D79:D85)</f>
        <v>17430558074</v>
      </c>
      <c r="E86" s="54">
        <f t="shared" si="33"/>
        <v>203318740.9</v>
      </c>
      <c r="F86" s="54">
        <f t="shared" si="33"/>
        <v>17227239333</v>
      </c>
      <c r="G86" s="54">
        <f t="shared" si="33"/>
        <v>0</v>
      </c>
      <c r="H86" s="27">
        <f t="shared" si="33"/>
        <v>13336</v>
      </c>
      <c r="I86" s="54">
        <f t="shared" si="33"/>
        <v>59031015</v>
      </c>
      <c r="J86" s="54">
        <f t="shared" si="33"/>
        <v>184185546.3</v>
      </c>
      <c r="K86" s="54">
        <f t="shared" si="33"/>
        <v>-125154531.3</v>
      </c>
      <c r="L86" s="54">
        <f t="shared" si="33"/>
        <v>429899063.8</v>
      </c>
      <c r="M86" s="54">
        <f t="shared" si="33"/>
        <v>845741123.2</v>
      </c>
      <c r="N86" s="54">
        <f t="shared" si="33"/>
        <v>-415842059.3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6">
        <v>9.38896613E8</v>
      </c>
      <c r="E87" s="6">
        <v>7506388.0</v>
      </c>
      <c r="F87" s="6">
        <f>D87-E87</f>
        <v>931390225</v>
      </c>
      <c r="G87" s="6">
        <v>0.0</v>
      </c>
      <c r="H87" s="20">
        <v>638.0</v>
      </c>
      <c r="I87" s="6">
        <v>7786935.0</v>
      </c>
      <c r="J87" s="4">
        <v>7662775.0</v>
      </c>
      <c r="K87" s="4">
        <f>I87-J87</f>
        <v>124160</v>
      </c>
      <c r="L87" s="4">
        <f>I87+Apr!L87</f>
        <v>29034888.16</v>
      </c>
      <c r="M87" s="4">
        <f>J87+Apr!M87</f>
        <v>23710810.84</v>
      </c>
      <c r="N87" s="4">
        <f>L87-M87</f>
        <v>5324077.313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54">
        <f t="shared" ref="D88:N88" si="34">SUM(D87)</f>
        <v>938896613</v>
      </c>
      <c r="E88" s="54">
        <f t="shared" si="34"/>
        <v>7506388</v>
      </c>
      <c r="F88" s="54">
        <f t="shared" si="34"/>
        <v>931390225</v>
      </c>
      <c r="G88" s="54">
        <f t="shared" si="34"/>
        <v>0</v>
      </c>
      <c r="H88" s="27">
        <f t="shared" si="34"/>
        <v>638</v>
      </c>
      <c r="I88" s="54">
        <f t="shared" si="34"/>
        <v>7786935</v>
      </c>
      <c r="J88" s="54">
        <f t="shared" si="34"/>
        <v>7662775</v>
      </c>
      <c r="K88" s="54">
        <f t="shared" si="34"/>
        <v>124160</v>
      </c>
      <c r="L88" s="54">
        <f t="shared" si="34"/>
        <v>29034888.16</v>
      </c>
      <c r="M88" s="54">
        <f t="shared" si="34"/>
        <v>23710810.84</v>
      </c>
      <c r="N88" s="54">
        <f t="shared" si="34"/>
        <v>5324077.313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54">
        <f t="shared" ref="D89:N89" si="35">D77+D86+D88</f>
        <v>70525320676</v>
      </c>
      <c r="E89" s="54">
        <f t="shared" si="35"/>
        <v>961618377.5</v>
      </c>
      <c r="F89" s="54">
        <f t="shared" si="35"/>
        <v>69563702299</v>
      </c>
      <c r="G89" s="54">
        <f t="shared" si="35"/>
        <v>924853080</v>
      </c>
      <c r="H89" s="27">
        <f t="shared" si="35"/>
        <v>73701</v>
      </c>
      <c r="I89" s="54">
        <f t="shared" si="35"/>
        <v>984182046.4</v>
      </c>
      <c r="J89" s="54">
        <f t="shared" si="35"/>
        <v>790077279</v>
      </c>
      <c r="K89" s="54">
        <f t="shared" si="35"/>
        <v>194104767.4</v>
      </c>
      <c r="L89" s="54">
        <f t="shared" si="35"/>
        <v>3380106502</v>
      </c>
      <c r="M89" s="54">
        <f t="shared" si="35"/>
        <v>4617101017</v>
      </c>
      <c r="N89" s="54">
        <f t="shared" si="35"/>
        <v>-1236994515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6"/>
      <c r="E90" s="6"/>
      <c r="F90" s="6"/>
      <c r="G90" s="6"/>
      <c r="H90" s="20"/>
      <c r="I90" s="6"/>
      <c r="J90" s="4"/>
      <c r="K90" s="4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6"/>
      <c r="E91" s="6"/>
      <c r="F91" s="6"/>
      <c r="G91" s="6"/>
      <c r="H91" s="20"/>
      <c r="I91" s="6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3.3441296471E10</v>
      </c>
      <c r="E92" s="6">
        <v>1.5144091E7</v>
      </c>
      <c r="F92" s="6">
        <f t="shared" ref="F92:F94" si="36">D92-E92</f>
        <v>33426152380</v>
      </c>
      <c r="G92" s="6">
        <v>0.0</v>
      </c>
      <c r="H92" s="20">
        <v>28479.0</v>
      </c>
      <c r="I92" s="6">
        <v>330976.0</v>
      </c>
      <c r="J92" s="4">
        <v>1.921285065E9</v>
      </c>
      <c r="K92" s="4">
        <f t="shared" ref="K92:K94" si="37">I92-J92</f>
        <v>-1920954089</v>
      </c>
      <c r="L92" s="4">
        <f>I92+Apr!L92</f>
        <v>9183119937</v>
      </c>
      <c r="M92" s="4">
        <f>J92+Apr!M92</f>
        <v>10765181428</v>
      </c>
      <c r="N92" s="4">
        <f t="shared" ref="N92:N94" si="38">L92-M92</f>
        <v>-1582061491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6">
        <v>2.361688888E9</v>
      </c>
      <c r="E93" s="6">
        <v>3.4154044E7</v>
      </c>
      <c r="F93" s="6">
        <f t="shared" si="36"/>
        <v>2327534844</v>
      </c>
      <c r="G93" s="6">
        <v>0.0</v>
      </c>
      <c r="H93" s="20">
        <v>772.0</v>
      </c>
      <c r="I93" s="6">
        <v>4.2761934E7</v>
      </c>
      <c r="J93" s="4">
        <v>3.27297837E8</v>
      </c>
      <c r="K93" s="4">
        <f t="shared" si="37"/>
        <v>-284535903</v>
      </c>
      <c r="L93" s="4">
        <f>I93+Apr!L93</f>
        <v>384126706.7</v>
      </c>
      <c r="M93" s="4">
        <f>J93+Apr!M93</f>
        <v>914668578.8</v>
      </c>
      <c r="N93" s="4">
        <f t="shared" si="38"/>
        <v>-530541872.1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6">
        <v>3.5319350802E10</v>
      </c>
      <c r="E94" s="6">
        <v>4.73892456E8</v>
      </c>
      <c r="F94" s="6">
        <f t="shared" si="36"/>
        <v>34845458346</v>
      </c>
      <c r="G94" s="6">
        <v>0.0</v>
      </c>
      <c r="H94" s="20">
        <v>67226.0</v>
      </c>
      <c r="I94" s="6">
        <v>2.524774314E9</v>
      </c>
      <c r="J94" s="4">
        <v>5.71772695E9</v>
      </c>
      <c r="K94" s="4">
        <f t="shared" si="37"/>
        <v>-3192952636</v>
      </c>
      <c r="L94" s="4">
        <f>I94+Apr!L94</f>
        <v>11139535016</v>
      </c>
      <c r="M94" s="4">
        <f>J94+Apr!M94</f>
        <v>29009516716</v>
      </c>
      <c r="N94" s="4">
        <f t="shared" si="38"/>
        <v>-17869981700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6"/>
      <c r="E95" s="6"/>
      <c r="F95" s="6"/>
      <c r="G95" s="6"/>
      <c r="H95" s="20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6">
        <v>6.191545429E9</v>
      </c>
      <c r="E96" s="6">
        <v>6.7252779E7</v>
      </c>
      <c r="F96" s="6">
        <f>D96-E96</f>
        <v>6124292650</v>
      </c>
      <c r="G96" s="6">
        <v>0.0</v>
      </c>
      <c r="H96" s="20">
        <v>6219.0</v>
      </c>
      <c r="I96" s="6">
        <v>1.271785514E9</v>
      </c>
      <c r="J96" s="4">
        <v>6.18916505E8</v>
      </c>
      <c r="K96" s="4">
        <f>I96-J96</f>
        <v>652869009</v>
      </c>
      <c r="L96" s="4">
        <f>I96+Apr!L96</f>
        <v>7349370020</v>
      </c>
      <c r="M96" s="4">
        <f>J96+Apr!M96</f>
        <v>4827154388</v>
      </c>
      <c r="N96" s="4">
        <f>L96-M96</f>
        <v>2522215631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54">
        <f t="shared" ref="D97:N97" si="39">SUM(D92:D94)+D96</f>
        <v>77313881590</v>
      </c>
      <c r="E97" s="54">
        <f t="shared" si="39"/>
        <v>590443370</v>
      </c>
      <c r="F97" s="54">
        <f t="shared" si="39"/>
        <v>76723438220</v>
      </c>
      <c r="G97" s="54">
        <f t="shared" si="39"/>
        <v>0</v>
      </c>
      <c r="H97" s="27">
        <f t="shared" si="39"/>
        <v>102696</v>
      </c>
      <c r="I97" s="54">
        <f t="shared" si="39"/>
        <v>3839652738</v>
      </c>
      <c r="J97" s="54">
        <f t="shared" si="39"/>
        <v>8585226357</v>
      </c>
      <c r="K97" s="54">
        <f t="shared" si="39"/>
        <v>-4745573619</v>
      </c>
      <c r="L97" s="54">
        <f t="shared" si="39"/>
        <v>28056151679</v>
      </c>
      <c r="M97" s="54">
        <f t="shared" si="39"/>
        <v>45516521111</v>
      </c>
      <c r="N97" s="54">
        <f t="shared" si="39"/>
        <v>-17460369432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6"/>
      <c r="E98" s="6"/>
      <c r="F98" s="6"/>
      <c r="G98" s="6"/>
      <c r="H98" s="20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6">
        <v>3.727835903E9</v>
      </c>
      <c r="E99" s="6">
        <v>3.3826491E7</v>
      </c>
      <c r="F99" s="6">
        <f>D99-E99</f>
        <v>3694009412</v>
      </c>
      <c r="G99" s="6">
        <v>0.0</v>
      </c>
      <c r="H99" s="20">
        <v>3530.0</v>
      </c>
      <c r="I99" s="6">
        <v>3.85946849E8</v>
      </c>
      <c r="J99" s="6">
        <v>7.25749473E8</v>
      </c>
      <c r="K99" s="4">
        <f>I99-J99</f>
        <v>-339802624</v>
      </c>
      <c r="L99" s="4">
        <f>I99+Apr!L99</f>
        <v>3139810692</v>
      </c>
      <c r="M99" s="4">
        <f>J99+Apr!M99</f>
        <v>6141916246</v>
      </c>
      <c r="N99" s="4">
        <f>L99-M99</f>
        <v>-3002105554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54">
        <f t="shared" ref="D100:N100" si="40">SUM(D99)</f>
        <v>3727835903</v>
      </c>
      <c r="E100" s="54">
        <f t="shared" si="40"/>
        <v>33826491</v>
      </c>
      <c r="F100" s="54">
        <f t="shared" si="40"/>
        <v>3694009412</v>
      </c>
      <c r="G100" s="54">
        <f t="shared" si="40"/>
        <v>0</v>
      </c>
      <c r="H100" s="27">
        <f t="shared" si="40"/>
        <v>3530</v>
      </c>
      <c r="I100" s="54">
        <f t="shared" si="40"/>
        <v>385946849</v>
      </c>
      <c r="J100" s="54">
        <f t="shared" si="40"/>
        <v>725749473</v>
      </c>
      <c r="K100" s="54">
        <f t="shared" si="40"/>
        <v>-339802624</v>
      </c>
      <c r="L100" s="54">
        <f t="shared" si="40"/>
        <v>3139810692</v>
      </c>
      <c r="M100" s="54">
        <f t="shared" si="40"/>
        <v>6141916246</v>
      </c>
      <c r="N100" s="54">
        <f t="shared" si="40"/>
        <v>-3002105554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54">
        <f t="shared" ref="D101:N101" si="41">D97+D100</f>
        <v>81041717493</v>
      </c>
      <c r="E101" s="54">
        <f t="shared" si="41"/>
        <v>624269861</v>
      </c>
      <c r="F101" s="54">
        <f t="shared" si="41"/>
        <v>80417447632</v>
      </c>
      <c r="G101" s="54">
        <f t="shared" si="41"/>
        <v>0</v>
      </c>
      <c r="H101" s="27">
        <f t="shared" si="41"/>
        <v>106226</v>
      </c>
      <c r="I101" s="54">
        <f t="shared" si="41"/>
        <v>4225599587</v>
      </c>
      <c r="J101" s="54">
        <f t="shared" si="41"/>
        <v>9310975830</v>
      </c>
      <c r="K101" s="54">
        <f t="shared" si="41"/>
        <v>-5085376243</v>
      </c>
      <c r="L101" s="54">
        <f t="shared" si="41"/>
        <v>31195962371</v>
      </c>
      <c r="M101" s="54">
        <f t="shared" si="41"/>
        <v>51658437357</v>
      </c>
      <c r="N101" s="54">
        <f t="shared" si="41"/>
        <v>-20462474986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6"/>
      <c r="E102" s="6"/>
      <c r="F102" s="6"/>
      <c r="G102" s="6"/>
      <c r="H102" s="20"/>
      <c r="I102" s="6"/>
      <c r="J102" s="6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6"/>
      <c r="E103" s="6"/>
      <c r="F103" s="6"/>
      <c r="G103" s="6"/>
      <c r="H103" s="20"/>
      <c r="I103" s="6"/>
      <c r="J103" s="6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101</v>
      </c>
      <c r="D104" s="6">
        <v>9.205975073E9</v>
      </c>
      <c r="E104" s="6">
        <v>3.747247E7</v>
      </c>
      <c r="F104" s="6">
        <f t="shared" ref="F104:F105" si="42">D104-E104</f>
        <v>9168502603</v>
      </c>
      <c r="G104" s="6">
        <v>0.0</v>
      </c>
      <c r="H104" s="20">
        <v>80062.0</v>
      </c>
      <c r="I104" s="6">
        <v>7.4390621E7</v>
      </c>
      <c r="J104" s="6">
        <v>1.04155557E8</v>
      </c>
      <c r="K104" s="4">
        <f t="shared" ref="K104:K105" si="43">I104-J104</f>
        <v>-29764936</v>
      </c>
      <c r="L104" s="4">
        <f>I104+Apr!L104</f>
        <v>507657310.9</v>
      </c>
      <c r="M104" s="4">
        <f>J104+Apr!M104</f>
        <v>567171786.4</v>
      </c>
      <c r="N104" s="4">
        <f t="shared" ref="N104:N105" si="44">L104-M104</f>
        <v>-59514475.48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6">
        <v>3.335601812E9</v>
      </c>
      <c r="E105" s="6">
        <v>7.0169722E7</v>
      </c>
      <c r="F105" s="6">
        <f t="shared" si="42"/>
        <v>3265432090</v>
      </c>
      <c r="G105" s="6">
        <v>0.0</v>
      </c>
      <c r="H105" s="20">
        <v>6117.0</v>
      </c>
      <c r="I105" s="6">
        <v>3.5903737E7</v>
      </c>
      <c r="J105" s="6">
        <v>1.24026827E8</v>
      </c>
      <c r="K105" s="4">
        <f t="shared" si="43"/>
        <v>-88123090</v>
      </c>
      <c r="L105" s="4">
        <f>I105+Apr!L105</f>
        <v>112118012.1</v>
      </c>
      <c r="M105" s="4">
        <f>J105+Apr!M105</f>
        <v>393257155.7</v>
      </c>
      <c r="N105" s="4">
        <f t="shared" si="44"/>
        <v>-281139143.6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4" t="s">
        <v>45</v>
      </c>
      <c r="B106" s="2"/>
      <c r="C106" s="3"/>
      <c r="D106" s="54">
        <f t="shared" ref="D106:N106" si="45">D104+D105</f>
        <v>12541576885</v>
      </c>
      <c r="E106" s="54">
        <f t="shared" si="45"/>
        <v>107642192</v>
      </c>
      <c r="F106" s="54">
        <f t="shared" si="45"/>
        <v>12433934693</v>
      </c>
      <c r="G106" s="54">
        <f t="shared" si="45"/>
        <v>0</v>
      </c>
      <c r="H106" s="27">
        <f t="shared" si="45"/>
        <v>86179</v>
      </c>
      <c r="I106" s="54">
        <f t="shared" si="45"/>
        <v>110294358</v>
      </c>
      <c r="J106" s="54">
        <f t="shared" si="45"/>
        <v>228182384</v>
      </c>
      <c r="K106" s="54">
        <f t="shared" si="45"/>
        <v>-117888026</v>
      </c>
      <c r="L106" s="54">
        <f t="shared" si="45"/>
        <v>619775323</v>
      </c>
      <c r="M106" s="54">
        <f t="shared" si="45"/>
        <v>960428942.1</v>
      </c>
      <c r="N106" s="54">
        <f t="shared" si="45"/>
        <v>-340653619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0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104</v>
      </c>
      <c r="D108" s="6">
        <v>9.924853897E9</v>
      </c>
      <c r="E108" s="6">
        <v>5.7190656E7</v>
      </c>
      <c r="F108" s="6">
        <f>D108-E108</f>
        <v>9867663241</v>
      </c>
      <c r="G108" s="6">
        <v>0.0</v>
      </c>
      <c r="H108" s="20">
        <v>8190.0</v>
      </c>
      <c r="I108" s="6">
        <v>2.6307253E7</v>
      </c>
      <c r="J108" s="6">
        <v>6.938016E7</v>
      </c>
      <c r="K108" s="4">
        <f>I108-J108</f>
        <v>-43072907</v>
      </c>
      <c r="L108" s="4">
        <f>I108+Apr!L108</f>
        <v>331207082.8</v>
      </c>
      <c r="M108" s="4">
        <f>J108+Apr!M108</f>
        <v>417271236.7</v>
      </c>
      <c r="N108" s="4">
        <f>L108-M108</f>
        <v>-86064153.92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4" t="s">
        <v>89</v>
      </c>
      <c r="B109" s="25"/>
      <c r="C109" s="1"/>
      <c r="D109" s="54">
        <f t="shared" ref="D109:N109" si="46">SUM(D108)</f>
        <v>9924853897</v>
      </c>
      <c r="E109" s="54">
        <f t="shared" si="46"/>
        <v>57190656</v>
      </c>
      <c r="F109" s="54">
        <f t="shared" si="46"/>
        <v>9867663241</v>
      </c>
      <c r="G109" s="54">
        <f t="shared" si="46"/>
        <v>0</v>
      </c>
      <c r="H109" s="27">
        <f t="shared" si="46"/>
        <v>8190</v>
      </c>
      <c r="I109" s="54">
        <f t="shared" si="46"/>
        <v>26307253</v>
      </c>
      <c r="J109" s="54">
        <f t="shared" si="46"/>
        <v>69380160</v>
      </c>
      <c r="K109" s="54">
        <f t="shared" si="46"/>
        <v>-43072907</v>
      </c>
      <c r="L109" s="54">
        <f t="shared" si="46"/>
        <v>331207082.8</v>
      </c>
      <c r="M109" s="54">
        <f t="shared" si="46"/>
        <v>417271236.7</v>
      </c>
      <c r="N109" s="54">
        <f t="shared" si="46"/>
        <v>-86064153.92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105</v>
      </c>
      <c r="B110" s="31"/>
      <c r="C110" s="29"/>
      <c r="D110" s="54">
        <f t="shared" ref="D110:N110" si="47">SUM(D106+D109)</f>
        <v>22466430782</v>
      </c>
      <c r="E110" s="54">
        <f t="shared" si="47"/>
        <v>164832848</v>
      </c>
      <c r="F110" s="54">
        <f t="shared" si="47"/>
        <v>22301597934</v>
      </c>
      <c r="G110" s="54">
        <f t="shared" si="47"/>
        <v>0</v>
      </c>
      <c r="H110" s="27">
        <f t="shared" si="47"/>
        <v>94369</v>
      </c>
      <c r="I110" s="54">
        <f t="shared" si="47"/>
        <v>136601611</v>
      </c>
      <c r="J110" s="54">
        <f t="shared" si="47"/>
        <v>297562544</v>
      </c>
      <c r="K110" s="54">
        <f t="shared" si="47"/>
        <v>-160960933</v>
      </c>
      <c r="L110" s="54">
        <f t="shared" si="47"/>
        <v>950982405.9</v>
      </c>
      <c r="M110" s="54">
        <f t="shared" si="47"/>
        <v>1377700179</v>
      </c>
      <c r="N110" s="54">
        <f t="shared" si="47"/>
        <v>-426717773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106</v>
      </c>
      <c r="B111" s="33"/>
      <c r="C111" s="34"/>
      <c r="D111" s="55">
        <f t="shared" ref="D111:N111" si="48">D39+D63+D89+D101+D110</f>
        <v>260405134452</v>
      </c>
      <c r="E111" s="55">
        <f t="shared" si="48"/>
        <v>3232920324</v>
      </c>
      <c r="F111" s="55">
        <f t="shared" si="48"/>
        <v>257172214128</v>
      </c>
      <c r="G111" s="55" t="str">
        <f t="shared" si="48"/>
        <v>#REF!</v>
      </c>
      <c r="H111" s="36">
        <f t="shared" si="48"/>
        <v>1151020</v>
      </c>
      <c r="I111" s="55">
        <f t="shared" si="48"/>
        <v>5706014869</v>
      </c>
      <c r="J111" s="55">
        <f t="shared" si="48"/>
        <v>11454732436</v>
      </c>
      <c r="K111" s="55">
        <f t="shared" si="48"/>
        <v>-5748717568</v>
      </c>
      <c r="L111" s="55">
        <f t="shared" si="48"/>
        <v>38549397788</v>
      </c>
      <c r="M111" s="55">
        <f t="shared" si="48"/>
        <v>62300832602</v>
      </c>
      <c r="N111" s="55">
        <f t="shared" si="48"/>
        <v>-23751434814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7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7"/>
      <c r="B113" s="37"/>
      <c r="C113" s="37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7"/>
      <c r="B114" s="37"/>
      <c r="C114" s="37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7"/>
      <c r="B115" s="37"/>
      <c r="C115" s="37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119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4.519704326E9</v>
      </c>
      <c r="E9" s="6">
        <v>1.2940968E7</v>
      </c>
      <c r="F9" s="6">
        <f t="shared" ref="F9:F27" si="1">D9-E9</f>
        <v>4506763358</v>
      </c>
      <c r="G9" s="6">
        <v>4.063335527E9</v>
      </c>
      <c r="H9" s="6">
        <v>7065.0</v>
      </c>
      <c r="I9" s="6">
        <v>6314992.0</v>
      </c>
      <c r="J9" s="6">
        <v>3.0883033E7</v>
      </c>
      <c r="K9" s="4">
        <f t="shared" ref="K9:K27" si="2">I9-J9</f>
        <v>-24568041</v>
      </c>
      <c r="L9" s="4">
        <f>I9+May!L9</f>
        <v>53999148.19</v>
      </c>
      <c r="M9" s="4">
        <f>J9+May!M9</f>
        <v>261941587.1</v>
      </c>
      <c r="N9" s="4">
        <f t="shared" ref="N9:N27" si="3">L9-M9</f>
        <v>-207942438.9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6">
        <v>7.6409491243E8</v>
      </c>
      <c r="E10" s="6">
        <v>-201219.8</v>
      </c>
      <c r="F10" s="6">
        <f t="shared" si="1"/>
        <v>764296132.2</v>
      </c>
      <c r="G10" s="6">
        <v>7.0907015788E8</v>
      </c>
      <c r="H10" s="6">
        <v>4205.0</v>
      </c>
      <c r="I10" s="6">
        <v>3858863.25</v>
      </c>
      <c r="J10" s="6">
        <v>7787882.23</v>
      </c>
      <c r="K10" s="4">
        <f t="shared" si="2"/>
        <v>-3929018.98</v>
      </c>
      <c r="L10" s="4">
        <f>I10+May!L10</f>
        <v>33456457.55</v>
      </c>
      <c r="M10" s="4">
        <f>J10+May!M10</f>
        <v>52619514.44</v>
      </c>
      <c r="N10" s="4">
        <f t="shared" si="3"/>
        <v>-19163056.89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6">
        <v>1.31196645521E9</v>
      </c>
      <c r="E11" s="6">
        <v>-1975918.28</v>
      </c>
      <c r="F11" s="6">
        <f t="shared" si="1"/>
        <v>1313942373</v>
      </c>
      <c r="G11" s="6">
        <v>1.24132638475E9</v>
      </c>
      <c r="H11" s="6">
        <v>2798.0</v>
      </c>
      <c r="I11" s="6">
        <v>6791913.07</v>
      </c>
      <c r="J11" s="6">
        <v>1.443097228E7</v>
      </c>
      <c r="K11" s="4">
        <f t="shared" si="2"/>
        <v>-7639059.21</v>
      </c>
      <c r="L11" s="4">
        <f>I11+May!L11</f>
        <v>410432578.8</v>
      </c>
      <c r="M11" s="4">
        <f>J11+May!M11</f>
        <v>393029889</v>
      </c>
      <c r="N11" s="4">
        <f t="shared" si="3"/>
        <v>17402689.77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3.4659653298E8</v>
      </c>
      <c r="E12" s="6">
        <v>8106943.38</v>
      </c>
      <c r="F12" s="6">
        <f t="shared" si="1"/>
        <v>338489589.6</v>
      </c>
      <c r="G12" s="6">
        <v>2.3833072731E8</v>
      </c>
      <c r="H12" s="6">
        <v>1775.0</v>
      </c>
      <c r="I12" s="6">
        <v>537755.0</v>
      </c>
      <c r="J12" s="6">
        <v>99811.43</v>
      </c>
      <c r="K12" s="4">
        <f t="shared" si="2"/>
        <v>437943.57</v>
      </c>
      <c r="L12" s="4">
        <f>I12+May!L12</f>
        <v>3119977.45</v>
      </c>
      <c r="M12" s="4">
        <f>J12+May!M12</f>
        <v>1441462.91</v>
      </c>
      <c r="N12" s="4">
        <f t="shared" si="3"/>
        <v>1678514.54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5.03601E8</v>
      </c>
      <c r="E13" s="6">
        <v>4468748.0</v>
      </c>
      <c r="F13" s="6">
        <f t="shared" si="1"/>
        <v>499132252</v>
      </c>
      <c r="G13" s="6">
        <v>4.33741357E8</v>
      </c>
      <c r="H13" s="6">
        <v>1382.0</v>
      </c>
      <c r="I13" s="6">
        <v>913160.0</v>
      </c>
      <c r="J13" s="6">
        <v>6723954.0</v>
      </c>
      <c r="K13" s="4">
        <f t="shared" si="2"/>
        <v>-5810794</v>
      </c>
      <c r="L13" s="4">
        <f>I13+May!L13</f>
        <v>3754858.54</v>
      </c>
      <c r="M13" s="4">
        <f>J13+May!M13</f>
        <v>13750820.44</v>
      </c>
      <c r="N13" s="4">
        <f t="shared" si="3"/>
        <v>-9995961.9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4.087023035E9</v>
      </c>
      <c r="E14" s="6">
        <v>4.0116705E7</v>
      </c>
      <c r="F14" s="6">
        <f t="shared" si="1"/>
        <v>4046906330</v>
      </c>
      <c r="G14" s="6">
        <v>3.721398214E9</v>
      </c>
      <c r="H14" s="6">
        <v>15925.0</v>
      </c>
      <c r="I14" s="6">
        <v>2.1575801E7</v>
      </c>
      <c r="J14" s="6">
        <v>4.7303083E7</v>
      </c>
      <c r="K14" s="4">
        <f t="shared" si="2"/>
        <v>-25727282</v>
      </c>
      <c r="L14" s="4">
        <f>I14+May!L14</f>
        <v>140933921.5</v>
      </c>
      <c r="M14" s="4">
        <f>J14+May!M14</f>
        <v>340277807.5</v>
      </c>
      <c r="N14" s="4">
        <f t="shared" si="3"/>
        <v>-199343886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6">
        <v>1.00659177E8</v>
      </c>
      <c r="E15" s="6">
        <v>2778419.0</v>
      </c>
      <c r="F15" s="6">
        <f t="shared" si="1"/>
        <v>97880758</v>
      </c>
      <c r="G15" s="6">
        <v>9.6428653E7</v>
      </c>
      <c r="H15" s="6">
        <v>534.0</v>
      </c>
      <c r="I15" s="6">
        <v>521480.0</v>
      </c>
      <c r="J15" s="6">
        <v>3761220.0</v>
      </c>
      <c r="K15" s="4">
        <f t="shared" si="2"/>
        <v>-3239740</v>
      </c>
      <c r="L15" s="4">
        <f>I15+May!L15</f>
        <v>7371754.73</v>
      </c>
      <c r="M15" s="4">
        <f>J15+May!M15</f>
        <v>9833571.93</v>
      </c>
      <c r="N15" s="4">
        <f t="shared" si="3"/>
        <v>-2461817.2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1.29602761E8</v>
      </c>
      <c r="E16" s="6">
        <v>2513877.0</v>
      </c>
      <c r="F16" s="6">
        <f t="shared" si="1"/>
        <v>127088884</v>
      </c>
      <c r="G16" s="6">
        <v>1.11912846E8</v>
      </c>
      <c r="H16" s="6">
        <v>50.0</v>
      </c>
      <c r="I16" s="6">
        <v>100000.0</v>
      </c>
      <c r="J16" s="6">
        <v>0.0</v>
      </c>
      <c r="K16" s="4">
        <f t="shared" si="2"/>
        <v>100000</v>
      </c>
      <c r="L16" s="4">
        <f>I16+May!L16</f>
        <v>100241.49</v>
      </c>
      <c r="M16" s="4">
        <f>J16+May!M16</f>
        <v>2461357.93</v>
      </c>
      <c r="N16" s="4">
        <f t="shared" si="3"/>
        <v>-2361116.44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1.324812525E9</v>
      </c>
      <c r="E17" s="6">
        <v>8.3001665E7</v>
      </c>
      <c r="F17" s="6">
        <f t="shared" si="1"/>
        <v>1241810860</v>
      </c>
      <c r="G17" s="6">
        <v>1.262973553E9</v>
      </c>
      <c r="H17" s="6">
        <v>12046.0</v>
      </c>
      <c r="I17" s="6">
        <v>0.0</v>
      </c>
      <c r="J17" s="6">
        <v>1.0641597E7</v>
      </c>
      <c r="K17" s="4">
        <f t="shared" si="2"/>
        <v>-10641597</v>
      </c>
      <c r="L17" s="4">
        <f>I17+May!L17</f>
        <v>0</v>
      </c>
      <c r="M17" s="4">
        <f>J17+May!M17</f>
        <v>72579774.74</v>
      </c>
      <c r="N17" s="4">
        <f t="shared" si="3"/>
        <v>-72579774.74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3.77946365E9</v>
      </c>
      <c r="E18" s="6">
        <v>1.61752088E8</v>
      </c>
      <c r="F18" s="6">
        <f t="shared" si="1"/>
        <v>3617711562</v>
      </c>
      <c r="G18" s="6">
        <v>3.273592686E9</v>
      </c>
      <c r="H18" s="6">
        <v>11984.0</v>
      </c>
      <c r="I18" s="6">
        <v>1519230.0</v>
      </c>
      <c r="J18" s="6">
        <v>4.3164563E7</v>
      </c>
      <c r="K18" s="4">
        <f t="shared" si="2"/>
        <v>-41645333</v>
      </c>
      <c r="L18" s="4">
        <f>I18+May!L18</f>
        <v>16653089.7</v>
      </c>
      <c r="M18" s="4">
        <f>J18+May!M18</f>
        <v>180859204.5</v>
      </c>
      <c r="N18" s="4">
        <f t="shared" si="3"/>
        <v>-164206114.8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2.2317516947918E9</v>
      </c>
      <c r="E19" s="6">
        <v>6314038.6593</v>
      </c>
      <c r="F19" s="6">
        <f t="shared" si="1"/>
        <v>2225437656</v>
      </c>
      <c r="G19" s="6">
        <v>1.969209154422E9</v>
      </c>
      <c r="H19" s="6">
        <v>5390.0</v>
      </c>
      <c r="I19" s="6">
        <v>3432722.27</v>
      </c>
      <c r="J19" s="6">
        <v>5976135.99</v>
      </c>
      <c r="K19" s="4">
        <f t="shared" si="2"/>
        <v>-2543413.72</v>
      </c>
      <c r="L19" s="4">
        <f>I19+May!L19</f>
        <v>142220253.6</v>
      </c>
      <c r="M19" s="4">
        <f>J19+May!M19</f>
        <v>27271081.32</v>
      </c>
      <c r="N19" s="4">
        <f t="shared" si="3"/>
        <v>114949172.3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9.7414604606357E9</v>
      </c>
      <c r="E20" s="6">
        <v>5.58204107495E7</v>
      </c>
      <c r="F20" s="6">
        <f t="shared" si="1"/>
        <v>9685640050</v>
      </c>
      <c r="G20" s="6">
        <v>8.8421220179E9</v>
      </c>
      <c r="H20" s="6">
        <v>35340.0</v>
      </c>
      <c r="I20" s="6">
        <v>1.224841927E7</v>
      </c>
      <c r="J20" s="6">
        <v>1.0153577508E8</v>
      </c>
      <c r="K20" s="4">
        <f t="shared" si="2"/>
        <v>-89287355.81</v>
      </c>
      <c r="L20" s="4">
        <f>I20+May!L20</f>
        <v>100007053.9</v>
      </c>
      <c r="M20" s="4">
        <f>J20+May!M20</f>
        <v>362304125.8</v>
      </c>
      <c r="N20" s="4">
        <f t="shared" si="3"/>
        <v>-262297072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3.109983693472E8</v>
      </c>
      <c r="E21" s="6">
        <v>990887.44</v>
      </c>
      <c r="F21" s="6">
        <f t="shared" si="1"/>
        <v>310007481.9</v>
      </c>
      <c r="G21" s="6">
        <v>3.054888832E8</v>
      </c>
      <c r="H21" s="6">
        <v>988.0</v>
      </c>
      <c r="I21" s="6">
        <v>169270.0</v>
      </c>
      <c r="J21" s="6">
        <v>155723.02</v>
      </c>
      <c r="K21" s="4">
        <f t="shared" si="2"/>
        <v>13546.98</v>
      </c>
      <c r="L21" s="4">
        <f>I21+May!L21</f>
        <v>1793419.08</v>
      </c>
      <c r="M21" s="4">
        <f>J21+May!M21</f>
        <v>4253314.66</v>
      </c>
      <c r="N21" s="4">
        <f t="shared" si="3"/>
        <v>-2459895.58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3.8469403099896E9</v>
      </c>
      <c r="E22" s="6">
        <v>1.88355536868E7</v>
      </c>
      <c r="F22" s="6">
        <f t="shared" si="1"/>
        <v>3828104756</v>
      </c>
      <c r="G22" s="6">
        <v>3.7406586116787E9</v>
      </c>
      <c r="H22" s="6">
        <v>26399.0</v>
      </c>
      <c r="I22" s="6">
        <v>7681512.83</v>
      </c>
      <c r="J22" s="6">
        <v>1.783937394E7</v>
      </c>
      <c r="K22" s="4">
        <f t="shared" si="2"/>
        <v>-10157861.11</v>
      </c>
      <c r="L22" s="4">
        <f>I22+May!L22</f>
        <v>275220571</v>
      </c>
      <c r="M22" s="4">
        <f>J22+May!M22</f>
        <v>217767477.3</v>
      </c>
      <c r="N22" s="4">
        <f t="shared" si="3"/>
        <v>57453093.71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8.654382753E9</v>
      </c>
      <c r="E23" s="6">
        <v>6.1936207E7</v>
      </c>
      <c r="F23" s="6">
        <f t="shared" si="1"/>
        <v>8592446546</v>
      </c>
      <c r="G23" s="6">
        <v>8.555805463E9</v>
      </c>
      <c r="H23" s="6">
        <v>13949.0</v>
      </c>
      <c r="I23" s="6">
        <v>1207426.0</v>
      </c>
      <c r="J23" s="6">
        <v>6.4917525E7</v>
      </c>
      <c r="K23" s="4">
        <f t="shared" si="2"/>
        <v>-63710099</v>
      </c>
      <c r="L23" s="4">
        <f>I23+May!L23</f>
        <v>10215039</v>
      </c>
      <c r="M23" s="4">
        <f>J23+May!M23</f>
        <v>535911152.6</v>
      </c>
      <c r="N23" s="4">
        <f t="shared" si="3"/>
        <v>-525696113.6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6">
        <v>3.284005945E9</v>
      </c>
      <c r="E24" s="6">
        <v>-1044557.67</v>
      </c>
      <c r="F24" s="6">
        <f t="shared" si="1"/>
        <v>3285050503</v>
      </c>
      <c r="G24" s="6">
        <v>3.1168585835E9</v>
      </c>
      <c r="H24" s="6">
        <v>12686.0</v>
      </c>
      <c r="I24" s="6">
        <v>6.202245801E7</v>
      </c>
      <c r="J24" s="6">
        <v>6038586.02</v>
      </c>
      <c r="K24" s="4">
        <f t="shared" si="2"/>
        <v>55983871.99</v>
      </c>
      <c r="L24" s="4">
        <f>I24+May!L24</f>
        <v>265563739.5</v>
      </c>
      <c r="M24" s="4">
        <f>J24+May!M24</f>
        <v>21914312.34</v>
      </c>
      <c r="N24" s="4">
        <f t="shared" si="3"/>
        <v>243649427.1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6">
        <v>6.932620261E9</v>
      </c>
      <c r="E25" s="6">
        <v>2.17868E7</v>
      </c>
      <c r="F25" s="6">
        <f t="shared" si="1"/>
        <v>6910833461</v>
      </c>
      <c r="G25" s="6">
        <v>6.735986026E9</v>
      </c>
      <c r="H25" s="6">
        <v>66654.0</v>
      </c>
      <c r="I25" s="6">
        <v>3.4990004E7</v>
      </c>
      <c r="J25" s="6">
        <v>4.3970642E7</v>
      </c>
      <c r="K25" s="4">
        <f t="shared" si="2"/>
        <v>-8980638</v>
      </c>
      <c r="L25" s="4">
        <f>I25+May!L25</f>
        <v>224091855.6</v>
      </c>
      <c r="M25" s="4">
        <f>J25+May!M25</f>
        <v>520380868.7</v>
      </c>
      <c r="N25" s="4">
        <f t="shared" si="3"/>
        <v>-296289013.1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6">
        <v>1.1907463345E10</v>
      </c>
      <c r="E26" s="6">
        <v>1.15695738E8</v>
      </c>
      <c r="F26" s="6">
        <f t="shared" si="1"/>
        <v>11791767607</v>
      </c>
      <c r="G26" s="6">
        <v>1.1725648198E10</v>
      </c>
      <c r="H26" s="6">
        <v>57392.0</v>
      </c>
      <c r="I26" s="6">
        <v>5.8617822E7</v>
      </c>
      <c r="J26" s="6">
        <v>8.6737367E7</v>
      </c>
      <c r="K26" s="4">
        <f t="shared" si="2"/>
        <v>-28119545</v>
      </c>
      <c r="L26" s="4">
        <f>I26+May!L26</f>
        <v>1130153848</v>
      </c>
      <c r="M26" s="4">
        <f>J26+May!M26</f>
        <v>1156302550</v>
      </c>
      <c r="N26" s="4">
        <f t="shared" si="3"/>
        <v>-26148702.8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5.9244157393E8</v>
      </c>
      <c r="E27" s="6">
        <v>7069290.9</v>
      </c>
      <c r="F27" s="6">
        <f t="shared" si="1"/>
        <v>585372283</v>
      </c>
      <c r="G27" s="6">
        <v>5.233242932E8</v>
      </c>
      <c r="H27" s="6">
        <v>1279.0</v>
      </c>
      <c r="I27" s="6">
        <v>330567.29</v>
      </c>
      <c r="J27" s="6">
        <v>891252.2</v>
      </c>
      <c r="K27" s="4">
        <f t="shared" si="2"/>
        <v>-560684.91</v>
      </c>
      <c r="L27" s="4">
        <f>I27+May!L27</f>
        <v>4829008.88</v>
      </c>
      <c r="M27" s="4">
        <f>J27+May!M27</f>
        <v>7110404.38</v>
      </c>
      <c r="N27" s="4">
        <f t="shared" si="3"/>
        <v>-2281395.5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41</v>
      </c>
      <c r="D29" s="6">
        <v>2.0168421506E8</v>
      </c>
      <c r="E29" s="6">
        <v>1071110.16</v>
      </c>
      <c r="F29" s="6">
        <f t="shared" ref="F29:F31" si="4">D29-E29</f>
        <v>200613104.9</v>
      </c>
      <c r="G29" s="6">
        <v>1.9483350988E8</v>
      </c>
      <c r="H29" s="6">
        <v>2086.0</v>
      </c>
      <c r="I29" s="6">
        <v>4536245.41</v>
      </c>
      <c r="J29" s="6">
        <v>635459.4</v>
      </c>
      <c r="K29" s="4">
        <f t="shared" ref="K29:K31" si="5">I29-J29</f>
        <v>3900786.01</v>
      </c>
      <c r="L29" s="4">
        <f>I29+May!L29</f>
        <v>98060511.56</v>
      </c>
      <c r="M29" s="4">
        <f>J29+May!M29</f>
        <v>6114336.24</v>
      </c>
      <c r="N29" s="4">
        <f t="shared" ref="N29:N31" si="6">L29-M29</f>
        <v>91946175.32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6">
        <v>3.3233187435E8</v>
      </c>
      <c r="E30" s="6">
        <v>1287431.499</v>
      </c>
      <c r="F30" s="6">
        <f t="shared" si="4"/>
        <v>331044442.9</v>
      </c>
      <c r="G30" s="6">
        <v>3.0225002786E8</v>
      </c>
      <c r="H30" s="6">
        <v>1378.0</v>
      </c>
      <c r="I30" s="6">
        <v>1060898.63</v>
      </c>
      <c r="J30" s="6">
        <v>187876.83</v>
      </c>
      <c r="K30" s="4">
        <f t="shared" si="5"/>
        <v>873021.8</v>
      </c>
      <c r="L30" s="4">
        <f>I30+May!L30</f>
        <v>13745525.59</v>
      </c>
      <c r="M30" s="4">
        <f>J30+May!M30</f>
        <v>20205280.76</v>
      </c>
      <c r="N30" s="4">
        <f t="shared" si="6"/>
        <v>-6459755.17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6">
        <v>5.26148519E8</v>
      </c>
      <c r="E31" s="6">
        <v>2200743.0</v>
      </c>
      <c r="F31" s="6">
        <f t="shared" si="4"/>
        <v>523947776</v>
      </c>
      <c r="G31" s="6">
        <v>5.13065465E8</v>
      </c>
      <c r="H31" s="6">
        <v>530211.0</v>
      </c>
      <c r="I31" s="6">
        <v>3.4982496E7</v>
      </c>
      <c r="J31" s="6">
        <v>9895950.0</v>
      </c>
      <c r="K31" s="4">
        <f t="shared" si="5"/>
        <v>25086546</v>
      </c>
      <c r="L31" s="4">
        <f>I31+May!L31</f>
        <v>170819110.4</v>
      </c>
      <c r="M31" s="4">
        <f>J31+May!M31</f>
        <v>125136865.4</v>
      </c>
      <c r="N31" s="4">
        <f t="shared" si="6"/>
        <v>45682244.92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6"/>
      <c r="E32" s="6"/>
      <c r="F32" s="6"/>
      <c r="G32" s="6"/>
      <c r="H32" s="6"/>
      <c r="I32" s="6"/>
      <c r="J32" s="6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6">
        <v>2.147148552E9</v>
      </c>
      <c r="E33" s="6">
        <v>1768565.0</v>
      </c>
      <c r="F33" s="6">
        <f>D33-E33</f>
        <v>2145379987</v>
      </c>
      <c r="G33" s="6">
        <v>2.140200348E9</v>
      </c>
      <c r="H33" s="6">
        <v>3289.0</v>
      </c>
      <c r="I33" s="6">
        <v>6069276.0</v>
      </c>
      <c r="J33" s="6">
        <v>0.0</v>
      </c>
      <c r="K33" s="4">
        <f>I33-J33</f>
        <v>6069276</v>
      </c>
      <c r="L33" s="4">
        <f>I33+May!L33</f>
        <v>32353427</v>
      </c>
      <c r="M33" s="4">
        <f>J33+May!M33</f>
        <v>103925991</v>
      </c>
      <c r="N33" s="4">
        <f>L33-M33</f>
        <v>-71572564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54">
        <f t="shared" ref="D34:N34" si="7">SUM(D9:D33)</f>
        <v>67576902248</v>
      </c>
      <c r="E34" s="54">
        <f t="shared" si="7"/>
        <v>607234493.7</v>
      </c>
      <c r="F34" s="54">
        <f t="shared" si="7"/>
        <v>66969667754</v>
      </c>
      <c r="G34" s="54">
        <f t="shared" si="7"/>
        <v>63817560688</v>
      </c>
      <c r="H34" s="27">
        <f t="shared" si="7"/>
        <v>814805</v>
      </c>
      <c r="I34" s="54">
        <f t="shared" si="7"/>
        <v>269482312</v>
      </c>
      <c r="J34" s="54">
        <f t="shared" si="7"/>
        <v>503577782.4</v>
      </c>
      <c r="K34" s="54">
        <f t="shared" si="7"/>
        <v>-234095470.4</v>
      </c>
      <c r="L34" s="54">
        <f t="shared" si="7"/>
        <v>3138895391</v>
      </c>
      <c r="M34" s="54">
        <f t="shared" si="7"/>
        <v>4437392751</v>
      </c>
      <c r="N34" s="54">
        <f t="shared" si="7"/>
        <v>-1298497361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6"/>
      <c r="E35" s="6"/>
      <c r="F35" s="6"/>
      <c r="G35" s="6"/>
      <c r="H35" s="20"/>
      <c r="I35" s="6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v>3.434400425E7</v>
      </c>
      <c r="E36" s="6">
        <v>-724229.52</v>
      </c>
      <c r="F36" s="6">
        <f t="shared" ref="F36:F37" si="8">D36-E36</f>
        <v>35068233.77</v>
      </c>
      <c r="G36" s="6">
        <v>572690.03</v>
      </c>
      <c r="H36" s="6">
        <v>54.0</v>
      </c>
      <c r="I36" s="6">
        <v>795.33</v>
      </c>
      <c r="J36" s="6">
        <v>0.0</v>
      </c>
      <c r="K36" s="4">
        <f t="shared" ref="K36:K37" si="9">I36-J36</f>
        <v>795.33</v>
      </c>
      <c r="L36" s="4">
        <f>I36+May!L36</f>
        <v>148846.4968</v>
      </c>
      <c r="M36" s="4">
        <f>J36+May!M36</f>
        <v>328777.2794</v>
      </c>
      <c r="N36" s="4">
        <f t="shared" ref="N36:N37" si="10">L36-M36</f>
        <v>-179930.7826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6">
        <v>1.901135258E9</v>
      </c>
      <c r="E37" s="6">
        <v>8817940.0</v>
      </c>
      <c r="F37" s="6">
        <f t="shared" si="8"/>
        <v>1892317318</v>
      </c>
      <c r="G37" s="6">
        <v>0.0</v>
      </c>
      <c r="H37" s="6">
        <v>2892.0</v>
      </c>
      <c r="I37" s="6">
        <v>2646948.0</v>
      </c>
      <c r="J37" s="6">
        <v>6694801.0</v>
      </c>
      <c r="K37" s="4">
        <f t="shared" si="9"/>
        <v>-4047853</v>
      </c>
      <c r="L37" s="4">
        <f>I37+May!L37</f>
        <v>29418222.47</v>
      </c>
      <c r="M37" s="4">
        <f>J37+May!M37</f>
        <v>96566524.43</v>
      </c>
      <c r="N37" s="4">
        <f t="shared" si="10"/>
        <v>-67148301.96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54">
        <f t="shared" ref="D38:N38" si="11">SUM(D36:D37)</f>
        <v>1935479262</v>
      </c>
      <c r="E38" s="54">
        <f t="shared" si="11"/>
        <v>8093710.48</v>
      </c>
      <c r="F38" s="54">
        <f t="shared" si="11"/>
        <v>1927385552</v>
      </c>
      <c r="G38" s="54">
        <f t="shared" si="11"/>
        <v>572690.03</v>
      </c>
      <c r="H38" s="27">
        <f t="shared" si="11"/>
        <v>2946</v>
      </c>
      <c r="I38" s="54">
        <f t="shared" si="11"/>
        <v>2647743.33</v>
      </c>
      <c r="J38" s="54">
        <f t="shared" si="11"/>
        <v>6694801</v>
      </c>
      <c r="K38" s="54">
        <f t="shared" si="11"/>
        <v>-4047057.67</v>
      </c>
      <c r="L38" s="54">
        <f t="shared" si="11"/>
        <v>29567068.97</v>
      </c>
      <c r="M38" s="54">
        <f t="shared" si="11"/>
        <v>96895301.71</v>
      </c>
      <c r="N38" s="54">
        <f t="shared" si="11"/>
        <v>-67328232.74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54">
        <f t="shared" ref="D39:N39" si="12">D34+D38</f>
        <v>69512381510</v>
      </c>
      <c r="E39" s="54">
        <f t="shared" si="12"/>
        <v>615328204.2</v>
      </c>
      <c r="F39" s="54">
        <f t="shared" si="12"/>
        <v>68897053306</v>
      </c>
      <c r="G39" s="54">
        <f t="shared" si="12"/>
        <v>63818133378</v>
      </c>
      <c r="H39" s="27">
        <f t="shared" si="12"/>
        <v>817751</v>
      </c>
      <c r="I39" s="54">
        <f t="shared" si="12"/>
        <v>272130055.4</v>
      </c>
      <c r="J39" s="54">
        <f t="shared" si="12"/>
        <v>510272583.4</v>
      </c>
      <c r="K39" s="54">
        <f t="shared" si="12"/>
        <v>-238142528.1</v>
      </c>
      <c r="L39" s="54">
        <f t="shared" si="12"/>
        <v>3168462459</v>
      </c>
      <c r="M39" s="54">
        <f t="shared" si="12"/>
        <v>4534288053</v>
      </c>
      <c r="N39" s="54">
        <f t="shared" si="12"/>
        <v>-1365825594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6"/>
      <c r="E41" s="6"/>
      <c r="F41" s="6"/>
      <c r="G41" s="6"/>
      <c r="H41" s="20"/>
      <c r="I41" s="6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6">
        <v>1.1527188887E8</v>
      </c>
      <c r="E42" s="6">
        <v>-1817653.25</v>
      </c>
      <c r="F42" s="6">
        <f t="shared" ref="F42:F51" si="13">D42-E42</f>
        <v>117089542.1</v>
      </c>
      <c r="G42" s="6">
        <v>3.23620667E7</v>
      </c>
      <c r="H42" s="20">
        <v>720.0</v>
      </c>
      <c r="I42" s="6">
        <v>193997.32</v>
      </c>
      <c r="J42" s="4">
        <v>491583.26</v>
      </c>
      <c r="K42" s="4">
        <f t="shared" ref="K42:K51" si="14">I42-J42</f>
        <v>-297585.94</v>
      </c>
      <c r="L42" s="4">
        <f>I42+May!L42</f>
        <v>1721187.38</v>
      </c>
      <c r="M42" s="4">
        <f>J42+May!M42</f>
        <v>1789379.26</v>
      </c>
      <c r="N42" s="4">
        <f t="shared" ref="N42:N51" si="15">L42-M42</f>
        <v>-68191.88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5.657843868E8</v>
      </c>
      <c r="E43" s="6">
        <v>-1.657840951E7</v>
      </c>
      <c r="F43" s="6">
        <f t="shared" si="13"/>
        <v>582362796.3</v>
      </c>
      <c r="G43" s="6">
        <v>2.438608089E8</v>
      </c>
      <c r="H43" s="20">
        <v>2398.0</v>
      </c>
      <c r="I43" s="6">
        <v>790681.9</v>
      </c>
      <c r="J43" s="4">
        <v>1.991574379E7</v>
      </c>
      <c r="K43" s="4">
        <f t="shared" si="14"/>
        <v>-19125061.89</v>
      </c>
      <c r="L43" s="4">
        <f>I43+May!L43</f>
        <v>5354816.99</v>
      </c>
      <c r="M43" s="4">
        <f>J43+May!M43</f>
        <v>45178079.26</v>
      </c>
      <c r="N43" s="4">
        <f t="shared" si="15"/>
        <v>-39823262.27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1.026318888E9</v>
      </c>
      <c r="E44" s="6">
        <v>6844517.0</v>
      </c>
      <c r="F44" s="6">
        <f t="shared" si="13"/>
        <v>1019474371</v>
      </c>
      <c r="G44" s="6">
        <v>5.34069472E8</v>
      </c>
      <c r="H44" s="20">
        <v>4580.0</v>
      </c>
      <c r="I44" s="6">
        <v>992502.0</v>
      </c>
      <c r="J44" s="4">
        <v>2.6518372E7</v>
      </c>
      <c r="K44" s="4">
        <f t="shared" si="14"/>
        <v>-25525870</v>
      </c>
      <c r="L44" s="4">
        <f>I44+May!L44</f>
        <v>9373341.55</v>
      </c>
      <c r="M44" s="4">
        <f>J44+May!M44</f>
        <v>52930609.08</v>
      </c>
      <c r="N44" s="4">
        <f t="shared" si="15"/>
        <v>-43557267.53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2.88079128E8</v>
      </c>
      <c r="E45" s="6">
        <v>1162830.0</v>
      </c>
      <c r="F45" s="6">
        <f t="shared" si="13"/>
        <v>286916298</v>
      </c>
      <c r="G45" s="6">
        <v>1.7422987E8</v>
      </c>
      <c r="H45" s="20">
        <v>245.0</v>
      </c>
      <c r="I45" s="6">
        <v>564730.0</v>
      </c>
      <c r="J45" s="4">
        <v>849404.0</v>
      </c>
      <c r="K45" s="4">
        <f t="shared" si="14"/>
        <v>-284674</v>
      </c>
      <c r="L45" s="4">
        <f>I45+May!L45</f>
        <v>31841429.27</v>
      </c>
      <c r="M45" s="4">
        <f>J45+May!M45</f>
        <v>44633123.26</v>
      </c>
      <c r="N45" s="4">
        <f t="shared" si="15"/>
        <v>-12791693.99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3.4919166078E8</v>
      </c>
      <c r="E46" s="6">
        <v>4140409.24</v>
      </c>
      <c r="F46" s="6">
        <f t="shared" si="13"/>
        <v>345051251.5</v>
      </c>
      <c r="G46" s="6">
        <v>1.5519827955E8</v>
      </c>
      <c r="H46" s="20">
        <v>53.0</v>
      </c>
      <c r="I46" s="6">
        <v>0.0</v>
      </c>
      <c r="J46" s="4">
        <v>68876.0</v>
      </c>
      <c r="K46" s="4">
        <f t="shared" si="14"/>
        <v>-68876</v>
      </c>
      <c r="L46" s="4">
        <f>I46+May!L46</f>
        <v>0</v>
      </c>
      <c r="M46" s="4">
        <f>J46+May!M46</f>
        <v>1577061</v>
      </c>
      <c r="N46" s="4">
        <f t="shared" si="15"/>
        <v>-1577061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5.4830426E8</v>
      </c>
      <c r="E47" s="6">
        <v>1.8127716E7</v>
      </c>
      <c r="F47" s="6">
        <f t="shared" si="13"/>
        <v>530176544</v>
      </c>
      <c r="G47" s="6">
        <v>2.68894091E8</v>
      </c>
      <c r="H47" s="20">
        <v>10011.0</v>
      </c>
      <c r="I47" s="6">
        <v>145412.0</v>
      </c>
      <c r="J47" s="4">
        <v>2117238.0</v>
      </c>
      <c r="K47" s="4">
        <f t="shared" si="14"/>
        <v>-1971826</v>
      </c>
      <c r="L47" s="4">
        <f>I47+May!L47</f>
        <v>2391117.86</v>
      </c>
      <c r="M47" s="4">
        <f>J47+May!M47</f>
        <v>27364970.57</v>
      </c>
      <c r="N47" s="4">
        <f t="shared" si="15"/>
        <v>-24973852.71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6">
        <v>2.05333536E9</v>
      </c>
      <c r="E48" s="6">
        <v>5.1696547E7</v>
      </c>
      <c r="F48" s="6">
        <f t="shared" si="13"/>
        <v>2001638813</v>
      </c>
      <c r="G48" s="6">
        <v>9.81740942E8</v>
      </c>
      <c r="H48" s="20">
        <v>8057.0</v>
      </c>
      <c r="I48" s="6">
        <v>2635740.0</v>
      </c>
      <c r="J48" s="4">
        <v>3.4774652E7</v>
      </c>
      <c r="K48" s="4">
        <f t="shared" si="14"/>
        <v>-32138912</v>
      </c>
      <c r="L48" s="4">
        <f>I48+May!L48</f>
        <v>12865670.04</v>
      </c>
      <c r="M48" s="4">
        <f>J48+May!M48</f>
        <v>102310024.4</v>
      </c>
      <c r="N48" s="4">
        <f t="shared" si="15"/>
        <v>-89444354.35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6">
        <v>1.32712707E8</v>
      </c>
      <c r="E49" s="6">
        <v>165716.0</v>
      </c>
      <c r="F49" s="6">
        <f t="shared" si="13"/>
        <v>132546991</v>
      </c>
      <c r="G49" s="6">
        <v>7.4621057E7</v>
      </c>
      <c r="H49" s="20">
        <v>197.0</v>
      </c>
      <c r="I49" s="6">
        <v>9999.0</v>
      </c>
      <c r="J49" s="4">
        <v>728704.0</v>
      </c>
      <c r="K49" s="4">
        <f t="shared" si="14"/>
        <v>-718705</v>
      </c>
      <c r="L49" s="4">
        <f>I49+May!L49</f>
        <v>246291.67</v>
      </c>
      <c r="M49" s="4">
        <f>J49+May!M49</f>
        <v>6179946.55</v>
      </c>
      <c r="N49" s="4">
        <f t="shared" si="15"/>
        <v>-5933654.88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7.112742697E9</v>
      </c>
      <c r="E50" s="6">
        <v>3.1000609E7</v>
      </c>
      <c r="F50" s="6">
        <f t="shared" si="13"/>
        <v>7081742088</v>
      </c>
      <c r="G50" s="6">
        <v>3.464224318E9</v>
      </c>
      <c r="H50" s="20">
        <v>53801.0</v>
      </c>
      <c r="I50" s="6">
        <v>7646054.0</v>
      </c>
      <c r="J50" s="4">
        <v>4.7260177E7</v>
      </c>
      <c r="K50" s="4">
        <f t="shared" si="14"/>
        <v>-39614123</v>
      </c>
      <c r="L50" s="4">
        <f>I50+May!L50</f>
        <v>55246436.15</v>
      </c>
      <c r="M50" s="4">
        <f>J50+May!M50</f>
        <v>303040923.2</v>
      </c>
      <c r="N50" s="4">
        <f t="shared" si="15"/>
        <v>-247794487.1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6">
        <v>1.125956184E9</v>
      </c>
      <c r="E51" s="6">
        <v>8387122.0</v>
      </c>
      <c r="F51" s="6">
        <f t="shared" si="13"/>
        <v>1117569062</v>
      </c>
      <c r="G51" s="6">
        <v>5.94542418E8</v>
      </c>
      <c r="H51" s="20">
        <v>4998.0</v>
      </c>
      <c r="I51" s="6">
        <v>0.0</v>
      </c>
      <c r="J51" s="4">
        <v>3082253.0</v>
      </c>
      <c r="K51" s="4">
        <f t="shared" si="14"/>
        <v>-3082253</v>
      </c>
      <c r="L51" s="4">
        <f>I51+May!L51</f>
        <v>0</v>
      </c>
      <c r="M51" s="4">
        <f>J51+May!M51</f>
        <v>55016090.81</v>
      </c>
      <c r="N51" s="4">
        <f t="shared" si="15"/>
        <v>-55016090.81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6"/>
      <c r="E52" s="6"/>
      <c r="F52" s="6"/>
      <c r="G52" s="6"/>
      <c r="H52" s="20"/>
      <c r="I52" s="6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7.73721E7</v>
      </c>
      <c r="E53" s="6">
        <v>1076491.0</v>
      </c>
      <c r="F53" s="6">
        <f t="shared" ref="F53:F55" si="16">D53-E53</f>
        <v>76295609</v>
      </c>
      <c r="G53" s="6">
        <v>2.2639198E7</v>
      </c>
      <c r="H53" s="20">
        <v>1101.0</v>
      </c>
      <c r="I53" s="6">
        <v>315597.0</v>
      </c>
      <c r="J53" s="4">
        <v>1077571.0</v>
      </c>
      <c r="K53" s="4">
        <f t="shared" ref="K53:K55" si="17">I53-J53</f>
        <v>-761974</v>
      </c>
      <c r="L53" s="4">
        <f>I53+May!L53</f>
        <v>2827929.2</v>
      </c>
      <c r="M53" s="4">
        <f>J53+May!M53</f>
        <v>2028019.55</v>
      </c>
      <c r="N53" s="4">
        <f t="shared" ref="N53:N55" si="18">L53-M53</f>
        <v>799909.65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5.5154691E7</v>
      </c>
      <c r="E54" s="6">
        <v>278634.0</v>
      </c>
      <c r="F54" s="6">
        <f t="shared" si="16"/>
        <v>54876057</v>
      </c>
      <c r="G54" s="6">
        <v>4.3175901E7</v>
      </c>
      <c r="H54" s="20">
        <v>431.0</v>
      </c>
      <c r="I54" s="6">
        <v>94117.0</v>
      </c>
      <c r="J54" s="4">
        <v>39831.0</v>
      </c>
      <c r="K54" s="4">
        <f t="shared" si="17"/>
        <v>54286</v>
      </c>
      <c r="L54" s="4">
        <f>I54+May!L54</f>
        <v>1012314</v>
      </c>
      <c r="M54" s="4">
        <f>J54+May!M54</f>
        <v>1862420.19</v>
      </c>
      <c r="N54" s="4">
        <f t="shared" si="18"/>
        <v>-850106.19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6">
        <v>4.7292064E7</v>
      </c>
      <c r="E55" s="6">
        <v>235941.0</v>
      </c>
      <c r="F55" s="6">
        <f t="shared" si="16"/>
        <v>47056123</v>
      </c>
      <c r="G55" s="6">
        <v>3.941652E7</v>
      </c>
      <c r="H55" s="20">
        <v>199.0</v>
      </c>
      <c r="I55" s="6">
        <v>30500.0</v>
      </c>
      <c r="J55" s="4">
        <v>22148.0</v>
      </c>
      <c r="K55" s="4">
        <f t="shared" si="17"/>
        <v>8352</v>
      </c>
      <c r="L55" s="4">
        <f>I55+May!L55</f>
        <v>337467</v>
      </c>
      <c r="M55" s="4">
        <f>J55+May!M55</f>
        <v>125981.96</v>
      </c>
      <c r="N55" s="4">
        <f t="shared" si="18"/>
        <v>211485.04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54">
        <f t="shared" ref="D56:N56" si="19">SUM(D42:D55)</f>
        <v>13497516015</v>
      </c>
      <c r="E56" s="54">
        <f t="shared" si="19"/>
        <v>104720469.5</v>
      </c>
      <c r="F56" s="54">
        <f t="shared" si="19"/>
        <v>13392795546</v>
      </c>
      <c r="G56" s="54">
        <f t="shared" si="19"/>
        <v>6628974942</v>
      </c>
      <c r="H56" s="27">
        <f t="shared" si="19"/>
        <v>86791</v>
      </c>
      <c r="I56" s="54">
        <f t="shared" si="19"/>
        <v>13419330.22</v>
      </c>
      <c r="J56" s="54">
        <f t="shared" si="19"/>
        <v>136946553.1</v>
      </c>
      <c r="K56" s="54">
        <f t="shared" si="19"/>
        <v>-123527222.8</v>
      </c>
      <c r="L56" s="54">
        <f t="shared" si="19"/>
        <v>123218001.1</v>
      </c>
      <c r="M56" s="54">
        <f t="shared" si="19"/>
        <v>644036629.1</v>
      </c>
      <c r="N56" s="54">
        <f t="shared" si="19"/>
        <v>-520818628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6"/>
      <c r="E57" s="6"/>
      <c r="F57" s="6"/>
      <c r="G57" s="6"/>
      <c r="H57" s="20"/>
      <c r="I57" s="6"/>
      <c r="J57" s="4"/>
      <c r="K57" s="4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108</v>
      </c>
      <c r="D58" s="6">
        <v>7.168346796E7</v>
      </c>
      <c r="E58" s="6">
        <v>416874.26</v>
      </c>
      <c r="F58" s="6">
        <f t="shared" ref="F58:F61" si="20">D58-E58</f>
        <v>71266593.7</v>
      </c>
      <c r="G58" s="6">
        <v>0.0</v>
      </c>
      <c r="H58" s="20">
        <v>51.0</v>
      </c>
      <c r="I58" s="6">
        <v>0.0</v>
      </c>
      <c r="J58" s="6">
        <v>0.0</v>
      </c>
      <c r="K58" s="4">
        <f t="shared" ref="K58:K61" si="21">I58-J58</f>
        <v>0</v>
      </c>
      <c r="L58" s="4">
        <f>I58+May!L58</f>
        <v>0</v>
      </c>
      <c r="M58" s="4">
        <f>J58+May!M58</f>
        <v>447875.7492</v>
      </c>
      <c r="N58" s="4">
        <f t="shared" ref="N58:N61" si="22">L58-M58</f>
        <v>-447875.7492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6">
        <v>3.37795624E8</v>
      </c>
      <c r="E59" s="6">
        <v>2.534216158E7</v>
      </c>
      <c r="F59" s="6">
        <f t="shared" si="20"/>
        <v>312453462.4</v>
      </c>
      <c r="G59" s="6">
        <v>1.68249073E8</v>
      </c>
      <c r="H59" s="20">
        <v>255.0</v>
      </c>
      <c r="I59" s="6">
        <v>0.0</v>
      </c>
      <c r="J59" s="6">
        <v>306135.0</v>
      </c>
      <c r="K59" s="4">
        <f t="shared" si="21"/>
        <v>-306135</v>
      </c>
      <c r="L59" s="4">
        <f>I59+May!L59</f>
        <v>5631.4684</v>
      </c>
      <c r="M59" s="4">
        <f>J59+May!M59</f>
        <v>13403398.77</v>
      </c>
      <c r="N59" s="4">
        <f t="shared" si="22"/>
        <v>-13397767.3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v>1.540567705E9</v>
      </c>
      <c r="E60" s="6">
        <v>8794967.0</v>
      </c>
      <c r="F60" s="6">
        <f t="shared" si="20"/>
        <v>1531772738</v>
      </c>
      <c r="G60" s="6">
        <v>0.0</v>
      </c>
      <c r="H60" s="20">
        <v>4148.0</v>
      </c>
      <c r="I60" s="6">
        <v>1270589.0</v>
      </c>
      <c r="J60" s="6">
        <v>1.0735417E7</v>
      </c>
      <c r="K60" s="4">
        <f t="shared" si="21"/>
        <v>-9464828</v>
      </c>
      <c r="L60" s="4">
        <f>I60+May!L60</f>
        <v>12200813.29</v>
      </c>
      <c r="M60" s="4">
        <f>J60+May!M60</f>
        <v>79860950.24</v>
      </c>
      <c r="N60" s="4">
        <f t="shared" si="22"/>
        <v>-67660136.95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6">
        <v>2.62064512E8</v>
      </c>
      <c r="E61" s="6">
        <v>697125.0</v>
      </c>
      <c r="F61" s="6">
        <f t="shared" si="20"/>
        <v>261367387</v>
      </c>
      <c r="G61" s="6">
        <v>0.0</v>
      </c>
      <c r="H61" s="20">
        <v>732.0</v>
      </c>
      <c r="I61" s="6">
        <v>3296559.0</v>
      </c>
      <c r="J61" s="6">
        <v>1.1636098E7</v>
      </c>
      <c r="K61" s="4">
        <f t="shared" si="21"/>
        <v>-8339539</v>
      </c>
      <c r="L61" s="4">
        <f>I61+May!L61</f>
        <v>8576137.064</v>
      </c>
      <c r="M61" s="4">
        <f>J61+May!M61</f>
        <v>45453928.42</v>
      </c>
      <c r="N61" s="4">
        <f t="shared" si="22"/>
        <v>-36877791.35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54">
        <f t="shared" ref="D62:N62" si="23">SUM(D58:D61)</f>
        <v>2212111309</v>
      </c>
      <c r="E62" s="54">
        <f t="shared" si="23"/>
        <v>35251127.84</v>
      </c>
      <c r="F62" s="54">
        <f t="shared" si="23"/>
        <v>2176860181</v>
      </c>
      <c r="G62" s="54">
        <f t="shared" si="23"/>
        <v>168249073</v>
      </c>
      <c r="H62" s="27">
        <f t="shared" si="23"/>
        <v>5186</v>
      </c>
      <c r="I62" s="54">
        <f t="shared" si="23"/>
        <v>4567148</v>
      </c>
      <c r="J62" s="54">
        <f t="shared" si="23"/>
        <v>22677650</v>
      </c>
      <c r="K62" s="54">
        <f t="shared" si="23"/>
        <v>-18110502</v>
      </c>
      <c r="L62" s="54">
        <f t="shared" si="23"/>
        <v>20782581.82</v>
      </c>
      <c r="M62" s="54">
        <f t="shared" si="23"/>
        <v>139166153.2</v>
      </c>
      <c r="N62" s="54">
        <f t="shared" si="23"/>
        <v>-118383571.4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54">
        <f t="shared" ref="D63:N63" si="24">D56+D62</f>
        <v>15709627324</v>
      </c>
      <c r="E63" s="54">
        <f t="shared" si="24"/>
        <v>139971597.3</v>
      </c>
      <c r="F63" s="54">
        <f t="shared" si="24"/>
        <v>15569655727</v>
      </c>
      <c r="G63" s="54">
        <f t="shared" si="24"/>
        <v>6797224015</v>
      </c>
      <c r="H63" s="27">
        <f t="shared" si="24"/>
        <v>91977</v>
      </c>
      <c r="I63" s="54">
        <f t="shared" si="24"/>
        <v>17986478.22</v>
      </c>
      <c r="J63" s="54">
        <f t="shared" si="24"/>
        <v>159624203.1</v>
      </c>
      <c r="K63" s="54">
        <f t="shared" si="24"/>
        <v>-141637724.8</v>
      </c>
      <c r="L63" s="54">
        <f t="shared" si="24"/>
        <v>144000582.9</v>
      </c>
      <c r="M63" s="54">
        <f t="shared" si="24"/>
        <v>783202782.3</v>
      </c>
      <c r="N63" s="54">
        <f t="shared" si="24"/>
        <v>-639202199.4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6"/>
      <c r="E65" s="6"/>
      <c r="F65" s="6"/>
      <c r="G65" s="6"/>
      <c r="H65" s="20"/>
      <c r="I65" s="6"/>
      <c r="J65" s="4"/>
      <c r="K65" s="4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6">
        <v>3.850498251E10</v>
      </c>
      <c r="E66" s="6">
        <v>2.2426196E8</v>
      </c>
      <c r="F66" s="6">
        <f t="shared" ref="F66:F76" si="25">D66-E66</f>
        <v>38280720550</v>
      </c>
      <c r="G66" s="6">
        <v>9.29406112E8</v>
      </c>
      <c r="H66" s="20">
        <v>24332.0</v>
      </c>
      <c r="I66" s="6">
        <v>1.77287307E8</v>
      </c>
      <c r="J66" s="4">
        <v>4.35266736E8</v>
      </c>
      <c r="K66" s="4">
        <f t="shared" ref="K66:K76" si="26">I66-J66</f>
        <v>-257979429</v>
      </c>
      <c r="L66" s="4">
        <f>I66+May!L66</f>
        <v>1409094983</v>
      </c>
      <c r="M66" s="4">
        <f>J66+May!M66</f>
        <v>3512698993</v>
      </c>
      <c r="N66" s="4">
        <f t="shared" ref="N66:N76" si="27">L66-M66</f>
        <v>-2103604010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4.7428397003E8</v>
      </c>
      <c r="E67" s="6">
        <v>-5158686.31</v>
      </c>
      <c r="F67" s="6">
        <f t="shared" si="25"/>
        <v>479442656.3</v>
      </c>
      <c r="G67" s="6">
        <v>0.0</v>
      </c>
      <c r="H67" s="20">
        <v>1073.0</v>
      </c>
      <c r="I67" s="6">
        <v>2482180.26</v>
      </c>
      <c r="J67" s="4">
        <v>2.538052756E7</v>
      </c>
      <c r="K67" s="4">
        <f t="shared" si="26"/>
        <v>-22898347.3</v>
      </c>
      <c r="L67" s="4">
        <f>I67+May!L67</f>
        <v>55640441.8</v>
      </c>
      <c r="M67" s="4">
        <f>J67+May!M67</f>
        <v>57458194.81</v>
      </c>
      <c r="N67" s="4">
        <f t="shared" si="27"/>
        <v>-1817753.01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6">
        <v>9.5798690533E8</v>
      </c>
      <c r="E68" s="6">
        <v>1.849265516E7</v>
      </c>
      <c r="F68" s="6">
        <f t="shared" si="25"/>
        <v>939494250.2</v>
      </c>
      <c r="G68" s="6">
        <v>0.0</v>
      </c>
      <c r="H68" s="20">
        <v>1917.0</v>
      </c>
      <c r="I68" s="6">
        <v>3124787.47</v>
      </c>
      <c r="J68" s="4">
        <v>2.480446909E7</v>
      </c>
      <c r="K68" s="4">
        <f t="shared" si="26"/>
        <v>-21679681.62</v>
      </c>
      <c r="L68" s="4">
        <f>I68+May!L68</f>
        <v>28345420.08</v>
      </c>
      <c r="M68" s="4">
        <f>J68+May!M68</f>
        <v>99357244.52</v>
      </c>
      <c r="N68" s="4">
        <f t="shared" si="27"/>
        <v>-71011824.44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6">
        <v>1.98490228E8</v>
      </c>
      <c r="E69" s="6">
        <v>173602.0</v>
      </c>
      <c r="F69" s="6">
        <f t="shared" si="25"/>
        <v>198316626</v>
      </c>
      <c r="G69" s="6">
        <v>4870000.0</v>
      </c>
      <c r="H69" s="20">
        <v>212.0</v>
      </c>
      <c r="I69" s="6">
        <v>289175.0</v>
      </c>
      <c r="J69" s="4">
        <v>695123.0</v>
      </c>
      <c r="K69" s="4">
        <f t="shared" si="26"/>
        <v>-405948</v>
      </c>
      <c r="L69" s="4">
        <f>I69+May!L69</f>
        <v>5411183.85</v>
      </c>
      <c r="M69" s="4">
        <f>J69+May!M69</f>
        <v>5047185.64</v>
      </c>
      <c r="N69" s="4">
        <f t="shared" si="27"/>
        <v>363998.21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1.5035878E9</v>
      </c>
      <c r="E70" s="6">
        <v>2727191.0</v>
      </c>
      <c r="F70" s="6">
        <f t="shared" si="25"/>
        <v>1500860609</v>
      </c>
      <c r="G70" s="6">
        <v>0.0</v>
      </c>
      <c r="H70" s="20">
        <v>1850.0</v>
      </c>
      <c r="I70" s="6">
        <v>1.3142256E7</v>
      </c>
      <c r="J70" s="4">
        <v>1.4451213E7</v>
      </c>
      <c r="K70" s="4">
        <f t="shared" si="26"/>
        <v>-1308957</v>
      </c>
      <c r="L70" s="4">
        <f>I70+May!L70</f>
        <v>269158486.1</v>
      </c>
      <c r="M70" s="4">
        <f>J70+May!M70</f>
        <v>63410341.67</v>
      </c>
      <c r="N70" s="4">
        <f t="shared" si="27"/>
        <v>205748144.5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7.61796807E8</v>
      </c>
      <c r="E71" s="6">
        <v>3.8072448E7</v>
      </c>
      <c r="F71" s="6">
        <f t="shared" si="25"/>
        <v>723724359</v>
      </c>
      <c r="G71" s="6">
        <v>0.0</v>
      </c>
      <c r="H71" s="20">
        <v>490.0</v>
      </c>
      <c r="I71" s="6">
        <v>1082276.0</v>
      </c>
      <c r="J71" s="4">
        <v>5070748.0</v>
      </c>
      <c r="K71" s="4">
        <f t="shared" si="26"/>
        <v>-3988472</v>
      </c>
      <c r="L71" s="4">
        <f>I71+May!L71</f>
        <v>12220659.49</v>
      </c>
      <c r="M71" s="4">
        <f>J71+May!M71</f>
        <v>117082293.8</v>
      </c>
      <c r="N71" s="4">
        <f t="shared" si="27"/>
        <v>-104861634.3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1.700920116E9</v>
      </c>
      <c r="E72" s="6">
        <v>2.4900757E7</v>
      </c>
      <c r="F72" s="6">
        <f t="shared" si="25"/>
        <v>1676019359</v>
      </c>
      <c r="G72" s="6">
        <v>0.0</v>
      </c>
      <c r="H72" s="20">
        <v>4975.0</v>
      </c>
      <c r="I72" s="6">
        <v>5334812.0</v>
      </c>
      <c r="J72" s="4">
        <v>1.4235452E7</v>
      </c>
      <c r="K72" s="4">
        <f t="shared" si="26"/>
        <v>-8900640</v>
      </c>
      <c r="L72" s="4">
        <f>I72+May!L72</f>
        <v>24022614.15</v>
      </c>
      <c r="M72" s="4">
        <f>J72+May!M72</f>
        <v>63690693.64</v>
      </c>
      <c r="N72" s="4">
        <f t="shared" si="27"/>
        <v>-39668079.49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3.07982142688E8</v>
      </c>
      <c r="E73" s="6">
        <v>694687.9663</v>
      </c>
      <c r="F73" s="6">
        <f t="shared" si="25"/>
        <v>307287454.7</v>
      </c>
      <c r="G73" s="6">
        <v>0.0</v>
      </c>
      <c r="H73" s="20">
        <v>4126.0</v>
      </c>
      <c r="I73" s="6">
        <v>816347.31</v>
      </c>
      <c r="J73" s="4">
        <v>1018332.92</v>
      </c>
      <c r="K73" s="4">
        <f t="shared" si="26"/>
        <v>-201985.61</v>
      </c>
      <c r="L73" s="4">
        <f>I73+May!L73</f>
        <v>19708216.68</v>
      </c>
      <c r="M73" s="4">
        <f>J73+May!M73</f>
        <v>22476720.36</v>
      </c>
      <c r="N73" s="4">
        <f t="shared" si="27"/>
        <v>-2768503.68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1.37303547003E9</v>
      </c>
      <c r="E74" s="6">
        <v>-698862.49</v>
      </c>
      <c r="F74" s="6">
        <f t="shared" si="25"/>
        <v>1373734333</v>
      </c>
      <c r="G74" s="6">
        <v>0.0</v>
      </c>
      <c r="H74" s="20">
        <v>809.0</v>
      </c>
      <c r="I74" s="6">
        <v>52805.59</v>
      </c>
      <c r="J74" s="4">
        <v>104156.91</v>
      </c>
      <c r="K74" s="4">
        <f t="shared" si="26"/>
        <v>-51351.32</v>
      </c>
      <c r="L74" s="4">
        <f>I74+May!L74</f>
        <v>131316782</v>
      </c>
      <c r="M74" s="4">
        <f>J74+May!M74</f>
        <v>4468603.91</v>
      </c>
      <c r="N74" s="4">
        <f t="shared" si="27"/>
        <v>126848178.1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5.541069292E9</v>
      </c>
      <c r="E75" s="6">
        <v>9233465.0</v>
      </c>
      <c r="F75" s="6">
        <f t="shared" si="25"/>
        <v>5531835827</v>
      </c>
      <c r="G75" s="6">
        <v>0.0</v>
      </c>
      <c r="H75" s="20">
        <v>17278.0</v>
      </c>
      <c r="I75" s="6">
        <v>1.45063588E8</v>
      </c>
      <c r="J75" s="4">
        <v>3.5908642E7</v>
      </c>
      <c r="K75" s="4">
        <f t="shared" si="26"/>
        <v>109154946</v>
      </c>
      <c r="L75" s="4">
        <f>I75+May!L75</f>
        <v>1311627654</v>
      </c>
      <c r="M75" s="4">
        <f>J75+May!M75</f>
        <v>353883827</v>
      </c>
      <c r="N75" s="4">
        <f t="shared" si="27"/>
        <v>957743827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6">
        <v>1.38924622E8</v>
      </c>
      <c r="E76" s="6">
        <v>399541.0</v>
      </c>
      <c r="F76" s="6">
        <f t="shared" si="25"/>
        <v>138525081</v>
      </c>
      <c r="G76" s="6">
        <v>0.0</v>
      </c>
      <c r="H76" s="20">
        <v>2695.0</v>
      </c>
      <c r="I76" s="6">
        <v>3904010.0</v>
      </c>
      <c r="J76" s="4">
        <v>4111917.0</v>
      </c>
      <c r="K76" s="4">
        <f t="shared" si="26"/>
        <v>-207907</v>
      </c>
      <c r="L76" s="4">
        <f>I76+May!L76</f>
        <v>7205653.44</v>
      </c>
      <c r="M76" s="4">
        <f>J76+May!M76</f>
        <v>9122302.71</v>
      </c>
      <c r="N76" s="4">
        <f t="shared" si="27"/>
        <v>-1916649.27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54">
        <f t="shared" ref="D77:N77" si="28">SUM(D66:D76)</f>
        <v>51463059863</v>
      </c>
      <c r="E77" s="54">
        <f t="shared" si="28"/>
        <v>313098758.3</v>
      </c>
      <c r="F77" s="54">
        <f t="shared" si="28"/>
        <v>51149961105</v>
      </c>
      <c r="G77" s="54">
        <f t="shared" si="28"/>
        <v>934276112</v>
      </c>
      <c r="H77" s="27">
        <f t="shared" si="28"/>
        <v>59757</v>
      </c>
      <c r="I77" s="54">
        <f t="shared" si="28"/>
        <v>352579544.6</v>
      </c>
      <c r="J77" s="54">
        <f t="shared" si="28"/>
        <v>561047317.5</v>
      </c>
      <c r="K77" s="54">
        <f t="shared" si="28"/>
        <v>-208467772.9</v>
      </c>
      <c r="L77" s="54">
        <f t="shared" si="28"/>
        <v>3273752095</v>
      </c>
      <c r="M77" s="54">
        <f t="shared" si="28"/>
        <v>4308696401</v>
      </c>
      <c r="N77" s="54">
        <f t="shared" si="28"/>
        <v>-1034944306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6"/>
      <c r="E78" s="6"/>
      <c r="F78" s="6"/>
      <c r="G78" s="6"/>
      <c r="H78" s="6"/>
      <c r="I78" s="6"/>
      <c r="J78" s="6"/>
      <c r="K78" s="6"/>
      <c r="L78" s="6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6">
        <v>1.3483206111E10</v>
      </c>
      <c r="E79" s="6">
        <v>1.2109612442E8</v>
      </c>
      <c r="F79" s="6">
        <f t="shared" ref="F79:F85" si="29">D79-E79</f>
        <v>13362109987</v>
      </c>
      <c r="G79" s="6">
        <v>0.0</v>
      </c>
      <c r="H79" s="20">
        <v>8374.0</v>
      </c>
      <c r="I79" s="6">
        <v>2.9722064E7</v>
      </c>
      <c r="J79" s="4">
        <v>1.31122672E8</v>
      </c>
      <c r="K79" s="4">
        <f t="shared" ref="K79:K85" si="30">I79-J79</f>
        <v>-101400608</v>
      </c>
      <c r="L79" s="4">
        <f>I79+May!L79</f>
        <v>335372211.4</v>
      </c>
      <c r="M79" s="4">
        <f>J79+May!M79</f>
        <v>865271112.3</v>
      </c>
      <c r="N79" s="4">
        <f t="shared" ref="N79:N85" si="31">L79-M79</f>
        <v>-529898900.9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2.6195250804E8</v>
      </c>
      <c r="E80" s="6">
        <v>-1186074.67</v>
      </c>
      <c r="F80" s="6">
        <f t="shared" si="29"/>
        <v>263138582.7</v>
      </c>
      <c r="G80" s="6">
        <v>0.0</v>
      </c>
      <c r="H80" s="20">
        <v>160.0</v>
      </c>
      <c r="I80" s="6">
        <v>0.0</v>
      </c>
      <c r="J80" s="4">
        <v>12246.73</v>
      </c>
      <c r="K80" s="4">
        <f t="shared" si="30"/>
        <v>-12246.73</v>
      </c>
      <c r="L80" s="4">
        <f>I80+May!L80</f>
        <v>1334681.975</v>
      </c>
      <c r="M80" s="4">
        <f>J80+May!M80</f>
        <v>5857657.551</v>
      </c>
      <c r="N80" s="4">
        <f t="shared" si="31"/>
        <v>-4522975.576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6">
        <v>4.47547347E8</v>
      </c>
      <c r="E81" s="6">
        <v>3167954.0</v>
      </c>
      <c r="F81" s="6">
        <f t="shared" si="29"/>
        <v>444379393</v>
      </c>
      <c r="G81" s="6">
        <v>0.0</v>
      </c>
      <c r="H81" s="20">
        <v>167.0</v>
      </c>
      <c r="I81" s="6">
        <v>1770731.0</v>
      </c>
      <c r="J81" s="4">
        <v>323284.0</v>
      </c>
      <c r="K81" s="4">
        <f t="shared" si="30"/>
        <v>1447447</v>
      </c>
      <c r="L81" s="4">
        <f>I81+May!L81</f>
        <v>15971168.46</v>
      </c>
      <c r="M81" s="4">
        <f>J81+May!M81</f>
        <v>7566314.96</v>
      </c>
      <c r="N81" s="4">
        <f t="shared" si="31"/>
        <v>8404853.5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109</v>
      </c>
      <c r="D82" s="6">
        <v>6.3739041E7</v>
      </c>
      <c r="E82" s="6">
        <v>1.4355185E7</v>
      </c>
      <c r="F82" s="6">
        <f t="shared" si="29"/>
        <v>49383856</v>
      </c>
      <c r="G82" s="6">
        <v>0.0</v>
      </c>
      <c r="H82" s="20">
        <v>27.0</v>
      </c>
      <c r="I82" s="6">
        <v>0.0</v>
      </c>
      <c r="J82" s="4">
        <v>0.0</v>
      </c>
      <c r="K82" s="4">
        <f t="shared" si="30"/>
        <v>0</v>
      </c>
      <c r="L82" s="4">
        <f>I82+May!L82</f>
        <v>0</v>
      </c>
      <c r="M82" s="4">
        <f>J82+May!M82</f>
        <v>0</v>
      </c>
      <c r="N82" s="4">
        <f t="shared" si="31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1.991807402E9</v>
      </c>
      <c r="E83" s="6">
        <v>2.3000881E7</v>
      </c>
      <c r="F83" s="6">
        <f t="shared" si="29"/>
        <v>1968806521</v>
      </c>
      <c r="G83" s="6">
        <v>0.0</v>
      </c>
      <c r="H83" s="20">
        <v>1865.0</v>
      </c>
      <c r="I83" s="6">
        <v>250829.0</v>
      </c>
      <c r="J83" s="4">
        <v>1.2098388E7</v>
      </c>
      <c r="K83" s="4">
        <f t="shared" si="30"/>
        <v>-11847559</v>
      </c>
      <c r="L83" s="4">
        <f>I83+May!L83</f>
        <v>1129529.851</v>
      </c>
      <c r="M83" s="4">
        <f>J83+May!M83</f>
        <v>79558105.87</v>
      </c>
      <c r="N83" s="4">
        <f t="shared" si="31"/>
        <v>-78428576.02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v>2.312261366106E8</v>
      </c>
      <c r="E84" s="6">
        <v>1233751.1445</v>
      </c>
      <c r="F84" s="6">
        <f t="shared" si="29"/>
        <v>229992385.5</v>
      </c>
      <c r="G84" s="6">
        <v>0.0</v>
      </c>
      <c r="H84" s="20">
        <v>118.0</v>
      </c>
      <c r="I84" s="6">
        <v>149040.0</v>
      </c>
      <c r="J84" s="4">
        <v>607823.21</v>
      </c>
      <c r="K84" s="4">
        <f t="shared" si="30"/>
        <v>-458783.21</v>
      </c>
      <c r="L84" s="4">
        <f>I84+May!L84</f>
        <v>1290589</v>
      </c>
      <c r="M84" s="4">
        <f>J84+May!M84</f>
        <v>3979991.507</v>
      </c>
      <c r="N84" s="4">
        <f t="shared" si="31"/>
        <v>-2689402.507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6">
        <v>5.2949982E8</v>
      </c>
      <c r="E85" s="6">
        <v>3466208.0</v>
      </c>
      <c r="F85" s="6">
        <f t="shared" si="29"/>
        <v>526033612</v>
      </c>
      <c r="G85" s="6">
        <v>0.0</v>
      </c>
      <c r="H85" s="20">
        <v>2555.0</v>
      </c>
      <c r="I85" s="6">
        <v>2155839.0</v>
      </c>
      <c r="J85" s="4">
        <v>2409524.0</v>
      </c>
      <c r="K85" s="4">
        <f t="shared" si="30"/>
        <v>-253685</v>
      </c>
      <c r="L85" s="4">
        <f>I85+May!L85</f>
        <v>108849386.2</v>
      </c>
      <c r="M85" s="4">
        <f>J85+May!M85</f>
        <v>30081878.9</v>
      </c>
      <c r="N85" s="4">
        <f t="shared" si="31"/>
        <v>78767507.26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54">
        <f t="shared" ref="D86:N86" si="32">SUM(D79:D85)</f>
        <v>17008978366</v>
      </c>
      <c r="E86" s="54">
        <f t="shared" si="32"/>
        <v>165134028.9</v>
      </c>
      <c r="F86" s="54">
        <f t="shared" si="32"/>
        <v>16843844337</v>
      </c>
      <c r="G86" s="54">
        <f t="shared" si="32"/>
        <v>0</v>
      </c>
      <c r="H86" s="54">
        <f t="shared" si="32"/>
        <v>13266</v>
      </c>
      <c r="I86" s="54">
        <f t="shared" si="32"/>
        <v>34048503</v>
      </c>
      <c r="J86" s="54">
        <f t="shared" si="32"/>
        <v>146573937.9</v>
      </c>
      <c r="K86" s="54">
        <f t="shared" si="32"/>
        <v>-112525434.9</v>
      </c>
      <c r="L86" s="54">
        <f t="shared" si="32"/>
        <v>463947566.8</v>
      </c>
      <c r="M86" s="54">
        <f t="shared" si="32"/>
        <v>992315061.1</v>
      </c>
      <c r="N86" s="54">
        <f t="shared" si="32"/>
        <v>-528367494.3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6">
        <v>9.38432451E8</v>
      </c>
      <c r="E87" s="6">
        <v>7459457.0</v>
      </c>
      <c r="F87" s="6">
        <f>D87-E87</f>
        <v>930972994</v>
      </c>
      <c r="G87" s="6">
        <v>0.0</v>
      </c>
      <c r="H87" s="20">
        <v>634.0</v>
      </c>
      <c r="I87" s="6">
        <v>4261174.0</v>
      </c>
      <c r="J87" s="4">
        <v>5306522.0</v>
      </c>
      <c r="K87" s="4">
        <f>I87-J87</f>
        <v>-1045348</v>
      </c>
      <c r="L87" s="4">
        <f>I87+May!L87</f>
        <v>33296062.16</v>
      </c>
      <c r="M87" s="4">
        <f>J87+May!M87</f>
        <v>29017332.84</v>
      </c>
      <c r="N87" s="4">
        <f>L87-M87</f>
        <v>4278729.313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54">
        <f t="shared" ref="D88:N88" si="33">SUM(D87)</f>
        <v>938432451</v>
      </c>
      <c r="E88" s="54">
        <f t="shared" si="33"/>
        <v>7459457</v>
      </c>
      <c r="F88" s="54">
        <f t="shared" si="33"/>
        <v>930972994</v>
      </c>
      <c r="G88" s="54">
        <f t="shared" si="33"/>
        <v>0</v>
      </c>
      <c r="H88" s="27">
        <f t="shared" si="33"/>
        <v>634</v>
      </c>
      <c r="I88" s="54">
        <f t="shared" si="33"/>
        <v>4261174</v>
      </c>
      <c r="J88" s="54">
        <f t="shared" si="33"/>
        <v>5306522</v>
      </c>
      <c r="K88" s="54">
        <f t="shared" si="33"/>
        <v>-1045348</v>
      </c>
      <c r="L88" s="54">
        <f t="shared" si="33"/>
        <v>33296062.16</v>
      </c>
      <c r="M88" s="54">
        <f t="shared" si="33"/>
        <v>29017332.84</v>
      </c>
      <c r="N88" s="54">
        <f t="shared" si="33"/>
        <v>4278729.313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54">
        <f t="shared" ref="D89:N89" si="34">D77+D86+D88</f>
        <v>69410470680</v>
      </c>
      <c r="E89" s="54">
        <f t="shared" si="34"/>
        <v>485692244.2</v>
      </c>
      <c r="F89" s="54">
        <f t="shared" si="34"/>
        <v>68924778436</v>
      </c>
      <c r="G89" s="54">
        <f t="shared" si="34"/>
        <v>934276112</v>
      </c>
      <c r="H89" s="27">
        <f t="shared" si="34"/>
        <v>73657</v>
      </c>
      <c r="I89" s="54">
        <f t="shared" si="34"/>
        <v>390889221.6</v>
      </c>
      <c r="J89" s="54">
        <f t="shared" si="34"/>
        <v>712927777.4</v>
      </c>
      <c r="K89" s="54">
        <f t="shared" si="34"/>
        <v>-322038555.8</v>
      </c>
      <c r="L89" s="54">
        <f t="shared" si="34"/>
        <v>3770995724</v>
      </c>
      <c r="M89" s="54">
        <f t="shared" si="34"/>
        <v>5330028795</v>
      </c>
      <c r="N89" s="54">
        <f t="shared" si="34"/>
        <v>-1559033071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6"/>
      <c r="E91" s="6"/>
      <c r="F91" s="6"/>
      <c r="G91" s="6"/>
      <c r="H91" s="20"/>
      <c r="I91" s="6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3.2673646292E10</v>
      </c>
      <c r="E92" s="6">
        <v>5.15245636E8</v>
      </c>
      <c r="F92" s="6">
        <f t="shared" ref="F92:F94" si="35">D92-E92</f>
        <v>32158400656</v>
      </c>
      <c r="G92" s="6">
        <v>0.0</v>
      </c>
      <c r="H92" s="20">
        <v>28038.0</v>
      </c>
      <c r="I92" s="6">
        <v>342917.0</v>
      </c>
      <c r="J92" s="4">
        <v>1.322124768E9</v>
      </c>
      <c r="K92" s="4">
        <f t="shared" ref="K92:K94" si="36">I92-J92</f>
        <v>-1321781851</v>
      </c>
      <c r="L92" s="4">
        <f>I92+May!L92</f>
        <v>9183462854</v>
      </c>
      <c r="M92" s="4">
        <f>J92+May!M92</f>
        <v>12087306196</v>
      </c>
      <c r="N92" s="4">
        <f t="shared" ref="N92:N94" si="37">L92-M92</f>
        <v>-2903843342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6">
        <v>2.259155326E9</v>
      </c>
      <c r="E93" s="6">
        <v>1.6267706E7</v>
      </c>
      <c r="F93" s="6">
        <f t="shared" si="35"/>
        <v>2242887620</v>
      </c>
      <c r="G93" s="6">
        <v>0.0</v>
      </c>
      <c r="H93" s="20">
        <v>789.0</v>
      </c>
      <c r="I93" s="6">
        <v>5.123697E7</v>
      </c>
      <c r="J93" s="4">
        <v>1.41760704E8</v>
      </c>
      <c r="K93" s="4">
        <f t="shared" si="36"/>
        <v>-90523734</v>
      </c>
      <c r="L93" s="4">
        <f>I93+May!L93</f>
        <v>435363676.7</v>
      </c>
      <c r="M93" s="4">
        <f>J93+May!M93</f>
        <v>1056429283</v>
      </c>
      <c r="N93" s="4">
        <f t="shared" si="37"/>
        <v>-621065606.1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6">
        <v>3.304735001E10</v>
      </c>
      <c r="E94" s="6">
        <v>1.10368042E8</v>
      </c>
      <c r="F94" s="6">
        <f t="shared" si="35"/>
        <v>32936981968</v>
      </c>
      <c r="G94" s="6">
        <v>0.0</v>
      </c>
      <c r="H94" s="20">
        <v>67472.0</v>
      </c>
      <c r="I94" s="6">
        <v>1.378505927E9</v>
      </c>
      <c r="J94" s="4">
        <v>3.364912824E9</v>
      </c>
      <c r="K94" s="4">
        <f t="shared" si="36"/>
        <v>-1986406897</v>
      </c>
      <c r="L94" s="4">
        <f>I94+May!L94</f>
        <v>12518040943</v>
      </c>
      <c r="M94" s="4">
        <f>J94+May!M94</f>
        <v>32374429540</v>
      </c>
      <c r="N94" s="4">
        <f t="shared" si="37"/>
        <v>-19856388597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6"/>
      <c r="E95" s="6"/>
      <c r="F95" s="6"/>
      <c r="G95" s="6"/>
      <c r="H95" s="20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6">
        <v>6.678643874E9</v>
      </c>
      <c r="E96" s="6">
        <v>2.14846156E8</v>
      </c>
      <c r="F96" s="6">
        <f>D96-E96</f>
        <v>6463797718</v>
      </c>
      <c r="G96" s="6">
        <v>0.0</v>
      </c>
      <c r="H96" s="20">
        <v>6502.0</v>
      </c>
      <c r="I96" s="6">
        <v>1.02288888E9</v>
      </c>
      <c r="J96" s="4">
        <v>7.00585421E8</v>
      </c>
      <c r="K96" s="4">
        <f>I96-J96</f>
        <v>322303459</v>
      </c>
      <c r="L96" s="4">
        <f>I96+May!L96</f>
        <v>8372258900</v>
      </c>
      <c r="M96" s="4">
        <f>J96+May!M96</f>
        <v>5527739809</v>
      </c>
      <c r="N96" s="4">
        <f>L96-M96</f>
        <v>2844519090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54">
        <f t="shared" ref="D97:N97" si="38">SUM(D92:D94)+D96</f>
        <v>74658795502</v>
      </c>
      <c r="E97" s="54">
        <f t="shared" si="38"/>
        <v>856727540</v>
      </c>
      <c r="F97" s="54">
        <f t="shared" si="38"/>
        <v>73802067962</v>
      </c>
      <c r="G97" s="54">
        <f t="shared" si="38"/>
        <v>0</v>
      </c>
      <c r="H97" s="27">
        <f t="shared" si="38"/>
        <v>102801</v>
      </c>
      <c r="I97" s="54">
        <f t="shared" si="38"/>
        <v>2452974694</v>
      </c>
      <c r="J97" s="54">
        <f t="shared" si="38"/>
        <v>5529383717</v>
      </c>
      <c r="K97" s="54">
        <f t="shared" si="38"/>
        <v>-3076409023</v>
      </c>
      <c r="L97" s="54">
        <f t="shared" si="38"/>
        <v>30509126373</v>
      </c>
      <c r="M97" s="54">
        <f t="shared" si="38"/>
        <v>51045904828</v>
      </c>
      <c r="N97" s="54">
        <f t="shared" si="38"/>
        <v>-20536778455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6"/>
      <c r="E98" s="6"/>
      <c r="F98" s="6"/>
      <c r="G98" s="6"/>
      <c r="H98" s="20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6">
        <v>3.346907573E9</v>
      </c>
      <c r="E99" s="6">
        <v>1.2582125E7</v>
      </c>
      <c r="F99" s="6">
        <f>D99-E99</f>
        <v>3334325448</v>
      </c>
      <c r="G99" s="6">
        <v>0.0</v>
      </c>
      <c r="H99" s="20">
        <v>3542.0</v>
      </c>
      <c r="I99" s="6">
        <v>4.62595657E8</v>
      </c>
      <c r="J99" s="6">
        <v>7.63951274E8</v>
      </c>
      <c r="K99" s="4">
        <f>I99-J99</f>
        <v>-301355617</v>
      </c>
      <c r="L99" s="4">
        <f>I99+May!L99</f>
        <v>3602406349</v>
      </c>
      <c r="M99" s="4">
        <f>J99+May!M99</f>
        <v>6905867520</v>
      </c>
      <c r="N99" s="4">
        <f>L99-M99</f>
        <v>-3303461171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54">
        <f t="shared" ref="D100:N100" si="39">SUM(D99)</f>
        <v>3346907573</v>
      </c>
      <c r="E100" s="54">
        <f t="shared" si="39"/>
        <v>12582125</v>
      </c>
      <c r="F100" s="54">
        <f t="shared" si="39"/>
        <v>3334325448</v>
      </c>
      <c r="G100" s="54">
        <f t="shared" si="39"/>
        <v>0</v>
      </c>
      <c r="H100" s="27">
        <f t="shared" si="39"/>
        <v>3542</v>
      </c>
      <c r="I100" s="54">
        <f t="shared" si="39"/>
        <v>462595657</v>
      </c>
      <c r="J100" s="54">
        <f t="shared" si="39"/>
        <v>763951274</v>
      </c>
      <c r="K100" s="54">
        <f t="shared" si="39"/>
        <v>-301355617</v>
      </c>
      <c r="L100" s="54">
        <f t="shared" si="39"/>
        <v>3602406349</v>
      </c>
      <c r="M100" s="54">
        <f t="shared" si="39"/>
        <v>6905867520</v>
      </c>
      <c r="N100" s="54">
        <f t="shared" si="39"/>
        <v>-3303461171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54">
        <f t="shared" ref="D101:N101" si="40">D97+D100</f>
        <v>78005703075</v>
      </c>
      <c r="E101" s="54">
        <f t="shared" si="40"/>
        <v>869309665</v>
      </c>
      <c r="F101" s="54">
        <f t="shared" si="40"/>
        <v>77136393410</v>
      </c>
      <c r="G101" s="54">
        <f t="shared" si="40"/>
        <v>0</v>
      </c>
      <c r="H101" s="27">
        <f t="shared" si="40"/>
        <v>106343</v>
      </c>
      <c r="I101" s="54">
        <f t="shared" si="40"/>
        <v>2915570351</v>
      </c>
      <c r="J101" s="54">
        <f t="shared" si="40"/>
        <v>6293334991</v>
      </c>
      <c r="K101" s="54">
        <f t="shared" si="40"/>
        <v>-3377764640</v>
      </c>
      <c r="L101" s="54">
        <f t="shared" si="40"/>
        <v>34111532722</v>
      </c>
      <c r="M101" s="54">
        <f t="shared" si="40"/>
        <v>57951772348</v>
      </c>
      <c r="N101" s="54">
        <f t="shared" si="40"/>
        <v>-23840239626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6"/>
      <c r="E103" s="6"/>
      <c r="F103" s="6"/>
      <c r="G103" s="6"/>
      <c r="H103" s="20"/>
      <c r="I103" s="6"/>
      <c r="J103" s="6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104</v>
      </c>
      <c r="D104" s="6">
        <v>9.15926824E9</v>
      </c>
      <c r="E104" s="6">
        <v>9.3546557E7</v>
      </c>
      <c r="F104" s="6">
        <f t="shared" ref="F104:F105" si="41">D104-E104</f>
        <v>9065721683</v>
      </c>
      <c r="G104" s="6">
        <v>0.0</v>
      </c>
      <c r="H104" s="20">
        <v>62388.0</v>
      </c>
      <c r="I104" s="6">
        <v>4.5168502E7</v>
      </c>
      <c r="J104" s="6">
        <v>1.14070308E8</v>
      </c>
      <c r="K104" s="4">
        <f t="shared" ref="K104:K105" si="42">I104-J104</f>
        <v>-68901806</v>
      </c>
      <c r="L104" s="4">
        <f>I104+May!L104</f>
        <v>552825812.9</v>
      </c>
      <c r="M104" s="4">
        <f>J104+May!M104</f>
        <v>681242094.4</v>
      </c>
      <c r="N104" s="4">
        <f t="shared" ref="N104:N105" si="43">L104-M104</f>
        <v>-128416281.5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6">
        <v>3.334245963E9</v>
      </c>
      <c r="E105" s="6">
        <v>2.1183555E7</v>
      </c>
      <c r="F105" s="6">
        <f t="shared" si="41"/>
        <v>3313062408</v>
      </c>
      <c r="G105" s="6">
        <v>0.0</v>
      </c>
      <c r="H105" s="20">
        <v>6185.0</v>
      </c>
      <c r="I105" s="6">
        <v>6.215057E7</v>
      </c>
      <c r="J105" s="6">
        <v>7.5512865E7</v>
      </c>
      <c r="K105" s="4">
        <f t="shared" si="42"/>
        <v>-13362295</v>
      </c>
      <c r="L105" s="4">
        <f>I105+May!L105</f>
        <v>174268582.1</v>
      </c>
      <c r="M105" s="4">
        <f>J105+May!M105</f>
        <v>468770020.7</v>
      </c>
      <c r="N105" s="4">
        <f t="shared" si="43"/>
        <v>-294501438.6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4" t="s">
        <v>45</v>
      </c>
      <c r="B106" s="2"/>
      <c r="C106" s="3"/>
      <c r="D106" s="54">
        <f t="shared" ref="D106:N106" si="44">D104+D105</f>
        <v>12493514203</v>
      </c>
      <c r="E106" s="54">
        <f t="shared" si="44"/>
        <v>114730112</v>
      </c>
      <c r="F106" s="54">
        <f t="shared" si="44"/>
        <v>12378784091</v>
      </c>
      <c r="G106" s="54">
        <f t="shared" si="44"/>
        <v>0</v>
      </c>
      <c r="H106" s="27">
        <f t="shared" si="44"/>
        <v>68573</v>
      </c>
      <c r="I106" s="54">
        <f t="shared" si="44"/>
        <v>107319072</v>
      </c>
      <c r="J106" s="54">
        <f t="shared" si="44"/>
        <v>189583173</v>
      </c>
      <c r="K106" s="54">
        <f t="shared" si="44"/>
        <v>-82264101</v>
      </c>
      <c r="L106" s="54">
        <f t="shared" si="44"/>
        <v>727094395</v>
      </c>
      <c r="M106" s="54">
        <f t="shared" si="44"/>
        <v>1150012115</v>
      </c>
      <c r="N106" s="54">
        <f t="shared" si="44"/>
        <v>-422917720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0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104</v>
      </c>
      <c r="D108" s="6">
        <v>9.818080931E9</v>
      </c>
      <c r="E108" s="6">
        <v>6.174148E7</v>
      </c>
      <c r="F108" s="6">
        <f>D108-E108</f>
        <v>9756339451</v>
      </c>
      <c r="G108" s="6">
        <v>0.0</v>
      </c>
      <c r="H108" s="20">
        <v>8152.0</v>
      </c>
      <c r="I108" s="6">
        <v>3.3738786E7</v>
      </c>
      <c r="J108" s="6">
        <v>1.05182137E8</v>
      </c>
      <c r="K108" s="4">
        <f>I108-J108</f>
        <v>-71443351</v>
      </c>
      <c r="L108" s="4">
        <f>I108+May!L108</f>
        <v>364945868.8</v>
      </c>
      <c r="M108" s="4">
        <f>J108+May!M108</f>
        <v>522453373.7</v>
      </c>
      <c r="N108" s="4">
        <f>L108-M108</f>
        <v>-157507504.9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4" t="s">
        <v>89</v>
      </c>
      <c r="B109" s="25"/>
      <c r="C109" s="1"/>
      <c r="D109" s="54">
        <f t="shared" ref="D109:N109" si="45">SUM(D108)</f>
        <v>9818080931</v>
      </c>
      <c r="E109" s="54">
        <f t="shared" si="45"/>
        <v>61741480</v>
      </c>
      <c r="F109" s="54">
        <f t="shared" si="45"/>
        <v>9756339451</v>
      </c>
      <c r="G109" s="54">
        <f t="shared" si="45"/>
        <v>0</v>
      </c>
      <c r="H109" s="27">
        <f t="shared" si="45"/>
        <v>8152</v>
      </c>
      <c r="I109" s="54">
        <f t="shared" si="45"/>
        <v>33738786</v>
      </c>
      <c r="J109" s="54">
        <f t="shared" si="45"/>
        <v>105182137</v>
      </c>
      <c r="K109" s="54">
        <f t="shared" si="45"/>
        <v>-71443351</v>
      </c>
      <c r="L109" s="54">
        <f t="shared" si="45"/>
        <v>364945868.8</v>
      </c>
      <c r="M109" s="54">
        <f t="shared" si="45"/>
        <v>522453373.7</v>
      </c>
      <c r="N109" s="54">
        <f t="shared" si="45"/>
        <v>-157507504.9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105</v>
      </c>
      <c r="B110" s="31"/>
      <c r="C110" s="29"/>
      <c r="D110" s="54">
        <f t="shared" ref="D110:N110" si="46">SUM(D106+D109)</f>
        <v>22311595134</v>
      </c>
      <c r="E110" s="54">
        <f t="shared" si="46"/>
        <v>176471592</v>
      </c>
      <c r="F110" s="54">
        <f t="shared" si="46"/>
        <v>22135123542</v>
      </c>
      <c r="G110" s="54">
        <f t="shared" si="46"/>
        <v>0</v>
      </c>
      <c r="H110" s="27">
        <f t="shared" si="46"/>
        <v>76725</v>
      </c>
      <c r="I110" s="54">
        <f t="shared" si="46"/>
        <v>141057858</v>
      </c>
      <c r="J110" s="54">
        <f t="shared" si="46"/>
        <v>294765310</v>
      </c>
      <c r="K110" s="54">
        <f t="shared" si="46"/>
        <v>-153707452</v>
      </c>
      <c r="L110" s="54">
        <f t="shared" si="46"/>
        <v>1092040264</v>
      </c>
      <c r="M110" s="54">
        <f t="shared" si="46"/>
        <v>1672465489</v>
      </c>
      <c r="N110" s="54">
        <f t="shared" si="46"/>
        <v>-580425225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106</v>
      </c>
      <c r="B111" s="33"/>
      <c r="C111" s="34"/>
      <c r="D111" s="55">
        <f t="shared" ref="D111:N111" si="47">D39+D63+D89+D101+D110</f>
        <v>254949777723</v>
      </c>
      <c r="E111" s="55">
        <f t="shared" si="47"/>
        <v>2286773303</v>
      </c>
      <c r="F111" s="55">
        <f t="shared" si="47"/>
        <v>252663004420</v>
      </c>
      <c r="G111" s="55">
        <f t="shared" si="47"/>
        <v>71549633505</v>
      </c>
      <c r="H111" s="36">
        <f t="shared" si="47"/>
        <v>1166453</v>
      </c>
      <c r="I111" s="55">
        <f t="shared" si="47"/>
        <v>3737633964</v>
      </c>
      <c r="J111" s="55">
        <f t="shared" si="47"/>
        <v>7970924865</v>
      </c>
      <c r="K111" s="55">
        <f t="shared" si="47"/>
        <v>-4233290901</v>
      </c>
      <c r="L111" s="55">
        <f t="shared" si="47"/>
        <v>42287031752</v>
      </c>
      <c r="M111" s="55">
        <f t="shared" si="47"/>
        <v>70271757467</v>
      </c>
      <c r="N111" s="55">
        <f t="shared" si="47"/>
        <v>-27984725714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7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7"/>
      <c r="B113" s="37"/>
      <c r="C113" s="3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7"/>
      <c r="B114" s="37"/>
      <c r="C114" s="37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7"/>
      <c r="B115" s="37"/>
      <c r="C115" s="37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6.25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6.75"/>
    <col customWidth="1" min="9" max="9" width="19.25"/>
    <col customWidth="1" min="10" max="27" width="9.13"/>
  </cols>
  <sheetData>
    <row r="1" ht="12.0" customHeight="1">
      <c r="A1" s="1" t="s">
        <v>0</v>
      </c>
      <c r="B1" s="2"/>
      <c r="C1" s="3"/>
      <c r="D1" s="41"/>
      <c r="E1" s="42"/>
      <c r="F1" s="41"/>
      <c r="G1" s="4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1"/>
      <c r="E2" s="42"/>
      <c r="F2" s="44"/>
      <c r="G2" s="4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120</v>
      </c>
      <c r="B3" s="2"/>
      <c r="C3" s="1"/>
      <c r="D3" s="46"/>
      <c r="E3" s="47"/>
      <c r="F3" s="48"/>
      <c r="G3" s="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3</v>
      </c>
      <c r="B4" s="2"/>
      <c r="C4" s="1"/>
      <c r="D4" s="46"/>
      <c r="E4" s="47"/>
      <c r="F4" s="48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1"/>
      <c r="E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9" t="s">
        <v>6</v>
      </c>
      <c r="B6" s="50"/>
      <c r="C6" s="51" t="s">
        <v>7</v>
      </c>
      <c r="D6" s="52" t="s">
        <v>10</v>
      </c>
      <c r="E6" s="52" t="s">
        <v>16</v>
      </c>
      <c r="F6" s="52" t="s">
        <v>17</v>
      </c>
      <c r="G6" s="53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June!F9</f>
        <v>4506763358</v>
      </c>
      <c r="E9" s="4">
        <f>Apr!I9+May!I9+June!I9</f>
        <v>34805041.93</v>
      </c>
      <c r="F9" s="4">
        <f>Apr!J9+May!J9+June!J9</f>
        <v>110566755.1</v>
      </c>
      <c r="G9" s="4">
        <f t="shared" ref="G9:G27" si="1">E9-F9</f>
        <v>-75761713.17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v>2.0</v>
      </c>
      <c r="C10" s="3" t="s">
        <v>22</v>
      </c>
      <c r="D10" s="6">
        <f>June!F10</f>
        <v>764296132.2</v>
      </c>
      <c r="E10" s="4">
        <f>Apr!I10+May!I10+June!I10</f>
        <v>17746538.25</v>
      </c>
      <c r="F10" s="4">
        <f>Apr!J10+May!J10+June!J10</f>
        <v>16222801.23</v>
      </c>
      <c r="G10" s="4">
        <f t="shared" si="1"/>
        <v>1523737.02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v>3.0</v>
      </c>
      <c r="C11" s="3" t="s">
        <v>23</v>
      </c>
      <c r="D11" s="6">
        <f>June!F11</f>
        <v>1313942373</v>
      </c>
      <c r="E11" s="4">
        <f>Apr!I11+May!I11+June!I11</f>
        <v>23893222.07</v>
      </c>
      <c r="F11" s="4">
        <f>Apr!J11+May!J11+June!J11</f>
        <v>229576417.3</v>
      </c>
      <c r="G11" s="4">
        <f t="shared" si="1"/>
        <v>-205683195.2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v>4.0</v>
      </c>
      <c r="C12" s="3" t="s">
        <v>24</v>
      </c>
      <c r="D12" s="6">
        <f>June!F12</f>
        <v>338489589.6</v>
      </c>
      <c r="E12" s="4">
        <f>Apr!I12+May!I12+June!I12</f>
        <v>1453639.5</v>
      </c>
      <c r="F12" s="4">
        <f>Apr!J12+May!J12+June!J12</f>
        <v>254617.65</v>
      </c>
      <c r="G12" s="4">
        <f t="shared" si="1"/>
        <v>1199021.85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v>5.0</v>
      </c>
      <c r="C13" s="3" t="s">
        <v>115</v>
      </c>
      <c r="D13" s="6">
        <f>June!F13</f>
        <v>499132252</v>
      </c>
      <c r="E13" s="4">
        <f>Apr!I13+May!I13+June!I13</f>
        <v>1747114</v>
      </c>
      <c r="F13" s="4">
        <f>Apr!J13+May!J13+June!J13</f>
        <v>8883105</v>
      </c>
      <c r="G13" s="4">
        <f t="shared" si="1"/>
        <v>-7135991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v>6.0</v>
      </c>
      <c r="C14" s="3" t="s">
        <v>26</v>
      </c>
      <c r="D14" s="6">
        <f>June!F14</f>
        <v>4046906330</v>
      </c>
      <c r="E14" s="4">
        <f>Apr!I14+May!I14+June!I14</f>
        <v>54609985</v>
      </c>
      <c r="F14" s="4">
        <f>Apr!J14+May!J14+June!J14</f>
        <v>251556077</v>
      </c>
      <c r="G14" s="4">
        <f t="shared" si="1"/>
        <v>-196946092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v>7.0</v>
      </c>
      <c r="C15" s="3" t="s">
        <v>27</v>
      </c>
      <c r="D15" s="6">
        <f>June!F15</f>
        <v>97880758</v>
      </c>
      <c r="E15" s="4">
        <f>Apr!I15+May!I15+June!I15</f>
        <v>1925780</v>
      </c>
      <c r="F15" s="4">
        <f>Apr!J15+May!J15+June!J15</f>
        <v>5026369</v>
      </c>
      <c r="G15" s="4">
        <f t="shared" si="1"/>
        <v>-3100589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v>8.0</v>
      </c>
      <c r="C16" s="3" t="s">
        <v>28</v>
      </c>
      <c r="D16" s="6">
        <f>June!F16</f>
        <v>127088884</v>
      </c>
      <c r="E16" s="4">
        <f>Apr!I16+May!I16+June!I16</f>
        <v>100000</v>
      </c>
      <c r="F16" s="4">
        <f>Apr!J16+May!J16+June!J16</f>
        <v>1697133</v>
      </c>
      <c r="G16" s="4">
        <f t="shared" si="1"/>
        <v>-1597133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v>9.0</v>
      </c>
      <c r="C17" s="3" t="s">
        <v>29</v>
      </c>
      <c r="D17" s="6">
        <f>June!F17</f>
        <v>1241810860</v>
      </c>
      <c r="E17" s="4">
        <f>Apr!I17+May!I17+June!I17</f>
        <v>0</v>
      </c>
      <c r="F17" s="4">
        <f>Apr!J17+May!J17+June!J17</f>
        <v>22909235.96</v>
      </c>
      <c r="G17" s="4">
        <f t="shared" si="1"/>
        <v>-22909235.96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v>10.0</v>
      </c>
      <c r="C18" s="3" t="s">
        <v>30</v>
      </c>
      <c r="D18" s="6">
        <f>June!F18</f>
        <v>3617711562</v>
      </c>
      <c r="E18" s="4">
        <f>Apr!I18+May!I18+June!I18</f>
        <v>6369721.1</v>
      </c>
      <c r="F18" s="4">
        <f>Apr!J18+May!J18+June!J18</f>
        <v>93456416.32</v>
      </c>
      <c r="G18" s="4">
        <f t="shared" si="1"/>
        <v>-87086695.22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v>11.0</v>
      </c>
      <c r="C19" s="3" t="s">
        <v>31</v>
      </c>
      <c r="D19" s="6">
        <f>June!F19</f>
        <v>2225437656</v>
      </c>
      <c r="E19" s="4">
        <f>Apr!I19+May!I19+June!I19</f>
        <v>6752134.45</v>
      </c>
      <c r="F19" s="4">
        <f>Apr!J19+May!J19+June!J19</f>
        <v>15854040.07</v>
      </c>
      <c r="G19" s="4">
        <f t="shared" si="1"/>
        <v>-9101905.62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v>12.0</v>
      </c>
      <c r="C20" s="3" t="s">
        <v>32</v>
      </c>
      <c r="D20" s="6">
        <f>June!F20</f>
        <v>9685640050</v>
      </c>
      <c r="E20" s="4">
        <f>Apr!I20+May!I20+June!I20</f>
        <v>36387835.78</v>
      </c>
      <c r="F20" s="4">
        <f>Apr!J20+May!J20+June!J20</f>
        <v>206966514.1</v>
      </c>
      <c r="G20" s="4">
        <f t="shared" si="1"/>
        <v>-170578678.3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v>13.0</v>
      </c>
      <c r="C21" s="3" t="s">
        <v>116</v>
      </c>
      <c r="D21" s="6">
        <f>June!F21</f>
        <v>310007481.9</v>
      </c>
      <c r="E21" s="4">
        <f>Apr!I21+May!I21+June!I21</f>
        <v>575105.79</v>
      </c>
      <c r="F21" s="4">
        <f>Apr!J21+May!J21+June!J21</f>
        <v>1002760.86</v>
      </c>
      <c r="G21" s="4">
        <f t="shared" si="1"/>
        <v>-427655.07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v>14.0</v>
      </c>
      <c r="C22" s="3" t="s">
        <v>34</v>
      </c>
      <c r="D22" s="6">
        <f>June!F22</f>
        <v>3828104756</v>
      </c>
      <c r="E22" s="4">
        <f>Apr!I22+May!I22+June!I22</f>
        <v>24105971.37</v>
      </c>
      <c r="F22" s="4">
        <f>Apr!J22+May!J22+June!J22</f>
        <v>43043613.59</v>
      </c>
      <c r="G22" s="4">
        <f t="shared" si="1"/>
        <v>-18937642.22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v>15.0</v>
      </c>
      <c r="C23" s="3" t="s">
        <v>35</v>
      </c>
      <c r="D23" s="6">
        <f>June!F23</f>
        <v>8592446546</v>
      </c>
      <c r="E23" s="4">
        <f>Apr!I23+May!I23+June!I23</f>
        <v>3037733.69</v>
      </c>
      <c r="F23" s="4">
        <f>Apr!J23+May!J23+June!J23</f>
        <v>205341850.5</v>
      </c>
      <c r="G23" s="4">
        <f t="shared" si="1"/>
        <v>-202304116.8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v>16.0</v>
      </c>
      <c r="C24" s="21" t="s">
        <v>36</v>
      </c>
      <c r="D24" s="6">
        <f>June!F24</f>
        <v>3285050503</v>
      </c>
      <c r="E24" s="4">
        <f>Apr!I24+May!I24+June!I24</f>
        <v>132031129</v>
      </c>
      <c r="F24" s="4">
        <f>Apr!J24+May!J24+June!J24</f>
        <v>12749601.02</v>
      </c>
      <c r="G24" s="4">
        <f t="shared" si="1"/>
        <v>119281528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2"/>
      <c r="B25" s="2">
        <v>17.0</v>
      </c>
      <c r="C25" s="23" t="s">
        <v>37</v>
      </c>
      <c r="D25" s="6">
        <f>June!F25</f>
        <v>6910833461</v>
      </c>
      <c r="E25" s="4">
        <f>Apr!I25+May!I25+June!I25</f>
        <v>136322089</v>
      </c>
      <c r="F25" s="4">
        <f>Apr!J25+May!J25+June!J25</f>
        <v>195412395</v>
      </c>
      <c r="G25" s="4">
        <f t="shared" si="1"/>
        <v>-59090306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2"/>
      <c r="B26" s="2">
        <v>18.0</v>
      </c>
      <c r="C26" s="23" t="s">
        <v>38</v>
      </c>
      <c r="D26" s="6">
        <f>June!F26</f>
        <v>11791767607</v>
      </c>
      <c r="E26" s="4">
        <f>Apr!I26+May!I26+June!I26</f>
        <v>168239313</v>
      </c>
      <c r="F26" s="4">
        <f>Apr!J26+May!J26+June!J26</f>
        <v>325780176</v>
      </c>
      <c r="G26" s="4">
        <f t="shared" si="1"/>
        <v>-157540863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v>19.0</v>
      </c>
      <c r="C27" s="3" t="s">
        <v>39</v>
      </c>
      <c r="D27" s="6">
        <f>June!F27</f>
        <v>585372283</v>
      </c>
      <c r="E27" s="4">
        <f>Apr!I27+May!I27+June!I27</f>
        <v>874303.29</v>
      </c>
      <c r="F27" s="4">
        <f>Apr!J27+May!J27+June!J27</f>
        <v>2969000.2</v>
      </c>
      <c r="G27" s="4">
        <f t="shared" si="1"/>
        <v>-2094696.91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18"/>
      <c r="B29" s="2">
        <v>20.0</v>
      </c>
      <c r="C29" s="3" t="s">
        <v>41</v>
      </c>
      <c r="D29" s="6">
        <f>June!F29</f>
        <v>200613104.9</v>
      </c>
      <c r="E29" s="4">
        <f>Apr!I29+May!I29+June!I29</f>
        <v>15245470.41</v>
      </c>
      <c r="F29" s="4">
        <f>Apr!J29+May!J29+June!J29</f>
        <v>2254304.4</v>
      </c>
      <c r="G29" s="4">
        <f t="shared" ref="G29:G31" si="2">E29-F29</f>
        <v>12991166.01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2">
        <v>21.0</v>
      </c>
      <c r="C30" s="3" t="s">
        <v>42</v>
      </c>
      <c r="D30" s="6">
        <f>June!F30</f>
        <v>331044442.9</v>
      </c>
      <c r="E30" s="4">
        <f>Apr!I30+May!I30+June!I30</f>
        <v>5625825.11</v>
      </c>
      <c r="F30" s="4">
        <f>Apr!J30+May!J30+June!J30</f>
        <v>7363683.29</v>
      </c>
      <c r="G30" s="4">
        <f t="shared" si="2"/>
        <v>-1737858.18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v>22.0</v>
      </c>
      <c r="C31" s="3" t="s">
        <v>35</v>
      </c>
      <c r="D31" s="6">
        <f>June!F31</f>
        <v>523947776</v>
      </c>
      <c r="E31" s="4">
        <f>Apr!I31+May!I31+June!I31</f>
        <v>73197726.83</v>
      </c>
      <c r="F31" s="4">
        <f>Apr!J31+May!J31+June!J31</f>
        <v>37878103.47</v>
      </c>
      <c r="G31" s="4">
        <f t="shared" si="2"/>
        <v>35319623.36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18" t="s">
        <v>43</v>
      </c>
      <c r="B32" s="2"/>
      <c r="C32" s="3"/>
      <c r="D32" s="6"/>
      <c r="E32" s="4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1.25" customHeight="1">
      <c r="A33" s="3"/>
      <c r="B33" s="2">
        <v>23.0</v>
      </c>
      <c r="C33" s="3" t="s">
        <v>44</v>
      </c>
      <c r="D33" s="6">
        <f>June!F33</f>
        <v>2145379987</v>
      </c>
      <c r="E33" s="4">
        <f>Apr!I33+May!I33+June!I33</f>
        <v>8096836</v>
      </c>
      <c r="F33" s="4">
        <f>Apr!J33+May!J33+June!J33</f>
        <v>27025402</v>
      </c>
      <c r="G33" s="4">
        <f>E33-F33</f>
        <v>-18928566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24" t="s">
        <v>45</v>
      </c>
      <c r="B34" s="25"/>
      <c r="C34" s="1"/>
      <c r="D34" s="54">
        <f t="shared" ref="D34:G34" si="3">SUM(D9:D33)</f>
        <v>66969667754</v>
      </c>
      <c r="E34" s="54">
        <f t="shared" si="3"/>
        <v>753142515.6</v>
      </c>
      <c r="F34" s="54">
        <f t="shared" si="3"/>
        <v>1823790372</v>
      </c>
      <c r="G34" s="54">
        <f t="shared" si="3"/>
        <v>-1070647856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0" customHeight="1">
      <c r="A35" s="18" t="s">
        <v>46</v>
      </c>
      <c r="B35" s="2"/>
      <c r="C35" s="3"/>
      <c r="D35" s="6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2">
        <v>24.0</v>
      </c>
      <c r="C36" s="3" t="s">
        <v>47</v>
      </c>
      <c r="D36" s="6">
        <f>June!F36</f>
        <v>35068233.77</v>
      </c>
      <c r="E36" s="4">
        <f>Apr!I36+May!I36+June!I36</f>
        <v>69966.8768</v>
      </c>
      <c r="F36" s="4">
        <f>Apr!J36+May!J36+June!J36</f>
        <v>309395.1894</v>
      </c>
      <c r="G36" s="4">
        <f t="shared" ref="G36:G37" si="4">E36-F36</f>
        <v>-239428.3126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v>25.0</v>
      </c>
      <c r="C37" s="3" t="s">
        <v>48</v>
      </c>
      <c r="D37" s="6">
        <f>June!F37</f>
        <v>1892317318</v>
      </c>
      <c r="E37" s="4">
        <f>Apr!I37+May!I37+June!I37</f>
        <v>10943160</v>
      </c>
      <c r="F37" s="4">
        <f>Apr!J37+May!J37+June!J37</f>
        <v>18806955</v>
      </c>
      <c r="G37" s="4">
        <f t="shared" si="4"/>
        <v>-7863795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24" t="s">
        <v>49</v>
      </c>
      <c r="B38" s="25"/>
      <c r="C38" s="1"/>
      <c r="D38" s="54">
        <f t="shared" ref="D38:G38" si="5">SUM(D36:D37)</f>
        <v>1927385552</v>
      </c>
      <c r="E38" s="54">
        <f t="shared" si="5"/>
        <v>11013126.88</v>
      </c>
      <c r="F38" s="54">
        <f t="shared" si="5"/>
        <v>19116350.19</v>
      </c>
      <c r="G38" s="54">
        <f t="shared" si="5"/>
        <v>-8103223.313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0" customHeight="1">
      <c r="A39" s="1" t="s">
        <v>50</v>
      </c>
      <c r="B39" s="25"/>
      <c r="C39" s="1"/>
      <c r="D39" s="54">
        <f t="shared" ref="D39:G39" si="6">D34+D38</f>
        <v>68897053306</v>
      </c>
      <c r="E39" s="54">
        <f t="shared" si="6"/>
        <v>764155642.5</v>
      </c>
      <c r="F39" s="54">
        <f t="shared" si="6"/>
        <v>1842906722</v>
      </c>
      <c r="G39" s="54">
        <f t="shared" si="6"/>
        <v>-1078751080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"/>
      <c r="C40" s="3"/>
      <c r="D40" s="6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18" t="s">
        <v>20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18"/>
      <c r="B42" s="2">
        <v>26.0</v>
      </c>
      <c r="C42" s="3" t="s">
        <v>52</v>
      </c>
      <c r="D42" s="6">
        <f>June!F42</f>
        <v>117089542.1</v>
      </c>
      <c r="E42" s="4">
        <f>Apr!I42+May!I42+June!I42</f>
        <v>630691.32</v>
      </c>
      <c r="F42" s="4">
        <f>Apr!J42+May!J42+June!J42</f>
        <v>1050138.26</v>
      </c>
      <c r="G42" s="4">
        <f t="shared" ref="G42:G51" si="7">E42-F42</f>
        <v>-419446.94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v>27.0</v>
      </c>
      <c r="C43" s="3" t="s">
        <v>53</v>
      </c>
      <c r="D43" s="6">
        <f>June!F43</f>
        <v>582362796.3</v>
      </c>
      <c r="E43" s="4">
        <f>Apr!I43+May!I43+June!I43</f>
        <v>2231194.9</v>
      </c>
      <c r="F43" s="4">
        <f>Apr!J43+May!J43+June!J43</f>
        <v>29012511.79</v>
      </c>
      <c r="G43" s="4">
        <f t="shared" si="7"/>
        <v>-26781316.89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v>28.0</v>
      </c>
      <c r="C44" s="3" t="s">
        <v>54</v>
      </c>
      <c r="D44" s="6">
        <f>June!F44</f>
        <v>1019474371</v>
      </c>
      <c r="E44" s="4">
        <f>Apr!I44+May!I44+June!I44</f>
        <v>2886027</v>
      </c>
      <c r="F44" s="4">
        <f>Apr!J44+May!J44+June!J44</f>
        <v>38467509</v>
      </c>
      <c r="G44" s="4">
        <f t="shared" si="7"/>
        <v>-35581482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v>29.0</v>
      </c>
      <c r="C45" s="3" t="s">
        <v>55</v>
      </c>
      <c r="D45" s="6">
        <f>June!F45</f>
        <v>286916298</v>
      </c>
      <c r="E45" s="4">
        <f>Apr!I45+May!I45+June!I45</f>
        <v>22169835</v>
      </c>
      <c r="F45" s="4">
        <f>Apr!J45+May!J45+June!J45</f>
        <v>2096688</v>
      </c>
      <c r="G45" s="4">
        <f t="shared" si="7"/>
        <v>20073147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v>30.0</v>
      </c>
      <c r="C46" s="3" t="s">
        <v>56</v>
      </c>
      <c r="D46" s="6">
        <f>June!F46</f>
        <v>345051251.5</v>
      </c>
      <c r="E46" s="4">
        <f>Apr!I46+May!I46+June!I46</f>
        <v>0</v>
      </c>
      <c r="F46" s="4">
        <f>Apr!J46+May!J46+June!J46</f>
        <v>68876</v>
      </c>
      <c r="G46" s="4">
        <f t="shared" si="7"/>
        <v>-68876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v>31.0</v>
      </c>
      <c r="C47" s="3" t="s">
        <v>57</v>
      </c>
      <c r="D47" s="6">
        <f>June!F47</f>
        <v>530176544</v>
      </c>
      <c r="E47" s="4">
        <f>Apr!I47+May!I47+June!I47</f>
        <v>462123.59</v>
      </c>
      <c r="F47" s="4">
        <f>Apr!J47+May!J47+June!J47</f>
        <v>15241875.37</v>
      </c>
      <c r="G47" s="4">
        <f t="shared" si="7"/>
        <v>-14779751.78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v>32.0</v>
      </c>
      <c r="C48" s="3" t="s">
        <v>58</v>
      </c>
      <c r="D48" s="6">
        <f>June!F48</f>
        <v>2001638813</v>
      </c>
      <c r="E48" s="4">
        <f>Apr!I48+May!I48+June!I48</f>
        <v>6223436.8</v>
      </c>
      <c r="F48" s="4">
        <f>Apr!J48+May!J48+June!J48</f>
        <v>53641535.03</v>
      </c>
      <c r="G48" s="4">
        <f t="shared" si="7"/>
        <v>-47418098.23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1.25" customHeight="1">
      <c r="A49" s="18"/>
      <c r="B49" s="2">
        <v>33.0</v>
      </c>
      <c r="C49" s="3" t="s">
        <v>59</v>
      </c>
      <c r="D49" s="6">
        <f>June!F49</f>
        <v>132546991</v>
      </c>
      <c r="E49" s="4">
        <f>Apr!I49+May!I49+June!I49</f>
        <v>34995.34</v>
      </c>
      <c r="F49" s="4">
        <f>Apr!J49+May!J49+June!J49</f>
        <v>4547444.41</v>
      </c>
      <c r="G49" s="4">
        <f t="shared" si="7"/>
        <v>-4512449.07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2">
        <v>34.0</v>
      </c>
      <c r="C50" s="3" t="s">
        <v>60</v>
      </c>
      <c r="D50" s="6">
        <f>June!F50</f>
        <v>7081742088</v>
      </c>
      <c r="E50" s="4">
        <f>Apr!I50+May!I50+June!I50</f>
        <v>29348328</v>
      </c>
      <c r="F50" s="4">
        <f>Apr!J50+May!J50+June!J50</f>
        <v>136518717</v>
      </c>
      <c r="G50" s="4">
        <f t="shared" si="7"/>
        <v>-107170389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v>35.0</v>
      </c>
      <c r="C51" s="3" t="s">
        <v>61</v>
      </c>
      <c r="D51" s="6">
        <f>June!F51</f>
        <v>1117569062</v>
      </c>
      <c r="E51" s="4">
        <f>Apr!I51+May!I51+June!I51</f>
        <v>0</v>
      </c>
      <c r="F51" s="4">
        <f>Apr!J51+May!J51+June!J51</f>
        <v>39241851</v>
      </c>
      <c r="G51" s="4">
        <f t="shared" si="7"/>
        <v>-39241851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18" t="s">
        <v>40</v>
      </c>
      <c r="B52" s="2"/>
      <c r="C52" s="3"/>
      <c r="D52" s="6"/>
      <c r="E52" s="4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2">
        <v>36.0</v>
      </c>
      <c r="C53" s="3" t="s">
        <v>62</v>
      </c>
      <c r="D53" s="6">
        <f>June!F53</f>
        <v>76295609</v>
      </c>
      <c r="E53" s="4">
        <f>Apr!I53+May!I53+June!I53</f>
        <v>1190758</v>
      </c>
      <c r="F53" s="4">
        <f>Apr!J53+May!J53+June!J53</f>
        <v>1696478</v>
      </c>
      <c r="G53" s="4">
        <f t="shared" ref="G53:G55" si="8">E53-F53</f>
        <v>-505720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v>37.0</v>
      </c>
      <c r="C54" s="3" t="s">
        <v>63</v>
      </c>
      <c r="D54" s="6">
        <f>June!F54</f>
        <v>54876057</v>
      </c>
      <c r="E54" s="4">
        <f>Apr!I54+May!I54+June!I54</f>
        <v>326573</v>
      </c>
      <c r="F54" s="4">
        <f>Apr!J54+May!J54+June!J54</f>
        <v>1540755</v>
      </c>
      <c r="G54" s="4">
        <f t="shared" si="8"/>
        <v>-1214182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v>38.0</v>
      </c>
      <c r="C55" s="3" t="s">
        <v>64</v>
      </c>
      <c r="D55" s="6">
        <f>June!F55</f>
        <v>47056123</v>
      </c>
      <c r="E55" s="4">
        <f>Apr!I55+May!I55+June!I55</f>
        <v>155517</v>
      </c>
      <c r="F55" s="4">
        <f>Apr!J55+May!J55+June!J55</f>
        <v>34600</v>
      </c>
      <c r="G55" s="4">
        <f t="shared" si="8"/>
        <v>120917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24" t="s">
        <v>45</v>
      </c>
      <c r="B56" s="24"/>
      <c r="C56" s="1"/>
      <c r="D56" s="54">
        <f t="shared" ref="D56:G56" si="9">SUM(D42:D55)</f>
        <v>13392795546</v>
      </c>
      <c r="E56" s="54">
        <f t="shared" si="9"/>
        <v>65659479.95</v>
      </c>
      <c r="F56" s="54">
        <f t="shared" si="9"/>
        <v>323158978.9</v>
      </c>
      <c r="G56" s="54">
        <f t="shared" si="9"/>
        <v>-257499498.9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0" customHeight="1">
      <c r="A57" s="18" t="s">
        <v>46</v>
      </c>
      <c r="B57" s="2"/>
      <c r="C57" s="3"/>
      <c r="D57" s="6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18"/>
      <c r="B58" s="2">
        <v>39.0</v>
      </c>
      <c r="C58" s="3" t="s">
        <v>65</v>
      </c>
      <c r="D58" s="6">
        <f>June!F58</f>
        <v>71266593.7</v>
      </c>
      <c r="E58" s="4">
        <f>Apr!I58+May!I58+June!I58</f>
        <v>0</v>
      </c>
      <c r="F58" s="4">
        <f>Apr!J58+May!J58+June!J58</f>
        <v>0</v>
      </c>
      <c r="G58" s="4">
        <f t="shared" ref="G58:G61" si="10">E58-F58</f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18"/>
      <c r="B59" s="2">
        <v>40.0</v>
      </c>
      <c r="C59" s="3" t="s">
        <v>66</v>
      </c>
      <c r="D59" s="6">
        <f>June!F59</f>
        <v>312453462.4</v>
      </c>
      <c r="E59" s="4">
        <f>Apr!I59+May!I59+June!I59</f>
        <v>0</v>
      </c>
      <c r="F59" s="4">
        <f>Apr!J59+May!J59+June!J59</f>
        <v>3664158.333</v>
      </c>
      <c r="G59" s="4">
        <f t="shared" si="10"/>
        <v>-3664158.333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2">
        <v>41.0</v>
      </c>
      <c r="C60" s="3" t="s">
        <v>67</v>
      </c>
      <c r="D60" s="6">
        <f>June!F60</f>
        <v>1531772738</v>
      </c>
      <c r="E60" s="4">
        <f>Apr!I60+May!I60+June!I60</f>
        <v>9433850</v>
      </c>
      <c r="F60" s="4">
        <f>Apr!J60+May!J60+June!J60</f>
        <v>35843663</v>
      </c>
      <c r="G60" s="4">
        <f t="shared" si="10"/>
        <v>-26409813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v>42.0</v>
      </c>
      <c r="C61" s="3" t="s">
        <v>68</v>
      </c>
      <c r="D61" s="6">
        <f>June!F61</f>
        <v>261367387</v>
      </c>
      <c r="E61" s="4">
        <f>Apr!I61+May!I61+June!I61</f>
        <v>7930828</v>
      </c>
      <c r="F61" s="4">
        <f>Apr!J61+May!J61+June!J61</f>
        <v>14496724</v>
      </c>
      <c r="G61" s="4">
        <f t="shared" si="10"/>
        <v>-6565896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24" t="s">
        <v>49</v>
      </c>
      <c r="B62" s="25"/>
      <c r="C62" s="1"/>
      <c r="D62" s="54">
        <f t="shared" ref="D62:G62" si="11">SUM(D58:D61)</f>
        <v>2176860181</v>
      </c>
      <c r="E62" s="54">
        <f t="shared" si="11"/>
        <v>17364678</v>
      </c>
      <c r="F62" s="54">
        <f t="shared" si="11"/>
        <v>54004545.33</v>
      </c>
      <c r="G62" s="54">
        <f t="shared" si="11"/>
        <v>-36639867.33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 t="s">
        <v>69</v>
      </c>
      <c r="B63" s="25"/>
      <c r="C63" s="1"/>
      <c r="D63" s="54">
        <f t="shared" ref="D63:G63" si="12">D56+D62</f>
        <v>15569655727</v>
      </c>
      <c r="E63" s="54">
        <f t="shared" si="12"/>
        <v>83024157.95</v>
      </c>
      <c r="F63" s="54">
        <f t="shared" si="12"/>
        <v>377163524.2</v>
      </c>
      <c r="G63" s="54">
        <f t="shared" si="12"/>
        <v>-294139366.2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"/>
      <c r="C64" s="3"/>
      <c r="D64" s="6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18" t="s">
        <v>20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2">
        <v>43.0</v>
      </c>
      <c r="C66" s="3" t="s">
        <v>71</v>
      </c>
      <c r="D66" s="6">
        <f>June!F66</f>
        <v>38280720550</v>
      </c>
      <c r="E66" s="4">
        <f>Apr!I66+May!I66+June!I66</f>
        <v>571253721.9</v>
      </c>
      <c r="F66" s="4">
        <f>Apr!J66+May!J66+June!J66</f>
        <v>1355419026</v>
      </c>
      <c r="G66" s="4">
        <f t="shared" ref="G66:G76" si="13">E66-F66</f>
        <v>-784165303.8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v>44.0</v>
      </c>
      <c r="C67" s="3" t="s">
        <v>72</v>
      </c>
      <c r="D67" s="6">
        <f>June!F67</f>
        <v>479442656.3</v>
      </c>
      <c r="E67" s="4">
        <f>Apr!I67+May!I67+June!I67</f>
        <v>23066136.26</v>
      </c>
      <c r="F67" s="4">
        <f>Apr!J67+May!J67+June!J67</f>
        <v>35070192.56</v>
      </c>
      <c r="G67" s="4">
        <f t="shared" si="13"/>
        <v>-12004056.3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v>45.0</v>
      </c>
      <c r="C68" s="3" t="s">
        <v>73</v>
      </c>
      <c r="D68" s="6">
        <f>June!F68</f>
        <v>939494250.2</v>
      </c>
      <c r="E68" s="4">
        <f>Apr!I68+May!I68+June!I68</f>
        <v>6871163.47</v>
      </c>
      <c r="F68" s="4">
        <f>Apr!J68+May!J68+June!J68</f>
        <v>56689755.09</v>
      </c>
      <c r="G68" s="4">
        <f t="shared" si="13"/>
        <v>-49818591.62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1"/>
      <c r="B69" s="2">
        <v>46.0</v>
      </c>
      <c r="C69" s="3" t="s">
        <v>74</v>
      </c>
      <c r="D69" s="6">
        <f>June!F69</f>
        <v>198316626</v>
      </c>
      <c r="E69" s="4">
        <f>Apr!I69+May!I69+June!I69</f>
        <v>2313146.08</v>
      </c>
      <c r="F69" s="4">
        <f>Apr!J69+May!J69+June!J69</f>
        <v>874910.54</v>
      </c>
      <c r="G69" s="4">
        <f t="shared" si="13"/>
        <v>1438235.54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2">
        <v>47.0</v>
      </c>
      <c r="C70" s="3" t="s">
        <v>75</v>
      </c>
      <c r="D70" s="6">
        <f>June!F70</f>
        <v>1500860609</v>
      </c>
      <c r="E70" s="4">
        <f>Apr!I70+May!I70+June!I70</f>
        <v>199449891</v>
      </c>
      <c r="F70" s="4">
        <f>Apr!J70+May!J70+June!J70</f>
        <v>47155638</v>
      </c>
      <c r="G70" s="4">
        <f t="shared" si="13"/>
        <v>152294253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v>48.0</v>
      </c>
      <c r="C71" s="3" t="s">
        <v>76</v>
      </c>
      <c r="D71" s="6">
        <f>June!F71</f>
        <v>723724359</v>
      </c>
      <c r="E71" s="4">
        <f>Apr!I71+May!I71+June!I71</f>
        <v>5781875.64</v>
      </c>
      <c r="F71" s="4">
        <f>Apr!J71+May!J71+June!J71</f>
        <v>12924636.74</v>
      </c>
      <c r="G71" s="4">
        <f t="shared" si="13"/>
        <v>-7142761.1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v>49.0</v>
      </c>
      <c r="C72" s="3" t="s">
        <v>77</v>
      </c>
      <c r="D72" s="6">
        <f>June!F72</f>
        <v>1676019359</v>
      </c>
      <c r="E72" s="4">
        <f>Apr!I72+May!I72+June!I72</f>
        <v>11884098.26</v>
      </c>
      <c r="F72" s="4">
        <f>Apr!J72+May!J72+June!J72</f>
        <v>25391158.79</v>
      </c>
      <c r="G72" s="4">
        <f t="shared" si="13"/>
        <v>-13507060.53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v>50.0</v>
      </c>
      <c r="C73" s="3" t="s">
        <v>78</v>
      </c>
      <c r="D73" s="6">
        <f>June!F73</f>
        <v>307287454.7</v>
      </c>
      <c r="E73" s="4">
        <f>Apr!I73+May!I73+June!I73</f>
        <v>4373279.67</v>
      </c>
      <c r="F73" s="4">
        <f>Apr!J73+May!J73+June!J73</f>
        <v>5882551.61</v>
      </c>
      <c r="G73" s="4">
        <f t="shared" si="13"/>
        <v>-1509271.94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v>51.0</v>
      </c>
      <c r="C74" s="3" t="s">
        <v>79</v>
      </c>
      <c r="D74" s="6">
        <f>June!F74</f>
        <v>1373734333</v>
      </c>
      <c r="E74" s="4">
        <f>Apr!I74+May!I74+June!I74</f>
        <v>28278446.59</v>
      </c>
      <c r="F74" s="4">
        <f>Apr!J74+May!J74+June!J74</f>
        <v>1471644.91</v>
      </c>
      <c r="G74" s="4">
        <f t="shared" si="13"/>
        <v>26806801.68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v>52.0</v>
      </c>
      <c r="C75" s="3" t="s">
        <v>80</v>
      </c>
      <c r="D75" s="6">
        <f>June!F75</f>
        <v>5531835827</v>
      </c>
      <c r="E75" s="4">
        <f>Apr!I75+May!I75+June!I75</f>
        <v>746579868</v>
      </c>
      <c r="F75" s="4">
        <f>Apr!J75+May!J75+June!J75</f>
        <v>134616399</v>
      </c>
      <c r="G75" s="4">
        <f t="shared" si="13"/>
        <v>611963469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v>53.0</v>
      </c>
      <c r="C76" s="3" t="s">
        <v>81</v>
      </c>
      <c r="D76" s="6">
        <f>June!F76</f>
        <v>138525081</v>
      </c>
      <c r="E76" s="4">
        <f>Apr!I76+May!I76+June!I76</f>
        <v>5717521</v>
      </c>
      <c r="F76" s="4">
        <f>Apr!J76+May!J76+June!J76</f>
        <v>6876679</v>
      </c>
      <c r="G76" s="4">
        <f t="shared" si="13"/>
        <v>-1159158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24" t="s">
        <v>45</v>
      </c>
      <c r="B77" s="1"/>
      <c r="C77" s="1"/>
      <c r="D77" s="54">
        <f t="shared" ref="D77:G77" si="14">SUM(D66:D76)</f>
        <v>51149961105</v>
      </c>
      <c r="E77" s="54">
        <f t="shared" si="14"/>
        <v>1605569148</v>
      </c>
      <c r="F77" s="54">
        <f t="shared" si="14"/>
        <v>1682372592</v>
      </c>
      <c r="G77" s="54">
        <f t="shared" si="14"/>
        <v>-76803444.02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18" t="s">
        <v>46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v>54.0</v>
      </c>
      <c r="C79" s="3" t="s">
        <v>82</v>
      </c>
      <c r="D79" s="6">
        <f>June!F79</f>
        <v>13362109987</v>
      </c>
      <c r="E79" s="4">
        <f>Apr!I79+May!I79+June!I79</f>
        <v>114228497.4</v>
      </c>
      <c r="F79" s="4">
        <f>Apr!J79+May!J79+June!J79</f>
        <v>436612362.6</v>
      </c>
      <c r="G79" s="4">
        <f t="shared" ref="G79:G85" si="15">E79-F79</f>
        <v>-322383865.2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2">
        <v>55.0</v>
      </c>
      <c r="C80" s="3" t="s">
        <v>83</v>
      </c>
      <c r="D80" s="6">
        <f>June!F80</f>
        <v>263138582.7</v>
      </c>
      <c r="E80" s="4">
        <f>Apr!I80+May!I80+June!I80</f>
        <v>136243.8954</v>
      </c>
      <c r="F80" s="4">
        <f>Apr!J80+May!J80+June!J80</f>
        <v>1746830.961</v>
      </c>
      <c r="G80" s="4">
        <f t="shared" si="15"/>
        <v>-1610587.066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3"/>
      <c r="B81" s="2">
        <v>56.0</v>
      </c>
      <c r="C81" s="3" t="s">
        <v>84</v>
      </c>
      <c r="D81" s="6">
        <f>June!F81</f>
        <v>444379393</v>
      </c>
      <c r="E81" s="4">
        <f>Apr!I81+May!I81+June!I81</f>
        <v>8248256</v>
      </c>
      <c r="F81" s="4">
        <f>Apr!J81+May!J81+June!J81</f>
        <v>1956859</v>
      </c>
      <c r="G81" s="4">
        <f t="shared" si="15"/>
        <v>6291397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1.25" customHeight="1">
      <c r="A82" s="18"/>
      <c r="B82" s="2">
        <v>57.0</v>
      </c>
      <c r="C82" s="3" t="s">
        <v>85</v>
      </c>
      <c r="D82" s="6">
        <f>June!F82</f>
        <v>49383856</v>
      </c>
      <c r="E82" s="4">
        <f>Apr!I82+May!I82+June!I82</f>
        <v>0</v>
      </c>
      <c r="F82" s="4">
        <f>Apr!J82+May!J82+June!J82</f>
        <v>0</v>
      </c>
      <c r="G82" s="4">
        <f t="shared" si="15"/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v>58.0</v>
      </c>
      <c r="C83" s="3" t="s">
        <v>86</v>
      </c>
      <c r="D83" s="6">
        <f>June!F83</f>
        <v>1968806521</v>
      </c>
      <c r="E83" s="4">
        <f>Apr!I83+May!I83+June!I83</f>
        <v>848686.765</v>
      </c>
      <c r="F83" s="4">
        <f>Apr!J83+May!J83+June!J83</f>
        <v>28915208.25</v>
      </c>
      <c r="G83" s="4">
        <f t="shared" si="15"/>
        <v>-28066521.49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v>59.0</v>
      </c>
      <c r="C84" s="3" t="s">
        <v>87</v>
      </c>
      <c r="D84" s="6">
        <f>June!F84</f>
        <v>229992385.5</v>
      </c>
      <c r="E84" s="4">
        <f>Apr!I84+May!I84+June!I84</f>
        <v>871296</v>
      </c>
      <c r="F84" s="4">
        <f>Apr!J84+May!J84+June!J84</f>
        <v>3552934.507</v>
      </c>
      <c r="G84" s="4">
        <f t="shared" si="15"/>
        <v>-2681638.507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2">
        <v>60.0</v>
      </c>
      <c r="C85" s="3" t="s">
        <v>88</v>
      </c>
      <c r="D85" s="6">
        <f>June!F85</f>
        <v>526033612</v>
      </c>
      <c r="E85" s="4">
        <f>Apr!I85+May!I85+June!I85</f>
        <v>12732065</v>
      </c>
      <c r="F85" s="4">
        <f>Apr!J85+May!J85+June!J85</f>
        <v>19923520</v>
      </c>
      <c r="G85" s="4">
        <f t="shared" si="15"/>
        <v>-7191455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24" t="s">
        <v>89</v>
      </c>
      <c r="B86" s="25"/>
      <c r="C86" s="29"/>
      <c r="D86" s="54">
        <f t="shared" ref="D86:G86" si="16">SUM(D79:D85)</f>
        <v>16843844337</v>
      </c>
      <c r="E86" s="54">
        <f t="shared" si="16"/>
        <v>137065045</v>
      </c>
      <c r="F86" s="54">
        <f t="shared" si="16"/>
        <v>492707715.3</v>
      </c>
      <c r="G86" s="54">
        <f t="shared" si="16"/>
        <v>-355642670.2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v>61.0</v>
      </c>
      <c r="C87" s="3" t="s">
        <v>90</v>
      </c>
      <c r="D87" s="6">
        <f>June!F87</f>
        <v>930972994</v>
      </c>
      <c r="E87" s="4">
        <f>Apr!I87+May!I87+June!I87</f>
        <v>15011400.76</v>
      </c>
      <c r="F87" s="4">
        <f>Apr!J87+May!J87+June!J87</f>
        <v>20385419.35</v>
      </c>
      <c r="G87" s="4">
        <f>E87-F87</f>
        <v>-5374018.586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24" t="s">
        <v>91</v>
      </c>
      <c r="B88" s="29"/>
      <c r="C88" s="1"/>
      <c r="D88" s="54">
        <f t="shared" ref="D88:G88" si="17">SUM(D87)</f>
        <v>930972994</v>
      </c>
      <c r="E88" s="54">
        <f t="shared" si="17"/>
        <v>15011400.76</v>
      </c>
      <c r="F88" s="54">
        <f t="shared" si="17"/>
        <v>20385419.35</v>
      </c>
      <c r="G88" s="54">
        <f t="shared" si="17"/>
        <v>-5374018.586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1" t="s">
        <v>92</v>
      </c>
      <c r="B89" s="25"/>
      <c r="C89" s="29"/>
      <c r="D89" s="54">
        <f t="shared" ref="D89:G89" si="18">D77+D86+D88</f>
        <v>68924778436</v>
      </c>
      <c r="E89" s="54">
        <f t="shared" si="18"/>
        <v>1757645594</v>
      </c>
      <c r="F89" s="54">
        <f t="shared" si="18"/>
        <v>2195465727</v>
      </c>
      <c r="G89" s="54">
        <f t="shared" si="18"/>
        <v>-437820132.9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1" t="s">
        <v>93</v>
      </c>
      <c r="B90" s="2"/>
      <c r="C90" s="30"/>
      <c r="D90" s="6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18" t="s">
        <v>20</v>
      </c>
      <c r="B91" s="2"/>
      <c r="C91" s="30"/>
      <c r="D91" s="6"/>
      <c r="E91" s="4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8"/>
      <c r="B92" s="2">
        <v>62.0</v>
      </c>
      <c r="C92" s="3" t="s">
        <v>94</v>
      </c>
      <c r="D92" s="6">
        <f>June!F92</f>
        <v>32158400656</v>
      </c>
      <c r="E92" s="4">
        <f>Apr!I92+May!I92+June!I92</f>
        <v>1471937425</v>
      </c>
      <c r="F92" s="4">
        <f>Apr!J92+May!J92+June!J92</f>
        <v>4812069453</v>
      </c>
      <c r="G92" s="4">
        <f t="shared" ref="G92:G94" si="19">E92-F92</f>
        <v>-3340132028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8"/>
      <c r="B93" s="2">
        <v>63.0</v>
      </c>
      <c r="C93" s="3" t="s">
        <v>95</v>
      </c>
      <c r="D93" s="6">
        <f>June!F93</f>
        <v>2242887620</v>
      </c>
      <c r="E93" s="4">
        <f>Apr!I93+May!I93+June!I93</f>
        <v>187126888</v>
      </c>
      <c r="F93" s="4">
        <f>Apr!J93+May!J93+June!J93</f>
        <v>526145061</v>
      </c>
      <c r="G93" s="4">
        <f t="shared" si="19"/>
        <v>-339018173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"/>
      <c r="B94" s="2">
        <v>64.0</v>
      </c>
      <c r="C94" s="3" t="s">
        <v>96</v>
      </c>
      <c r="D94" s="6">
        <f>June!F94</f>
        <v>32936981968</v>
      </c>
      <c r="E94" s="4">
        <f>Apr!I94+May!I94+June!I94</f>
        <v>5932454539</v>
      </c>
      <c r="F94" s="4">
        <f>Apr!J94+May!J94+June!J94</f>
        <v>12864340314</v>
      </c>
      <c r="G94" s="4">
        <f t="shared" si="19"/>
        <v>-6931885775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 t="s">
        <v>40</v>
      </c>
      <c r="B95" s="2"/>
      <c r="C95" s="3"/>
      <c r="D95" s="6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"/>
      <c r="B96" s="2">
        <v>65.0</v>
      </c>
      <c r="C96" s="3" t="s">
        <v>94</v>
      </c>
      <c r="D96" s="6">
        <f>June!F96</f>
        <v>6463797718</v>
      </c>
      <c r="E96" s="4">
        <f>Apr!I96+May!I96+June!I96</f>
        <v>3206216580</v>
      </c>
      <c r="F96" s="4">
        <f>Apr!J96+May!J96+June!J96</f>
        <v>1707961264</v>
      </c>
      <c r="G96" s="4">
        <f>E96-F96</f>
        <v>1498255316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4" t="s">
        <v>45</v>
      </c>
      <c r="B97" s="2"/>
      <c r="C97" s="3"/>
      <c r="D97" s="54">
        <f t="shared" ref="D97:G97" si="20">SUM(D92:D96)</f>
        <v>73802067962</v>
      </c>
      <c r="E97" s="54">
        <f t="shared" si="20"/>
        <v>10797735432</v>
      </c>
      <c r="F97" s="54">
        <f t="shared" si="20"/>
        <v>19910516092</v>
      </c>
      <c r="G97" s="54">
        <f t="shared" si="20"/>
        <v>-9112780660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8" t="s">
        <v>46</v>
      </c>
      <c r="B98" s="2"/>
      <c r="C98" s="3"/>
      <c r="D98" s="6"/>
      <c r="E98" s="4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"/>
      <c r="B99" s="2">
        <v>66.0</v>
      </c>
      <c r="C99" s="3" t="s">
        <v>97</v>
      </c>
      <c r="D99" s="6">
        <f>June!F99</f>
        <v>3334325448</v>
      </c>
      <c r="E99" s="4">
        <f>Apr!I99+May!I99+June!I99</f>
        <v>1458794268</v>
      </c>
      <c r="F99" s="4">
        <f>Apr!J99+May!J99+June!J99</f>
        <v>2228178812</v>
      </c>
      <c r="G99" s="4">
        <f>E99-F99</f>
        <v>-769384544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24" t="s">
        <v>89</v>
      </c>
      <c r="B100" s="2"/>
      <c r="C100" s="3"/>
      <c r="D100" s="54">
        <f t="shared" ref="D100:G100" si="21">SUM(D99)</f>
        <v>3334325448</v>
      </c>
      <c r="E100" s="54">
        <f t="shared" si="21"/>
        <v>1458794268</v>
      </c>
      <c r="F100" s="54">
        <f t="shared" si="21"/>
        <v>2228178812</v>
      </c>
      <c r="G100" s="54">
        <f t="shared" si="21"/>
        <v>-769384544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1" t="s">
        <v>98</v>
      </c>
      <c r="B101" s="2"/>
      <c r="C101" s="3"/>
      <c r="D101" s="54">
        <f t="shared" ref="D101:G101" si="22">D97+D100</f>
        <v>77136393410</v>
      </c>
      <c r="E101" s="54">
        <f t="shared" si="22"/>
        <v>12256529700</v>
      </c>
      <c r="F101" s="54">
        <f t="shared" si="22"/>
        <v>22138694904</v>
      </c>
      <c r="G101" s="54">
        <f t="shared" si="22"/>
        <v>-9882165204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" t="s">
        <v>99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8" t="s">
        <v>100</v>
      </c>
      <c r="B103" s="2"/>
      <c r="C103" s="3"/>
      <c r="D103" s="6"/>
      <c r="E103" s="4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18"/>
      <c r="B104" s="2">
        <v>67.0</v>
      </c>
      <c r="C104" s="3" t="s">
        <v>101</v>
      </c>
      <c r="D104" s="6">
        <f>June!F104</f>
        <v>9065721683</v>
      </c>
      <c r="E104" s="4">
        <f>Apr!I104+May!I104+June!I104</f>
        <v>170710785.1</v>
      </c>
      <c r="F104" s="4">
        <f>Apr!J104+May!J104+June!J104</f>
        <v>263990357.1</v>
      </c>
      <c r="G104" s="4">
        <f t="shared" ref="G104:G105" si="23">E104-F104</f>
        <v>-93279572.06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/>
      <c r="B105" s="2">
        <v>68.0</v>
      </c>
      <c r="C105" s="3" t="s">
        <v>102</v>
      </c>
      <c r="D105" s="6">
        <f>June!F105</f>
        <v>3313062408</v>
      </c>
      <c r="E105" s="4">
        <f>Apr!I105+May!I105+June!I105</f>
        <v>108960698</v>
      </c>
      <c r="F105" s="4">
        <f>Apr!J105+May!J105+June!J105</f>
        <v>339972055</v>
      </c>
      <c r="G105" s="4">
        <f t="shared" si="23"/>
        <v>-231011357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24" t="s">
        <v>45</v>
      </c>
      <c r="B106" s="2"/>
      <c r="C106" s="3"/>
      <c r="D106" s="54">
        <f t="shared" ref="D106:G106" si="24">SUM(D104:D105)</f>
        <v>12378784091</v>
      </c>
      <c r="E106" s="54">
        <f t="shared" si="24"/>
        <v>279671483.1</v>
      </c>
      <c r="F106" s="54">
        <f t="shared" si="24"/>
        <v>603962412.1</v>
      </c>
      <c r="G106" s="54">
        <f t="shared" si="24"/>
        <v>-324290929.1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8" t="s">
        <v>103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"/>
      <c r="B108" s="2">
        <v>69.0</v>
      </c>
      <c r="C108" s="3" t="s">
        <v>104</v>
      </c>
      <c r="D108" s="6">
        <f>June!F108</f>
        <v>9756339451</v>
      </c>
      <c r="E108" s="4">
        <f>Apr!I108+May!I108+June!I108</f>
        <v>103223705.1</v>
      </c>
      <c r="F108" s="4">
        <f>Apr!J108+May!J108+June!J108</f>
        <v>226623612.3</v>
      </c>
      <c r="G108" s="4">
        <f>E108-F108</f>
        <v>-123399907.2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24" t="s">
        <v>89</v>
      </c>
      <c r="B109" s="25"/>
      <c r="C109" s="1"/>
      <c r="D109" s="54">
        <f t="shared" ref="D109:G109" si="25">SUM(D108)</f>
        <v>9756339451</v>
      </c>
      <c r="E109" s="54">
        <f t="shared" si="25"/>
        <v>103223705.1</v>
      </c>
      <c r="F109" s="54">
        <f t="shared" si="25"/>
        <v>226623612.3</v>
      </c>
      <c r="G109" s="54">
        <f t="shared" si="25"/>
        <v>-123399907.2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 t="s">
        <v>105</v>
      </c>
      <c r="B110" s="31"/>
      <c r="C110" s="29"/>
      <c r="D110" s="54">
        <f t="shared" ref="D110:G110" si="26">D106+D109</f>
        <v>22135123542</v>
      </c>
      <c r="E110" s="54">
        <f t="shared" si="26"/>
        <v>382895188.1</v>
      </c>
      <c r="F110" s="54">
        <f t="shared" si="26"/>
        <v>830586024.4</v>
      </c>
      <c r="G110" s="54">
        <f t="shared" si="26"/>
        <v>-447690836.3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2" t="s">
        <v>106</v>
      </c>
      <c r="B111" s="33"/>
      <c r="C111" s="34"/>
      <c r="D111" s="55">
        <f t="shared" ref="D111:G111" si="27">D39+D63+D89+D101+D110</f>
        <v>252663004420</v>
      </c>
      <c r="E111" s="55">
        <f t="shared" si="27"/>
        <v>15244250282</v>
      </c>
      <c r="F111" s="55">
        <f t="shared" si="27"/>
        <v>27384816901</v>
      </c>
      <c r="G111" s="55">
        <f t="shared" si="27"/>
        <v>-12140566619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0" customHeight="1">
      <c r="A112" s="3"/>
      <c r="B112" s="2"/>
      <c r="C112" s="37"/>
      <c r="D112" s="4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0"/>
      <c r="B113" s="37"/>
      <c r="C113" s="37"/>
      <c r="D113" s="4">
        <f>D111-June!F111</f>
        <v>0</v>
      </c>
      <c r="E113" s="4">
        <f>E111-Apr!I111-May!I111-June!I111</f>
        <v>0</v>
      </c>
      <c r="F113" s="4">
        <f>F111-Apr!J111-May!J111-June!J111</f>
        <v>-0.000001907348633</v>
      </c>
      <c r="G113" s="4">
        <f>G111-Apr!K111-May!K111-June!K111</f>
        <v>-0.000002861022949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7"/>
      <c r="B114" s="37"/>
      <c r="C114" s="37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7"/>
      <c r="B115" s="37"/>
      <c r="C115" s="37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7"/>
      <c r="B116" s="37"/>
      <c r="C116" s="37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7"/>
      <c r="B117" s="37"/>
      <c r="C117" s="37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7"/>
      <c r="B118" s="37"/>
      <c r="C118" s="37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7"/>
      <c r="B119" s="37"/>
      <c r="C119" s="37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7"/>
      <c r="B120" s="37"/>
      <c r="C120" s="37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7"/>
      <c r="B121" s="37"/>
      <c r="C121" s="37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7"/>
      <c r="B122" s="37"/>
      <c r="C122" s="37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7"/>
      <c r="B123" s="37"/>
      <c r="C123" s="37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7"/>
      <c r="B124" s="37"/>
      <c r="C124" s="37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7"/>
      <c r="B125" s="37"/>
      <c r="C125" s="37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7"/>
      <c r="B126" s="37"/>
      <c r="C126" s="37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7"/>
      <c r="B127" s="37"/>
      <c r="C127" s="37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7"/>
      <c r="B128" s="37"/>
      <c r="C128" s="37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7"/>
      <c r="B129" s="37"/>
      <c r="C129" s="37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7"/>
      <c r="B130" s="37"/>
      <c r="C130" s="37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7"/>
      <c r="B131" s="37"/>
      <c r="C131" s="37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7"/>
      <c r="B132" s="37"/>
      <c r="C132" s="37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7"/>
      <c r="B133" s="37"/>
      <c r="C133" s="37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7"/>
      <c r="B134" s="37"/>
      <c r="C134" s="37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7"/>
      <c r="B135" s="37"/>
      <c r="C135" s="37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7"/>
      <c r="B136" s="37"/>
      <c r="C136" s="37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7"/>
      <c r="B137" s="37"/>
      <c r="C137" s="37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7"/>
      <c r="B138" s="37"/>
      <c r="C138" s="37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7"/>
      <c r="B139" s="37"/>
      <c r="C139" s="37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7"/>
      <c r="B140" s="37"/>
      <c r="C140" s="37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7"/>
      <c r="B141" s="37"/>
      <c r="C141" s="37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7"/>
      <c r="B142" s="37"/>
      <c r="C142" s="37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7"/>
      <c r="B143" s="37"/>
      <c r="C143" s="37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7"/>
      <c r="B144" s="37"/>
      <c r="C144" s="37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7"/>
      <c r="B145" s="37"/>
      <c r="C145" s="37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7"/>
      <c r="B146" s="37"/>
      <c r="C146" s="37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7"/>
      <c r="B147" s="37"/>
      <c r="C147" s="37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7"/>
      <c r="B148" s="37"/>
      <c r="C148" s="37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7"/>
      <c r="B149" s="37"/>
      <c r="C149" s="37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7"/>
      <c r="B150" s="37"/>
      <c r="C150" s="37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7"/>
      <c r="B151" s="37"/>
      <c r="C151" s="37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7"/>
      <c r="B152" s="37"/>
      <c r="C152" s="37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7"/>
      <c r="B153" s="37"/>
      <c r="C153" s="37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7"/>
      <c r="B154" s="37"/>
      <c r="C154" s="37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7"/>
      <c r="B155" s="37"/>
      <c r="C155" s="37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7"/>
      <c r="B156" s="37"/>
      <c r="C156" s="37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7"/>
      <c r="B157" s="37"/>
      <c r="C157" s="37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7"/>
      <c r="B158" s="37"/>
      <c r="C158" s="37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7"/>
      <c r="B159" s="37"/>
      <c r="C159" s="37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7"/>
      <c r="B160" s="37"/>
      <c r="C160" s="37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7"/>
      <c r="B161" s="37"/>
      <c r="C161" s="37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7"/>
      <c r="B162" s="37"/>
      <c r="C162" s="37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7"/>
      <c r="B163" s="37"/>
      <c r="C163" s="37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7"/>
      <c r="B164" s="37"/>
      <c r="C164" s="37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7"/>
      <c r="B165" s="37"/>
      <c r="C165" s="37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7"/>
      <c r="B166" s="37"/>
      <c r="C166" s="37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7"/>
      <c r="B167" s="37"/>
      <c r="C167" s="37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7"/>
      <c r="B168" s="37"/>
      <c r="C168" s="37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7"/>
      <c r="B169" s="37"/>
      <c r="C169" s="37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7"/>
      <c r="B170" s="37"/>
      <c r="C170" s="37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7"/>
      <c r="B171" s="37"/>
      <c r="C171" s="37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7"/>
      <c r="B172" s="37"/>
      <c r="C172" s="37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7"/>
      <c r="B173" s="37"/>
      <c r="C173" s="37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7"/>
      <c r="B174" s="37"/>
      <c r="C174" s="37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7"/>
      <c r="B175" s="37"/>
      <c r="C175" s="37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7"/>
      <c r="B176" s="37"/>
      <c r="C176" s="37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7"/>
      <c r="B177" s="37"/>
      <c r="C177" s="37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7"/>
      <c r="B178" s="37"/>
      <c r="C178" s="37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7"/>
      <c r="B179" s="37"/>
      <c r="C179" s="37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7"/>
      <c r="B180" s="37"/>
      <c r="C180" s="37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7"/>
      <c r="B181" s="37"/>
      <c r="C181" s="37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7"/>
      <c r="B182" s="37"/>
      <c r="C182" s="37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7"/>
      <c r="B183" s="37"/>
      <c r="C183" s="37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7"/>
      <c r="B184" s="37"/>
      <c r="C184" s="37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7"/>
      <c r="B185" s="37"/>
      <c r="C185" s="37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7"/>
      <c r="B186" s="37"/>
      <c r="C186" s="37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7"/>
      <c r="B187" s="37"/>
      <c r="C187" s="37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7"/>
      <c r="B188" s="37"/>
      <c r="C188" s="37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7"/>
      <c r="B189" s="37"/>
      <c r="C189" s="37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7"/>
      <c r="B190" s="37"/>
      <c r="C190" s="37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7"/>
      <c r="B191" s="37"/>
      <c r="C191" s="37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7"/>
      <c r="B192" s="37"/>
      <c r="C192" s="37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7"/>
      <c r="B193" s="37"/>
      <c r="C193" s="37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7"/>
      <c r="B194" s="37"/>
      <c r="C194" s="37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7"/>
      <c r="B195" s="37"/>
      <c r="C195" s="37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7"/>
      <c r="B196" s="37"/>
      <c r="C196" s="37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7"/>
      <c r="B197" s="37"/>
      <c r="C197" s="37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7"/>
      <c r="B198" s="37"/>
      <c r="C198" s="37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7"/>
      <c r="B199" s="37"/>
      <c r="C199" s="37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7"/>
      <c r="B200" s="37"/>
      <c r="C200" s="37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7"/>
      <c r="B201" s="37"/>
      <c r="C201" s="37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7"/>
      <c r="B202" s="37"/>
      <c r="C202" s="37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7"/>
      <c r="B203" s="37"/>
      <c r="C203" s="37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7"/>
      <c r="B204" s="37"/>
      <c r="C204" s="37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7"/>
      <c r="B205" s="37"/>
      <c r="C205" s="37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7"/>
      <c r="B206" s="37"/>
      <c r="C206" s="37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7"/>
      <c r="B207" s="37"/>
      <c r="C207" s="37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7"/>
      <c r="B208" s="37"/>
      <c r="C208" s="37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7"/>
      <c r="B209" s="37"/>
      <c r="C209" s="37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7"/>
      <c r="B210" s="37"/>
      <c r="C210" s="37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7"/>
      <c r="B211" s="37"/>
      <c r="C211" s="37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7"/>
      <c r="B212" s="37"/>
      <c r="C212" s="37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7"/>
      <c r="B213" s="37"/>
      <c r="C213" s="37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7"/>
      <c r="B214" s="37"/>
      <c r="C214" s="37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7"/>
      <c r="B215" s="37"/>
      <c r="C215" s="37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7"/>
      <c r="B216" s="37"/>
      <c r="C216" s="37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7"/>
      <c r="B217" s="37"/>
      <c r="C217" s="37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7"/>
      <c r="B218" s="37"/>
      <c r="C218" s="37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7"/>
      <c r="B219" s="37"/>
      <c r="C219" s="37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7"/>
      <c r="B220" s="37"/>
      <c r="C220" s="37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7"/>
      <c r="B221" s="37"/>
      <c r="C221" s="37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7"/>
      <c r="B222" s="37"/>
      <c r="C222" s="37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7"/>
      <c r="B223" s="37"/>
      <c r="C223" s="37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7"/>
      <c r="B224" s="37"/>
      <c r="C224" s="37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7"/>
      <c r="B225" s="37"/>
      <c r="C225" s="37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7"/>
      <c r="B226" s="37"/>
      <c r="C226" s="37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7"/>
      <c r="B227" s="37"/>
      <c r="C227" s="37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7"/>
      <c r="B228" s="37"/>
      <c r="C228" s="37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7"/>
      <c r="B229" s="37"/>
      <c r="C229" s="37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7"/>
      <c r="B230" s="37"/>
      <c r="C230" s="37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7"/>
      <c r="B231" s="37"/>
      <c r="C231" s="37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7"/>
      <c r="B232" s="37"/>
      <c r="C232" s="37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7"/>
      <c r="B233" s="37"/>
      <c r="C233" s="37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7"/>
      <c r="B234" s="37"/>
      <c r="C234" s="37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7"/>
      <c r="B235" s="37"/>
      <c r="C235" s="37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7"/>
      <c r="B236" s="37"/>
      <c r="C236" s="37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7"/>
      <c r="B237" s="37"/>
      <c r="C237" s="37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7"/>
      <c r="B238" s="37"/>
      <c r="C238" s="37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7"/>
      <c r="B239" s="37"/>
      <c r="C239" s="37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7"/>
      <c r="B240" s="37"/>
      <c r="C240" s="37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7"/>
      <c r="B241" s="37"/>
      <c r="C241" s="37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7"/>
      <c r="B242" s="37"/>
      <c r="C242" s="37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7"/>
      <c r="B243" s="37"/>
      <c r="C243" s="37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7"/>
      <c r="B244" s="37"/>
      <c r="C244" s="37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7"/>
      <c r="B245" s="37"/>
      <c r="C245" s="37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7"/>
      <c r="B246" s="37"/>
      <c r="C246" s="37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7"/>
      <c r="B247" s="37"/>
      <c r="C247" s="37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7"/>
      <c r="B248" s="37"/>
      <c r="C248" s="37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7"/>
      <c r="B249" s="37"/>
      <c r="C249" s="37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7"/>
      <c r="B250" s="37"/>
      <c r="C250" s="37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7"/>
      <c r="B251" s="37"/>
      <c r="C251" s="37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7"/>
      <c r="B252" s="37"/>
      <c r="C252" s="37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7"/>
      <c r="B253" s="37"/>
      <c r="C253" s="37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7"/>
      <c r="B254" s="37"/>
      <c r="C254" s="37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7"/>
      <c r="B255" s="37"/>
      <c r="C255" s="37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7"/>
      <c r="B256" s="37"/>
      <c r="C256" s="37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7"/>
      <c r="B257" s="37"/>
      <c r="C257" s="37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7"/>
      <c r="B258" s="37"/>
      <c r="C258" s="37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7"/>
      <c r="B259" s="37"/>
      <c r="C259" s="37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7"/>
      <c r="B260" s="37"/>
      <c r="C260" s="37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7"/>
      <c r="B261" s="37"/>
      <c r="C261" s="37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7"/>
      <c r="B262" s="37"/>
      <c r="C262" s="37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7"/>
      <c r="B263" s="37"/>
      <c r="C263" s="37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7"/>
      <c r="B264" s="37"/>
      <c r="C264" s="37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7"/>
      <c r="B265" s="37"/>
      <c r="C265" s="37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7"/>
      <c r="B266" s="37"/>
      <c r="C266" s="37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7"/>
      <c r="B267" s="37"/>
      <c r="C267" s="37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7"/>
      <c r="B268" s="37"/>
      <c r="C268" s="37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7"/>
      <c r="B269" s="37"/>
      <c r="C269" s="37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7"/>
      <c r="B270" s="37"/>
      <c r="C270" s="37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7"/>
      <c r="B271" s="37"/>
      <c r="C271" s="37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7"/>
      <c r="B272" s="37"/>
      <c r="C272" s="37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7"/>
      <c r="B273" s="37"/>
      <c r="C273" s="37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7"/>
      <c r="B274" s="37"/>
      <c r="C274" s="37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7"/>
      <c r="B275" s="37"/>
      <c r="C275" s="37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7"/>
      <c r="B276" s="37"/>
      <c r="C276" s="37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7"/>
      <c r="B277" s="37"/>
      <c r="C277" s="37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7"/>
      <c r="B278" s="37"/>
      <c r="C278" s="37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7"/>
      <c r="B279" s="37"/>
      <c r="C279" s="37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7"/>
      <c r="B280" s="37"/>
      <c r="C280" s="37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7"/>
      <c r="B281" s="37"/>
      <c r="C281" s="37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7"/>
      <c r="B282" s="37"/>
      <c r="C282" s="37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7"/>
      <c r="B283" s="37"/>
      <c r="C283" s="37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7"/>
      <c r="B284" s="37"/>
      <c r="C284" s="37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7"/>
      <c r="B285" s="37"/>
      <c r="C285" s="37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7"/>
      <c r="B286" s="37"/>
      <c r="C286" s="37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7"/>
      <c r="B287" s="37"/>
      <c r="C287" s="37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7"/>
      <c r="B288" s="37"/>
      <c r="C288" s="37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7"/>
      <c r="B289" s="37"/>
      <c r="C289" s="37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7"/>
      <c r="B290" s="37"/>
      <c r="C290" s="37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7"/>
      <c r="B291" s="37"/>
      <c r="C291" s="37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7"/>
      <c r="B292" s="37"/>
      <c r="C292" s="37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7"/>
      <c r="B293" s="37"/>
      <c r="C293" s="37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7"/>
      <c r="B294" s="37"/>
      <c r="C294" s="37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7"/>
      <c r="B295" s="37"/>
      <c r="C295" s="37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7"/>
      <c r="B296" s="37"/>
      <c r="C296" s="37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7"/>
      <c r="B297" s="37"/>
      <c r="C297" s="37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7"/>
      <c r="B298" s="37"/>
      <c r="C298" s="37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7"/>
      <c r="B299" s="37"/>
      <c r="C299" s="37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7"/>
      <c r="B300" s="37"/>
      <c r="C300" s="37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7"/>
      <c r="B301" s="37"/>
      <c r="C301" s="37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7"/>
      <c r="B302" s="37"/>
      <c r="C302" s="37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7"/>
      <c r="B303" s="37"/>
      <c r="C303" s="37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7"/>
      <c r="B304" s="37"/>
      <c r="C304" s="37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7"/>
      <c r="B305" s="37"/>
      <c r="C305" s="37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7"/>
      <c r="B306" s="37"/>
      <c r="C306" s="37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7"/>
      <c r="B307" s="37"/>
      <c r="C307" s="37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7"/>
      <c r="B308" s="37"/>
      <c r="C308" s="37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7"/>
      <c r="B309" s="37"/>
      <c r="C309" s="37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7"/>
      <c r="B310" s="37"/>
      <c r="C310" s="37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7"/>
      <c r="B311" s="37"/>
      <c r="C311" s="37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7"/>
      <c r="B312" s="37"/>
      <c r="C312" s="37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7"/>
      <c r="B313" s="37"/>
      <c r="C313" s="37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7"/>
      <c r="B314" s="37"/>
      <c r="C314" s="37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7"/>
      <c r="B315" s="37"/>
      <c r="C315" s="37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7"/>
      <c r="B316" s="37"/>
      <c r="C316" s="37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7"/>
      <c r="B317" s="37"/>
      <c r="C317" s="37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7"/>
      <c r="B318" s="37"/>
      <c r="C318" s="37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7"/>
      <c r="B319" s="37"/>
      <c r="C319" s="37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7"/>
      <c r="B320" s="37"/>
      <c r="C320" s="37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7"/>
      <c r="B321" s="37"/>
      <c r="C321" s="37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7"/>
      <c r="B322" s="37"/>
      <c r="C322" s="37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7"/>
      <c r="B323" s="37"/>
      <c r="C323" s="37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7"/>
      <c r="B324" s="37"/>
      <c r="C324" s="37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7"/>
      <c r="B325" s="37"/>
      <c r="C325" s="37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7"/>
      <c r="B326" s="37"/>
      <c r="C326" s="37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7"/>
      <c r="B327" s="37"/>
      <c r="C327" s="37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7"/>
      <c r="B328" s="37"/>
      <c r="C328" s="37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7"/>
      <c r="B329" s="37"/>
      <c r="C329" s="37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7"/>
      <c r="B330" s="37"/>
      <c r="C330" s="37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7"/>
      <c r="B331" s="37"/>
      <c r="C331" s="37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7"/>
      <c r="B332" s="37"/>
      <c r="C332" s="37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7"/>
      <c r="B333" s="37"/>
      <c r="C333" s="37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7"/>
      <c r="B334" s="37"/>
      <c r="C334" s="37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7"/>
      <c r="B335" s="37"/>
      <c r="C335" s="37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7"/>
      <c r="B336" s="37"/>
      <c r="C336" s="37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7"/>
      <c r="B337" s="37"/>
      <c r="C337" s="37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7"/>
      <c r="B338" s="37"/>
      <c r="C338" s="37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7"/>
      <c r="B339" s="37"/>
      <c r="C339" s="37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7"/>
      <c r="B340" s="37"/>
      <c r="C340" s="37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7"/>
      <c r="B341" s="37"/>
      <c r="C341" s="37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7"/>
      <c r="B342" s="37"/>
      <c r="C342" s="37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7"/>
      <c r="B343" s="37"/>
      <c r="C343" s="37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7"/>
      <c r="B344" s="37"/>
      <c r="C344" s="37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7"/>
      <c r="B345" s="37"/>
      <c r="C345" s="37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7"/>
      <c r="B346" s="37"/>
      <c r="C346" s="37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7"/>
      <c r="B347" s="37"/>
      <c r="C347" s="37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7"/>
      <c r="B348" s="37"/>
      <c r="C348" s="37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7"/>
      <c r="B349" s="37"/>
      <c r="C349" s="37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7"/>
      <c r="B350" s="37"/>
      <c r="C350" s="37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7"/>
      <c r="B351" s="37"/>
      <c r="C351" s="37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7"/>
      <c r="B352" s="37"/>
      <c r="C352" s="37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7"/>
      <c r="B353" s="37"/>
      <c r="C353" s="37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7"/>
      <c r="B354" s="37"/>
      <c r="C354" s="37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7"/>
      <c r="B355" s="37"/>
      <c r="C355" s="37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7"/>
      <c r="B356" s="37"/>
      <c r="C356" s="37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7"/>
      <c r="B357" s="37"/>
      <c r="C357" s="37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7"/>
      <c r="B358" s="37"/>
      <c r="C358" s="37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7"/>
      <c r="B359" s="37"/>
      <c r="C359" s="37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7"/>
      <c r="B360" s="37"/>
      <c r="C360" s="37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7"/>
      <c r="B361" s="37"/>
      <c r="C361" s="37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7"/>
      <c r="B362" s="37"/>
      <c r="C362" s="37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7"/>
      <c r="B363" s="37"/>
      <c r="C363" s="37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7"/>
      <c r="B364" s="37"/>
      <c r="C364" s="37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7"/>
      <c r="B365" s="37"/>
      <c r="C365" s="37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7"/>
      <c r="B366" s="37"/>
      <c r="C366" s="37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7"/>
      <c r="B367" s="37"/>
      <c r="C367" s="37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7"/>
      <c r="B368" s="37"/>
      <c r="C368" s="37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7"/>
      <c r="B369" s="37"/>
      <c r="C369" s="37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7"/>
      <c r="B370" s="37"/>
      <c r="C370" s="37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7"/>
      <c r="B371" s="37"/>
      <c r="C371" s="37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7"/>
      <c r="B372" s="37"/>
      <c r="C372" s="37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7"/>
      <c r="B373" s="37"/>
      <c r="C373" s="37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7"/>
      <c r="B374" s="37"/>
      <c r="C374" s="37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7"/>
      <c r="B375" s="37"/>
      <c r="C375" s="37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7"/>
      <c r="B376" s="37"/>
      <c r="C376" s="37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7"/>
      <c r="B377" s="37"/>
      <c r="C377" s="37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7"/>
      <c r="B378" s="37"/>
      <c r="C378" s="37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7"/>
      <c r="B379" s="37"/>
      <c r="C379" s="37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7"/>
      <c r="B380" s="37"/>
      <c r="C380" s="37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7"/>
      <c r="B381" s="37"/>
      <c r="C381" s="37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7"/>
      <c r="B382" s="37"/>
      <c r="C382" s="37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7"/>
      <c r="B383" s="37"/>
      <c r="C383" s="37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7"/>
      <c r="B384" s="37"/>
      <c r="C384" s="37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7"/>
      <c r="B385" s="37"/>
      <c r="C385" s="37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7"/>
      <c r="B386" s="37"/>
      <c r="C386" s="37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7"/>
      <c r="B387" s="37"/>
      <c r="C387" s="37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7"/>
      <c r="B388" s="37"/>
      <c r="C388" s="37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7"/>
      <c r="B389" s="37"/>
      <c r="C389" s="37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7"/>
      <c r="B390" s="37"/>
      <c r="C390" s="37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7"/>
      <c r="B391" s="37"/>
      <c r="C391" s="37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7"/>
      <c r="B392" s="37"/>
      <c r="C392" s="37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7"/>
      <c r="B393" s="37"/>
      <c r="C393" s="37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7"/>
      <c r="B394" s="37"/>
      <c r="C394" s="37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7"/>
      <c r="B395" s="37"/>
      <c r="C395" s="37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7"/>
      <c r="B396" s="37"/>
      <c r="C396" s="37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7"/>
      <c r="B397" s="37"/>
      <c r="C397" s="37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7"/>
      <c r="B398" s="37"/>
      <c r="C398" s="37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7"/>
      <c r="B399" s="37"/>
      <c r="C399" s="37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7"/>
      <c r="B400" s="37"/>
      <c r="C400" s="37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7"/>
      <c r="B401" s="37"/>
      <c r="C401" s="37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7"/>
      <c r="B402" s="37"/>
      <c r="C402" s="37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7"/>
      <c r="B403" s="37"/>
      <c r="C403" s="37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7"/>
      <c r="B404" s="37"/>
      <c r="C404" s="37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7"/>
      <c r="B405" s="37"/>
      <c r="C405" s="37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7"/>
      <c r="B406" s="37"/>
      <c r="C406" s="37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7"/>
      <c r="B407" s="37"/>
      <c r="C407" s="37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7"/>
      <c r="B408" s="37"/>
      <c r="C408" s="37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7"/>
      <c r="B409" s="37"/>
      <c r="C409" s="37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7"/>
      <c r="B410" s="37"/>
      <c r="C410" s="37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7"/>
      <c r="B411" s="37"/>
      <c r="C411" s="37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7"/>
      <c r="B412" s="37"/>
      <c r="C412" s="37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7"/>
      <c r="B413" s="37"/>
      <c r="C413" s="37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7"/>
      <c r="B414" s="37"/>
      <c r="C414" s="37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7"/>
      <c r="B415" s="37"/>
      <c r="C415" s="37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7"/>
      <c r="B416" s="37"/>
      <c r="C416" s="37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7"/>
      <c r="B417" s="37"/>
      <c r="C417" s="37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7"/>
      <c r="B418" s="37"/>
      <c r="C418" s="37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7"/>
      <c r="B419" s="37"/>
      <c r="C419" s="37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7"/>
      <c r="B420" s="37"/>
      <c r="C420" s="37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7"/>
      <c r="B421" s="37"/>
      <c r="C421" s="37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7"/>
      <c r="B422" s="37"/>
      <c r="C422" s="37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7"/>
      <c r="B423" s="37"/>
      <c r="C423" s="37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7"/>
      <c r="B424" s="37"/>
      <c r="C424" s="37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7"/>
      <c r="B425" s="37"/>
      <c r="C425" s="37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7"/>
      <c r="B426" s="37"/>
      <c r="C426" s="37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7"/>
      <c r="B427" s="37"/>
      <c r="C427" s="37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7"/>
      <c r="B428" s="37"/>
      <c r="C428" s="37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7"/>
      <c r="B429" s="37"/>
      <c r="C429" s="37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7"/>
      <c r="B430" s="37"/>
      <c r="C430" s="37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7"/>
      <c r="B431" s="37"/>
      <c r="C431" s="37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7"/>
      <c r="B432" s="37"/>
      <c r="C432" s="37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7"/>
      <c r="B433" s="37"/>
      <c r="C433" s="37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7"/>
      <c r="B434" s="37"/>
      <c r="C434" s="37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7"/>
      <c r="B435" s="37"/>
      <c r="C435" s="37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7"/>
      <c r="B436" s="37"/>
      <c r="C436" s="37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7"/>
      <c r="B437" s="37"/>
      <c r="C437" s="37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7"/>
      <c r="B438" s="37"/>
      <c r="C438" s="37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7"/>
      <c r="B439" s="37"/>
      <c r="C439" s="37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7"/>
      <c r="B440" s="37"/>
      <c r="C440" s="37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7"/>
      <c r="B441" s="37"/>
      <c r="C441" s="37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7"/>
      <c r="B442" s="37"/>
      <c r="C442" s="37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7"/>
      <c r="B443" s="37"/>
      <c r="C443" s="37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7"/>
      <c r="B444" s="37"/>
      <c r="C444" s="37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7"/>
      <c r="B445" s="37"/>
      <c r="C445" s="37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7"/>
      <c r="B446" s="37"/>
      <c r="C446" s="37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7"/>
      <c r="B447" s="37"/>
      <c r="C447" s="37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7"/>
      <c r="B448" s="37"/>
      <c r="C448" s="37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7"/>
      <c r="B449" s="37"/>
      <c r="C449" s="37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7"/>
      <c r="B450" s="37"/>
      <c r="C450" s="37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7"/>
      <c r="B451" s="37"/>
      <c r="C451" s="37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7"/>
      <c r="B452" s="37"/>
      <c r="C452" s="37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7"/>
      <c r="B453" s="37"/>
      <c r="C453" s="37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7"/>
      <c r="B454" s="37"/>
      <c r="C454" s="37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7"/>
      <c r="B455" s="37"/>
      <c r="C455" s="37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7"/>
      <c r="B456" s="37"/>
      <c r="C456" s="37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7"/>
      <c r="B457" s="37"/>
      <c r="C457" s="37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7"/>
      <c r="B458" s="37"/>
      <c r="C458" s="37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7"/>
      <c r="B459" s="37"/>
      <c r="C459" s="37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7"/>
      <c r="B460" s="37"/>
      <c r="C460" s="37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7"/>
      <c r="B461" s="37"/>
      <c r="C461" s="37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7"/>
      <c r="B462" s="37"/>
      <c r="C462" s="37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7"/>
      <c r="B463" s="37"/>
      <c r="C463" s="37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7"/>
      <c r="B464" s="37"/>
      <c r="C464" s="37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7"/>
      <c r="B465" s="37"/>
      <c r="C465" s="37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7"/>
      <c r="B466" s="37"/>
      <c r="C466" s="37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7"/>
      <c r="B467" s="37"/>
      <c r="C467" s="37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7"/>
      <c r="B468" s="37"/>
      <c r="C468" s="37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7"/>
      <c r="B469" s="37"/>
      <c r="C469" s="37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7"/>
      <c r="B470" s="37"/>
      <c r="C470" s="37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7"/>
      <c r="B471" s="37"/>
      <c r="C471" s="37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7"/>
      <c r="B472" s="37"/>
      <c r="C472" s="37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7"/>
      <c r="B473" s="37"/>
      <c r="C473" s="37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7"/>
      <c r="B474" s="37"/>
      <c r="C474" s="37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7"/>
      <c r="B475" s="37"/>
      <c r="C475" s="37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7"/>
      <c r="B476" s="37"/>
      <c r="C476" s="37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7"/>
      <c r="B477" s="37"/>
      <c r="C477" s="37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7"/>
      <c r="B478" s="37"/>
      <c r="C478" s="37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7"/>
      <c r="B479" s="37"/>
      <c r="C479" s="37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7"/>
      <c r="B480" s="37"/>
      <c r="C480" s="37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7"/>
      <c r="B481" s="37"/>
      <c r="C481" s="37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7"/>
      <c r="B482" s="37"/>
      <c r="C482" s="37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7"/>
      <c r="B483" s="37"/>
      <c r="C483" s="37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7"/>
      <c r="B484" s="37"/>
      <c r="C484" s="37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7"/>
      <c r="B485" s="37"/>
      <c r="C485" s="37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7"/>
      <c r="B486" s="37"/>
      <c r="C486" s="37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7"/>
      <c r="B487" s="37"/>
      <c r="C487" s="37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7"/>
      <c r="B488" s="37"/>
      <c r="C488" s="37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7"/>
      <c r="B489" s="37"/>
      <c r="C489" s="37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7"/>
      <c r="B490" s="37"/>
      <c r="C490" s="37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7"/>
      <c r="B491" s="37"/>
      <c r="C491" s="37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7"/>
      <c r="B492" s="37"/>
      <c r="C492" s="37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7"/>
      <c r="B493" s="37"/>
      <c r="C493" s="37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7"/>
      <c r="B494" s="37"/>
      <c r="C494" s="37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7"/>
      <c r="B495" s="37"/>
      <c r="C495" s="37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7"/>
      <c r="B496" s="37"/>
      <c r="C496" s="37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7"/>
      <c r="B497" s="37"/>
      <c r="C497" s="37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7"/>
      <c r="B498" s="37"/>
      <c r="C498" s="37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7"/>
      <c r="B499" s="37"/>
      <c r="C499" s="37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7"/>
      <c r="B500" s="37"/>
      <c r="C500" s="37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7"/>
      <c r="B501" s="37"/>
      <c r="C501" s="37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7"/>
      <c r="B502" s="37"/>
      <c r="C502" s="37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7"/>
      <c r="B503" s="37"/>
      <c r="C503" s="37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7"/>
      <c r="B504" s="37"/>
      <c r="C504" s="37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7"/>
      <c r="B505" s="37"/>
      <c r="C505" s="37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7"/>
      <c r="B506" s="37"/>
      <c r="C506" s="37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7"/>
      <c r="B507" s="37"/>
      <c r="C507" s="37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7"/>
      <c r="B508" s="37"/>
      <c r="C508" s="37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7"/>
      <c r="B509" s="37"/>
      <c r="C509" s="37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7"/>
      <c r="B510" s="37"/>
      <c r="C510" s="37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7"/>
      <c r="B511" s="37"/>
      <c r="C511" s="37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7"/>
      <c r="B512" s="37"/>
      <c r="C512" s="37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7"/>
      <c r="B513" s="37"/>
      <c r="C513" s="37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7"/>
      <c r="B514" s="37"/>
      <c r="C514" s="37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7"/>
      <c r="B515" s="37"/>
      <c r="C515" s="37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7"/>
      <c r="B516" s="37"/>
      <c r="C516" s="37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7"/>
      <c r="B517" s="37"/>
      <c r="C517" s="37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7"/>
      <c r="B518" s="37"/>
      <c r="C518" s="37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7"/>
      <c r="B519" s="37"/>
      <c r="C519" s="37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7"/>
      <c r="B520" s="37"/>
      <c r="C520" s="37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7"/>
      <c r="B521" s="37"/>
      <c r="C521" s="37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7"/>
      <c r="B522" s="37"/>
      <c r="C522" s="37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7"/>
      <c r="B523" s="37"/>
      <c r="C523" s="37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7"/>
      <c r="B524" s="37"/>
      <c r="C524" s="37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7"/>
      <c r="B525" s="37"/>
      <c r="C525" s="37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7"/>
      <c r="B526" s="37"/>
      <c r="C526" s="37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7"/>
      <c r="B527" s="37"/>
      <c r="C527" s="37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7"/>
      <c r="B528" s="37"/>
      <c r="C528" s="37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7"/>
      <c r="B529" s="37"/>
      <c r="C529" s="37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7"/>
      <c r="B530" s="37"/>
      <c r="C530" s="37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7"/>
      <c r="B531" s="37"/>
      <c r="C531" s="37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7"/>
      <c r="B532" s="37"/>
      <c r="C532" s="37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7"/>
      <c r="B533" s="37"/>
      <c r="C533" s="37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7"/>
      <c r="B534" s="37"/>
      <c r="C534" s="37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7"/>
      <c r="B535" s="37"/>
      <c r="C535" s="37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7"/>
      <c r="B536" s="37"/>
      <c r="C536" s="37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7"/>
      <c r="B537" s="37"/>
      <c r="C537" s="37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7"/>
      <c r="B538" s="37"/>
      <c r="C538" s="37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7"/>
      <c r="B539" s="37"/>
      <c r="C539" s="37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7"/>
      <c r="B540" s="37"/>
      <c r="C540" s="37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7"/>
      <c r="B541" s="37"/>
      <c r="C541" s="37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7"/>
      <c r="B542" s="37"/>
      <c r="C542" s="37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7"/>
      <c r="B543" s="37"/>
      <c r="C543" s="37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7"/>
      <c r="B544" s="37"/>
      <c r="C544" s="37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7"/>
      <c r="B545" s="37"/>
      <c r="C545" s="37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7"/>
      <c r="B546" s="37"/>
      <c r="C546" s="37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7"/>
      <c r="B547" s="37"/>
      <c r="C547" s="37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7"/>
      <c r="B548" s="37"/>
      <c r="C548" s="37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7"/>
      <c r="B549" s="37"/>
      <c r="C549" s="37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7"/>
      <c r="B550" s="37"/>
      <c r="C550" s="37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7"/>
      <c r="B551" s="37"/>
      <c r="C551" s="37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7"/>
      <c r="B552" s="37"/>
      <c r="C552" s="37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7"/>
      <c r="B553" s="37"/>
      <c r="C553" s="37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7"/>
      <c r="B554" s="37"/>
      <c r="C554" s="37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7"/>
      <c r="B555" s="37"/>
      <c r="C555" s="37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7"/>
      <c r="B556" s="37"/>
      <c r="C556" s="37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7"/>
      <c r="B557" s="37"/>
      <c r="C557" s="37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7"/>
      <c r="B558" s="37"/>
      <c r="C558" s="37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7"/>
      <c r="B559" s="37"/>
      <c r="C559" s="37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7"/>
      <c r="B560" s="37"/>
      <c r="C560" s="37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7"/>
      <c r="B561" s="37"/>
      <c r="C561" s="37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7"/>
      <c r="B562" s="37"/>
      <c r="C562" s="37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7"/>
      <c r="B563" s="37"/>
      <c r="C563" s="37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7"/>
      <c r="B564" s="37"/>
      <c r="C564" s="37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7"/>
      <c r="B565" s="37"/>
      <c r="C565" s="37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7"/>
      <c r="B566" s="37"/>
      <c r="C566" s="37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7"/>
      <c r="B567" s="37"/>
      <c r="C567" s="37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7"/>
      <c r="B568" s="37"/>
      <c r="C568" s="37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7"/>
      <c r="B569" s="37"/>
      <c r="C569" s="37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7"/>
      <c r="B570" s="37"/>
      <c r="C570" s="37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7"/>
      <c r="B571" s="37"/>
      <c r="C571" s="37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7"/>
      <c r="B572" s="37"/>
      <c r="C572" s="37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7"/>
      <c r="B573" s="37"/>
      <c r="C573" s="37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7"/>
      <c r="B574" s="37"/>
      <c r="C574" s="37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7"/>
      <c r="B575" s="37"/>
      <c r="C575" s="37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7"/>
      <c r="B576" s="37"/>
      <c r="C576" s="37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7"/>
      <c r="B577" s="37"/>
      <c r="C577" s="37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7"/>
      <c r="B578" s="37"/>
      <c r="C578" s="37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7"/>
      <c r="B579" s="37"/>
      <c r="C579" s="37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7"/>
      <c r="B580" s="37"/>
      <c r="C580" s="37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7"/>
      <c r="B581" s="37"/>
      <c r="C581" s="37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7"/>
      <c r="B582" s="37"/>
      <c r="C582" s="37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7"/>
      <c r="B583" s="37"/>
      <c r="C583" s="37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7"/>
      <c r="B584" s="37"/>
      <c r="C584" s="37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7"/>
      <c r="B585" s="37"/>
      <c r="C585" s="37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7"/>
      <c r="B586" s="37"/>
      <c r="C586" s="37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7"/>
      <c r="B587" s="37"/>
      <c r="C587" s="37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7"/>
      <c r="B588" s="37"/>
      <c r="C588" s="37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7"/>
      <c r="B589" s="37"/>
      <c r="C589" s="37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7"/>
      <c r="B590" s="37"/>
      <c r="C590" s="37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7"/>
      <c r="B591" s="37"/>
      <c r="C591" s="37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7"/>
      <c r="B592" s="37"/>
      <c r="C592" s="37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7"/>
      <c r="B593" s="37"/>
      <c r="C593" s="37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7"/>
      <c r="B594" s="37"/>
      <c r="C594" s="37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7"/>
      <c r="B595" s="37"/>
      <c r="C595" s="37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7"/>
      <c r="B596" s="37"/>
      <c r="C596" s="37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7"/>
      <c r="B597" s="37"/>
      <c r="C597" s="37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7"/>
      <c r="B598" s="37"/>
      <c r="C598" s="37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7"/>
      <c r="B599" s="37"/>
      <c r="C599" s="37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7"/>
      <c r="B600" s="37"/>
      <c r="C600" s="37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7"/>
      <c r="B601" s="37"/>
      <c r="C601" s="37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7"/>
      <c r="B602" s="37"/>
      <c r="C602" s="37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7"/>
      <c r="B603" s="37"/>
      <c r="C603" s="37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7"/>
      <c r="B604" s="37"/>
      <c r="C604" s="37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7"/>
      <c r="B605" s="37"/>
      <c r="C605" s="37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7"/>
      <c r="B606" s="37"/>
      <c r="C606" s="37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7"/>
      <c r="B607" s="37"/>
      <c r="C607" s="37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7"/>
      <c r="B608" s="37"/>
      <c r="C608" s="37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7"/>
      <c r="B609" s="37"/>
      <c r="C609" s="37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7"/>
      <c r="B610" s="37"/>
      <c r="C610" s="37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7"/>
      <c r="B611" s="37"/>
      <c r="C611" s="37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7"/>
      <c r="B612" s="37"/>
      <c r="C612" s="37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7"/>
      <c r="B613" s="37"/>
      <c r="C613" s="37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7"/>
      <c r="B614" s="37"/>
      <c r="C614" s="37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7"/>
      <c r="B615" s="37"/>
      <c r="C615" s="37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7"/>
      <c r="B616" s="37"/>
      <c r="C616" s="37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7"/>
      <c r="B617" s="37"/>
      <c r="C617" s="37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7"/>
      <c r="B618" s="37"/>
      <c r="C618" s="37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7"/>
      <c r="B619" s="37"/>
      <c r="C619" s="37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7"/>
      <c r="B620" s="37"/>
      <c r="C620" s="37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7"/>
      <c r="B621" s="37"/>
      <c r="C621" s="37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7"/>
      <c r="B622" s="37"/>
      <c r="C622" s="37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7"/>
      <c r="B623" s="37"/>
      <c r="C623" s="37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7"/>
      <c r="B624" s="37"/>
      <c r="C624" s="37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7"/>
      <c r="B625" s="37"/>
      <c r="C625" s="37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7"/>
      <c r="B626" s="37"/>
      <c r="C626" s="37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7"/>
      <c r="B627" s="37"/>
      <c r="C627" s="37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7"/>
      <c r="B628" s="37"/>
      <c r="C628" s="37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7"/>
      <c r="B629" s="37"/>
      <c r="C629" s="37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7"/>
      <c r="B630" s="37"/>
      <c r="C630" s="37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7"/>
      <c r="B631" s="37"/>
      <c r="C631" s="37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7"/>
      <c r="B632" s="37"/>
      <c r="C632" s="37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7"/>
      <c r="B633" s="37"/>
      <c r="C633" s="37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7"/>
      <c r="B634" s="37"/>
      <c r="C634" s="37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7"/>
      <c r="B635" s="37"/>
      <c r="C635" s="37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7"/>
      <c r="B636" s="37"/>
      <c r="C636" s="37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7"/>
      <c r="B637" s="37"/>
      <c r="C637" s="37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7"/>
      <c r="B638" s="37"/>
      <c r="C638" s="37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7"/>
      <c r="B639" s="37"/>
      <c r="C639" s="37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7"/>
      <c r="B640" s="37"/>
      <c r="C640" s="37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7"/>
      <c r="B641" s="37"/>
      <c r="C641" s="37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7"/>
      <c r="B642" s="37"/>
      <c r="C642" s="37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7"/>
      <c r="B643" s="37"/>
      <c r="C643" s="37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7"/>
      <c r="B644" s="37"/>
      <c r="C644" s="37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7"/>
      <c r="B645" s="37"/>
      <c r="C645" s="37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7"/>
      <c r="B646" s="37"/>
      <c r="C646" s="37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7"/>
      <c r="B647" s="37"/>
      <c r="C647" s="37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7"/>
      <c r="B648" s="37"/>
      <c r="C648" s="37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7"/>
      <c r="B649" s="37"/>
      <c r="C649" s="37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7"/>
      <c r="B650" s="37"/>
      <c r="C650" s="37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7"/>
      <c r="B651" s="37"/>
      <c r="C651" s="37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7"/>
      <c r="B652" s="37"/>
      <c r="C652" s="37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7"/>
      <c r="B653" s="37"/>
      <c r="C653" s="37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7"/>
      <c r="B654" s="37"/>
      <c r="C654" s="37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7"/>
      <c r="B655" s="37"/>
      <c r="C655" s="37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7"/>
      <c r="B656" s="37"/>
      <c r="C656" s="37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7"/>
      <c r="B657" s="37"/>
      <c r="C657" s="37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7"/>
      <c r="B658" s="37"/>
      <c r="C658" s="37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7"/>
      <c r="B659" s="37"/>
      <c r="C659" s="37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7"/>
      <c r="B660" s="37"/>
      <c r="C660" s="37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7"/>
      <c r="B661" s="37"/>
      <c r="C661" s="37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7"/>
      <c r="B662" s="37"/>
      <c r="C662" s="37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7"/>
      <c r="B663" s="37"/>
      <c r="C663" s="37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7"/>
      <c r="B664" s="37"/>
      <c r="C664" s="37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7"/>
      <c r="B665" s="37"/>
      <c r="C665" s="37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7"/>
      <c r="B666" s="37"/>
      <c r="C666" s="37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7"/>
      <c r="B667" s="37"/>
      <c r="C667" s="37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7"/>
      <c r="B668" s="37"/>
      <c r="C668" s="37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7"/>
      <c r="B669" s="37"/>
      <c r="C669" s="37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7"/>
      <c r="B670" s="37"/>
      <c r="C670" s="37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7"/>
      <c r="B671" s="37"/>
      <c r="C671" s="37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7"/>
      <c r="B672" s="37"/>
      <c r="C672" s="37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7"/>
      <c r="B673" s="37"/>
      <c r="C673" s="37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7"/>
      <c r="B674" s="37"/>
      <c r="C674" s="37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7"/>
      <c r="B675" s="37"/>
      <c r="C675" s="37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7"/>
      <c r="B676" s="37"/>
      <c r="C676" s="37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7"/>
      <c r="B677" s="37"/>
      <c r="C677" s="37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7"/>
      <c r="B678" s="37"/>
      <c r="C678" s="37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7"/>
      <c r="B679" s="37"/>
      <c r="C679" s="37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7"/>
      <c r="B680" s="37"/>
      <c r="C680" s="37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7"/>
      <c r="B681" s="37"/>
      <c r="C681" s="37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7"/>
      <c r="B682" s="37"/>
      <c r="C682" s="37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7"/>
      <c r="B683" s="37"/>
      <c r="C683" s="37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7"/>
      <c r="B684" s="37"/>
      <c r="C684" s="37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7"/>
      <c r="B685" s="37"/>
      <c r="C685" s="37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7"/>
      <c r="B686" s="37"/>
      <c r="C686" s="37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7"/>
      <c r="B687" s="37"/>
      <c r="C687" s="37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7"/>
      <c r="B688" s="37"/>
      <c r="C688" s="37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7"/>
      <c r="B689" s="37"/>
      <c r="C689" s="37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7"/>
      <c r="B690" s="37"/>
      <c r="C690" s="37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7"/>
      <c r="B691" s="37"/>
      <c r="C691" s="37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7"/>
      <c r="B692" s="37"/>
      <c r="C692" s="37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7"/>
      <c r="B693" s="37"/>
      <c r="C693" s="37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7"/>
      <c r="B694" s="37"/>
      <c r="C694" s="37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7"/>
      <c r="B695" s="37"/>
      <c r="C695" s="37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7"/>
      <c r="B696" s="37"/>
      <c r="C696" s="37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7"/>
      <c r="B697" s="37"/>
      <c r="C697" s="37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7"/>
      <c r="B698" s="37"/>
      <c r="C698" s="37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7"/>
      <c r="B699" s="37"/>
      <c r="C699" s="37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7"/>
      <c r="B700" s="37"/>
      <c r="C700" s="37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7"/>
      <c r="B701" s="37"/>
      <c r="C701" s="37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7"/>
      <c r="B702" s="37"/>
      <c r="C702" s="37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7"/>
      <c r="B703" s="37"/>
      <c r="C703" s="37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7"/>
      <c r="B704" s="37"/>
      <c r="C704" s="37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7"/>
      <c r="B705" s="37"/>
      <c r="C705" s="37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7"/>
      <c r="B706" s="37"/>
      <c r="C706" s="37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7"/>
      <c r="B707" s="37"/>
      <c r="C707" s="37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7"/>
      <c r="B708" s="37"/>
      <c r="C708" s="37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7"/>
      <c r="B709" s="37"/>
      <c r="C709" s="37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7"/>
      <c r="B710" s="37"/>
      <c r="C710" s="37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7"/>
      <c r="B711" s="37"/>
      <c r="C711" s="37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7"/>
      <c r="B712" s="37"/>
      <c r="C712" s="37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7"/>
      <c r="B713" s="37"/>
      <c r="C713" s="37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7"/>
      <c r="B714" s="37"/>
      <c r="C714" s="37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7"/>
      <c r="B715" s="37"/>
      <c r="C715" s="37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7"/>
      <c r="B716" s="37"/>
      <c r="C716" s="37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7"/>
      <c r="B717" s="37"/>
      <c r="C717" s="37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7"/>
      <c r="B718" s="37"/>
      <c r="C718" s="37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7"/>
      <c r="B719" s="37"/>
      <c r="C719" s="37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7"/>
      <c r="B720" s="37"/>
      <c r="C720" s="37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7"/>
      <c r="B721" s="37"/>
      <c r="C721" s="37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7"/>
      <c r="B722" s="37"/>
      <c r="C722" s="37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7"/>
      <c r="B723" s="37"/>
      <c r="C723" s="37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7"/>
      <c r="B724" s="37"/>
      <c r="C724" s="37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7"/>
      <c r="B725" s="37"/>
      <c r="C725" s="37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7"/>
      <c r="B726" s="37"/>
      <c r="C726" s="37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7"/>
      <c r="B727" s="37"/>
      <c r="C727" s="37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7"/>
      <c r="B728" s="37"/>
      <c r="C728" s="37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7"/>
      <c r="B729" s="37"/>
      <c r="C729" s="37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7"/>
      <c r="B730" s="37"/>
      <c r="C730" s="37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7"/>
      <c r="B731" s="37"/>
      <c r="C731" s="37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7"/>
      <c r="B732" s="37"/>
      <c r="C732" s="37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7"/>
      <c r="B733" s="37"/>
      <c r="C733" s="37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7"/>
      <c r="B734" s="37"/>
      <c r="C734" s="37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7"/>
      <c r="B735" s="37"/>
      <c r="C735" s="37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7"/>
      <c r="B736" s="37"/>
      <c r="C736" s="37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7"/>
      <c r="B737" s="37"/>
      <c r="C737" s="37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7"/>
      <c r="B738" s="37"/>
      <c r="C738" s="37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7"/>
      <c r="B739" s="37"/>
      <c r="C739" s="37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7"/>
      <c r="B740" s="37"/>
      <c r="C740" s="37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7"/>
      <c r="B741" s="37"/>
      <c r="C741" s="37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7"/>
      <c r="B742" s="37"/>
      <c r="C742" s="37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7"/>
      <c r="B743" s="37"/>
      <c r="C743" s="37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7"/>
      <c r="B744" s="37"/>
      <c r="C744" s="37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7"/>
      <c r="B745" s="37"/>
      <c r="C745" s="37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7"/>
      <c r="B746" s="37"/>
      <c r="C746" s="37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7"/>
      <c r="B747" s="37"/>
      <c r="C747" s="37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7"/>
      <c r="B748" s="37"/>
      <c r="C748" s="37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7"/>
      <c r="B749" s="37"/>
      <c r="C749" s="37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7"/>
      <c r="B750" s="37"/>
      <c r="C750" s="37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7"/>
      <c r="B751" s="37"/>
      <c r="C751" s="37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7"/>
      <c r="B752" s="37"/>
      <c r="C752" s="37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7"/>
      <c r="B753" s="37"/>
      <c r="C753" s="37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7"/>
      <c r="B754" s="37"/>
      <c r="C754" s="37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7"/>
      <c r="B755" s="37"/>
      <c r="C755" s="37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7"/>
      <c r="B756" s="37"/>
      <c r="C756" s="37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7"/>
      <c r="B757" s="37"/>
      <c r="C757" s="37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7"/>
      <c r="B758" s="37"/>
      <c r="C758" s="37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7"/>
      <c r="B759" s="37"/>
      <c r="C759" s="37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7"/>
      <c r="B760" s="37"/>
      <c r="C760" s="37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7"/>
      <c r="B761" s="37"/>
      <c r="C761" s="37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7"/>
      <c r="B762" s="37"/>
      <c r="C762" s="37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7"/>
      <c r="B763" s="37"/>
      <c r="C763" s="37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7"/>
      <c r="B764" s="37"/>
      <c r="C764" s="37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7"/>
      <c r="B765" s="37"/>
      <c r="C765" s="37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7"/>
      <c r="B766" s="37"/>
      <c r="C766" s="37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7"/>
      <c r="B767" s="37"/>
      <c r="C767" s="37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7"/>
      <c r="B768" s="37"/>
      <c r="C768" s="37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7"/>
      <c r="B769" s="37"/>
      <c r="C769" s="37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7"/>
      <c r="B770" s="37"/>
      <c r="C770" s="37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7"/>
      <c r="B771" s="37"/>
      <c r="C771" s="37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7"/>
      <c r="B772" s="37"/>
      <c r="C772" s="37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7"/>
      <c r="B773" s="37"/>
      <c r="C773" s="37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7"/>
      <c r="B774" s="37"/>
      <c r="C774" s="37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7"/>
      <c r="B775" s="37"/>
      <c r="C775" s="37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7"/>
      <c r="B776" s="37"/>
      <c r="C776" s="37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7"/>
      <c r="B777" s="37"/>
      <c r="C777" s="37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7"/>
      <c r="B778" s="37"/>
      <c r="C778" s="37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7"/>
      <c r="B779" s="37"/>
      <c r="C779" s="37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7"/>
      <c r="B780" s="37"/>
      <c r="C780" s="37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7"/>
      <c r="B781" s="37"/>
      <c r="C781" s="37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7"/>
      <c r="B782" s="37"/>
      <c r="C782" s="37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7"/>
      <c r="B783" s="37"/>
      <c r="C783" s="37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7"/>
      <c r="B784" s="37"/>
      <c r="C784" s="37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7"/>
      <c r="B785" s="37"/>
      <c r="C785" s="37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7"/>
      <c r="B786" s="37"/>
      <c r="C786" s="37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7"/>
      <c r="B787" s="37"/>
      <c r="C787" s="37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7"/>
      <c r="B788" s="37"/>
      <c r="C788" s="37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7"/>
      <c r="B789" s="37"/>
      <c r="C789" s="37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7"/>
      <c r="B790" s="37"/>
      <c r="C790" s="37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7"/>
      <c r="B791" s="37"/>
      <c r="C791" s="37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7"/>
      <c r="B792" s="37"/>
      <c r="C792" s="37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7"/>
      <c r="B793" s="37"/>
      <c r="C793" s="37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7"/>
      <c r="B794" s="37"/>
      <c r="C794" s="37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7"/>
      <c r="B795" s="37"/>
      <c r="C795" s="37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7"/>
      <c r="B796" s="37"/>
      <c r="C796" s="37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7"/>
      <c r="B797" s="37"/>
      <c r="C797" s="37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7"/>
      <c r="B798" s="37"/>
      <c r="C798" s="37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7"/>
      <c r="B799" s="37"/>
      <c r="C799" s="37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7"/>
      <c r="B800" s="37"/>
      <c r="C800" s="37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7"/>
      <c r="B801" s="37"/>
      <c r="C801" s="37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7"/>
      <c r="B802" s="37"/>
      <c r="C802" s="37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7"/>
      <c r="B803" s="37"/>
      <c r="C803" s="37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7"/>
      <c r="B804" s="37"/>
      <c r="C804" s="37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7"/>
      <c r="B805" s="37"/>
      <c r="C805" s="37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7"/>
      <c r="B806" s="37"/>
      <c r="C806" s="37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7"/>
      <c r="B807" s="37"/>
      <c r="C807" s="37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7"/>
      <c r="B808" s="37"/>
      <c r="C808" s="37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7"/>
      <c r="B809" s="37"/>
      <c r="C809" s="37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7"/>
      <c r="B810" s="37"/>
      <c r="C810" s="37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7"/>
      <c r="B811" s="37"/>
      <c r="C811" s="37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7"/>
      <c r="B812" s="37"/>
      <c r="C812" s="37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7"/>
      <c r="B813" s="37"/>
      <c r="C813" s="37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7"/>
      <c r="B814" s="37"/>
      <c r="C814" s="37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7"/>
      <c r="B815" s="37"/>
      <c r="C815" s="37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7"/>
      <c r="B816" s="37"/>
      <c r="C816" s="37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7"/>
      <c r="B817" s="37"/>
      <c r="C817" s="37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7"/>
      <c r="B818" s="37"/>
      <c r="C818" s="37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7"/>
      <c r="B819" s="37"/>
      <c r="C819" s="37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7"/>
      <c r="B820" s="37"/>
      <c r="C820" s="37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7"/>
      <c r="B821" s="37"/>
      <c r="C821" s="37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7"/>
      <c r="B822" s="37"/>
      <c r="C822" s="37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7"/>
      <c r="B823" s="37"/>
      <c r="C823" s="37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7"/>
      <c r="B824" s="37"/>
      <c r="C824" s="37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7"/>
      <c r="B825" s="37"/>
      <c r="C825" s="37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7"/>
      <c r="B826" s="37"/>
      <c r="C826" s="37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7"/>
      <c r="B827" s="37"/>
      <c r="C827" s="37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7"/>
      <c r="B828" s="37"/>
      <c r="C828" s="37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7"/>
      <c r="B829" s="37"/>
      <c r="C829" s="37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7"/>
      <c r="B830" s="37"/>
      <c r="C830" s="37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7"/>
      <c r="B831" s="37"/>
      <c r="C831" s="37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7"/>
      <c r="B832" s="37"/>
      <c r="C832" s="37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7"/>
      <c r="B833" s="37"/>
      <c r="C833" s="37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7"/>
      <c r="B834" s="37"/>
      <c r="C834" s="37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7"/>
      <c r="B835" s="37"/>
      <c r="C835" s="37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7"/>
      <c r="B836" s="37"/>
      <c r="C836" s="37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7"/>
      <c r="B837" s="37"/>
      <c r="C837" s="37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7"/>
      <c r="B838" s="37"/>
      <c r="C838" s="37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7"/>
      <c r="B839" s="37"/>
      <c r="C839" s="37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7"/>
      <c r="B840" s="37"/>
      <c r="C840" s="37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7"/>
      <c r="B841" s="37"/>
      <c r="C841" s="37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7"/>
      <c r="B842" s="37"/>
      <c r="C842" s="37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7"/>
      <c r="B843" s="37"/>
      <c r="C843" s="37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7"/>
      <c r="B844" s="37"/>
      <c r="C844" s="37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7"/>
      <c r="B845" s="37"/>
      <c r="C845" s="37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7"/>
      <c r="B846" s="37"/>
      <c r="C846" s="37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7"/>
      <c r="B847" s="37"/>
      <c r="C847" s="37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7"/>
      <c r="B848" s="37"/>
      <c r="C848" s="37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7"/>
      <c r="B849" s="37"/>
      <c r="C849" s="37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7"/>
      <c r="B850" s="37"/>
      <c r="C850" s="37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7"/>
      <c r="B851" s="37"/>
      <c r="C851" s="37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7"/>
      <c r="B852" s="37"/>
      <c r="C852" s="37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7"/>
      <c r="B853" s="37"/>
      <c r="C853" s="37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7"/>
      <c r="B854" s="37"/>
      <c r="C854" s="37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7"/>
      <c r="B855" s="37"/>
      <c r="C855" s="37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7"/>
      <c r="B856" s="37"/>
      <c r="C856" s="37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7"/>
      <c r="B857" s="37"/>
      <c r="C857" s="37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7"/>
      <c r="B858" s="37"/>
      <c r="C858" s="37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7"/>
      <c r="B859" s="37"/>
      <c r="C859" s="37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7"/>
      <c r="B860" s="37"/>
      <c r="C860" s="37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7"/>
      <c r="B861" s="37"/>
      <c r="C861" s="37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7"/>
      <c r="B862" s="37"/>
      <c r="C862" s="37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7"/>
      <c r="B863" s="37"/>
      <c r="C863" s="37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7"/>
      <c r="B864" s="37"/>
      <c r="C864" s="37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7"/>
      <c r="B865" s="37"/>
      <c r="C865" s="37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7"/>
      <c r="B866" s="37"/>
      <c r="C866" s="37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7"/>
      <c r="B867" s="37"/>
      <c r="C867" s="37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7"/>
      <c r="B868" s="37"/>
      <c r="C868" s="37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7"/>
      <c r="B869" s="37"/>
      <c r="C869" s="37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7"/>
      <c r="B870" s="37"/>
      <c r="C870" s="37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7"/>
      <c r="B871" s="37"/>
      <c r="C871" s="37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7"/>
      <c r="B872" s="37"/>
      <c r="C872" s="37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7"/>
      <c r="B873" s="37"/>
      <c r="C873" s="37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7"/>
      <c r="B874" s="37"/>
      <c r="C874" s="37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7"/>
      <c r="B875" s="37"/>
      <c r="C875" s="37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7"/>
      <c r="B876" s="37"/>
      <c r="C876" s="37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7"/>
      <c r="B877" s="37"/>
      <c r="C877" s="37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7"/>
      <c r="B878" s="37"/>
      <c r="C878" s="37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7"/>
      <c r="B879" s="37"/>
      <c r="C879" s="37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7"/>
      <c r="B880" s="37"/>
      <c r="C880" s="37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7"/>
      <c r="B881" s="37"/>
      <c r="C881" s="37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7"/>
      <c r="B882" s="37"/>
      <c r="C882" s="37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7"/>
      <c r="B883" s="37"/>
      <c r="C883" s="37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7"/>
      <c r="B884" s="37"/>
      <c r="C884" s="37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7"/>
      <c r="B885" s="37"/>
      <c r="C885" s="37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7"/>
      <c r="B886" s="37"/>
      <c r="C886" s="37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7"/>
      <c r="B887" s="37"/>
      <c r="C887" s="37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7"/>
      <c r="B888" s="37"/>
      <c r="C888" s="37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7"/>
      <c r="B889" s="37"/>
      <c r="C889" s="37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7"/>
      <c r="B890" s="37"/>
      <c r="C890" s="37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7"/>
      <c r="B891" s="37"/>
      <c r="C891" s="37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7"/>
      <c r="B892" s="37"/>
      <c r="C892" s="37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7"/>
      <c r="B893" s="37"/>
      <c r="C893" s="37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7"/>
      <c r="B894" s="37"/>
      <c r="C894" s="37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7"/>
      <c r="B895" s="37"/>
      <c r="C895" s="37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7"/>
      <c r="B896" s="37"/>
      <c r="C896" s="37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7"/>
      <c r="B897" s="37"/>
      <c r="C897" s="37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7"/>
      <c r="B898" s="37"/>
      <c r="C898" s="37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7"/>
      <c r="B899" s="37"/>
      <c r="C899" s="37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7"/>
      <c r="B900" s="37"/>
      <c r="C900" s="37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7"/>
      <c r="B901" s="37"/>
      <c r="C901" s="37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7"/>
      <c r="B902" s="37"/>
      <c r="C902" s="37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7"/>
      <c r="B903" s="37"/>
      <c r="C903" s="37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7"/>
      <c r="B904" s="37"/>
      <c r="C904" s="37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7"/>
      <c r="B905" s="37"/>
      <c r="C905" s="37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7"/>
      <c r="B906" s="37"/>
      <c r="C906" s="37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7"/>
      <c r="B907" s="37"/>
      <c r="C907" s="37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7"/>
      <c r="B908" s="37"/>
      <c r="C908" s="37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7"/>
      <c r="B909" s="37"/>
      <c r="C909" s="37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7"/>
      <c r="B910" s="37"/>
      <c r="C910" s="37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7"/>
      <c r="B911" s="37"/>
      <c r="C911" s="37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7"/>
      <c r="B912" s="37"/>
      <c r="C912" s="37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7"/>
      <c r="B913" s="37"/>
      <c r="C913" s="37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7"/>
      <c r="B914" s="37"/>
      <c r="C914" s="37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7"/>
      <c r="B915" s="37"/>
      <c r="C915" s="37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7"/>
      <c r="B916" s="37"/>
      <c r="C916" s="37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7"/>
      <c r="B917" s="37"/>
      <c r="C917" s="37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7"/>
      <c r="B918" s="37"/>
      <c r="C918" s="37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7"/>
      <c r="B919" s="37"/>
      <c r="C919" s="37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7"/>
      <c r="B920" s="37"/>
      <c r="C920" s="37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7"/>
      <c r="B921" s="37"/>
      <c r="C921" s="37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7"/>
      <c r="B922" s="37"/>
      <c r="C922" s="37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7"/>
      <c r="B923" s="37"/>
      <c r="C923" s="37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7"/>
      <c r="B924" s="37"/>
      <c r="C924" s="37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7"/>
      <c r="B925" s="37"/>
      <c r="C925" s="37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7"/>
      <c r="B926" s="37"/>
      <c r="C926" s="37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7"/>
      <c r="B927" s="37"/>
      <c r="C927" s="37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7"/>
      <c r="B928" s="37"/>
      <c r="C928" s="37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7"/>
      <c r="B929" s="37"/>
      <c r="C929" s="37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7"/>
      <c r="B930" s="37"/>
      <c r="C930" s="37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7"/>
      <c r="B931" s="37"/>
      <c r="C931" s="37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7"/>
      <c r="B932" s="37"/>
      <c r="C932" s="37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7"/>
      <c r="B933" s="37"/>
      <c r="C933" s="37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7"/>
      <c r="B934" s="37"/>
      <c r="C934" s="37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7"/>
      <c r="B935" s="37"/>
      <c r="C935" s="37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7"/>
      <c r="B936" s="37"/>
      <c r="C936" s="37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7"/>
      <c r="B937" s="37"/>
      <c r="C937" s="37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7"/>
      <c r="B938" s="37"/>
      <c r="C938" s="37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7"/>
      <c r="B939" s="37"/>
      <c r="C939" s="37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7"/>
      <c r="B940" s="37"/>
      <c r="C940" s="37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7"/>
      <c r="B941" s="37"/>
      <c r="C941" s="37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7"/>
      <c r="B942" s="37"/>
      <c r="C942" s="37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7"/>
      <c r="B943" s="37"/>
      <c r="C943" s="37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7"/>
      <c r="B944" s="37"/>
      <c r="C944" s="37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7"/>
      <c r="B945" s="37"/>
      <c r="C945" s="37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7"/>
      <c r="B946" s="37"/>
      <c r="C946" s="37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7"/>
      <c r="B947" s="37"/>
      <c r="C947" s="37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7"/>
      <c r="B948" s="37"/>
      <c r="C948" s="37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7"/>
      <c r="B949" s="37"/>
      <c r="C949" s="37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7"/>
      <c r="B950" s="37"/>
      <c r="C950" s="37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7"/>
      <c r="B951" s="37"/>
      <c r="C951" s="37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7"/>
      <c r="B952" s="37"/>
      <c r="C952" s="37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7"/>
      <c r="B953" s="37"/>
      <c r="C953" s="37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7"/>
      <c r="B954" s="37"/>
      <c r="C954" s="37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7"/>
      <c r="B955" s="37"/>
      <c r="C955" s="37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7"/>
      <c r="B956" s="37"/>
      <c r="C956" s="37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7"/>
      <c r="B957" s="37"/>
      <c r="C957" s="37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7"/>
      <c r="B958" s="37"/>
      <c r="C958" s="37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7"/>
      <c r="B959" s="37"/>
      <c r="C959" s="37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7"/>
      <c r="B960" s="37"/>
      <c r="C960" s="37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7"/>
      <c r="B961" s="37"/>
      <c r="C961" s="37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7"/>
      <c r="B962" s="37"/>
      <c r="C962" s="37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7"/>
      <c r="B963" s="37"/>
      <c r="C963" s="37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7"/>
      <c r="B964" s="37"/>
      <c r="C964" s="37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7"/>
      <c r="B965" s="37"/>
      <c r="C965" s="37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7"/>
      <c r="B966" s="37"/>
      <c r="C966" s="37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7"/>
      <c r="B967" s="37"/>
      <c r="C967" s="37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7"/>
      <c r="B968" s="37"/>
      <c r="C968" s="37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7"/>
      <c r="B969" s="37"/>
      <c r="C969" s="37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7"/>
      <c r="B970" s="37"/>
      <c r="C970" s="37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7"/>
      <c r="B971" s="37"/>
      <c r="C971" s="37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7"/>
      <c r="B972" s="37"/>
      <c r="C972" s="37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7"/>
      <c r="B973" s="37"/>
      <c r="C973" s="37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7"/>
      <c r="B974" s="37"/>
      <c r="C974" s="37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7"/>
      <c r="B975" s="37"/>
      <c r="C975" s="37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7"/>
      <c r="B976" s="37"/>
      <c r="C976" s="37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7"/>
      <c r="B977" s="37"/>
      <c r="C977" s="37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7"/>
      <c r="B978" s="37"/>
      <c r="C978" s="37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7"/>
      <c r="B979" s="37"/>
      <c r="C979" s="37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7"/>
      <c r="B980" s="37"/>
      <c r="C980" s="37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7"/>
      <c r="B981" s="37"/>
      <c r="C981" s="37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7"/>
      <c r="B982" s="37"/>
      <c r="C982" s="37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7"/>
      <c r="B983" s="37"/>
      <c r="C983" s="37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7"/>
      <c r="B984" s="37"/>
      <c r="C984" s="37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7"/>
      <c r="B985" s="37"/>
      <c r="C985" s="37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7"/>
      <c r="B986" s="37"/>
      <c r="C986" s="37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7"/>
      <c r="B987" s="37"/>
      <c r="C987" s="37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7"/>
      <c r="B988" s="37"/>
      <c r="C988" s="37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7"/>
      <c r="B989" s="37"/>
      <c r="C989" s="37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7"/>
      <c r="B990" s="37"/>
      <c r="C990" s="37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7"/>
      <c r="B991" s="37"/>
      <c r="C991" s="37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7"/>
      <c r="B992" s="37"/>
      <c r="C992" s="37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7"/>
      <c r="B993" s="37"/>
      <c r="C993" s="37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7"/>
      <c r="B994" s="37"/>
      <c r="C994" s="37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7"/>
      <c r="B995" s="37"/>
      <c r="C995" s="37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7"/>
      <c r="B996" s="37"/>
      <c r="C996" s="37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7"/>
      <c r="B997" s="37"/>
      <c r="C997" s="37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7"/>
      <c r="B998" s="37"/>
      <c r="C998" s="37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7"/>
      <c r="B999" s="37"/>
      <c r="C999" s="37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086614173228347" footer="0.0" header="0.0" left="0.7086614173228347" right="0.7086614173228347" top="0.7086614173228347"/>
  <pageSetup scale="9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121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4.582606657E9</v>
      </c>
      <c r="E9" s="6">
        <v>2.274256E7</v>
      </c>
      <c r="F9" s="6">
        <f t="shared" ref="F9:F27" si="1">D9-E9</f>
        <v>4559864097</v>
      </c>
      <c r="G9" s="6">
        <v>4.191103556E9</v>
      </c>
      <c r="H9" s="6">
        <v>6999.0</v>
      </c>
      <c r="I9" s="6">
        <v>7145489.0</v>
      </c>
      <c r="J9" s="6">
        <v>4.8607758E7</v>
      </c>
      <c r="K9" s="4">
        <f t="shared" ref="K9:K27" si="2">I9-J9</f>
        <v>-41462269</v>
      </c>
      <c r="L9" s="4">
        <f>I9+June!L9</f>
        <v>61144637.19</v>
      </c>
      <c r="M9" s="4">
        <f>J9+June!M9</f>
        <v>310549345.1</v>
      </c>
      <c r="N9" s="4">
        <f t="shared" ref="N9:N27" si="3">L9-M9</f>
        <v>-249404707.9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6">
        <v>7.9407365894E8</v>
      </c>
      <c r="E10" s="6">
        <v>216295.11</v>
      </c>
      <c r="F10" s="6">
        <f t="shared" si="1"/>
        <v>793857363.8</v>
      </c>
      <c r="G10" s="6">
        <v>7.4323045382E8</v>
      </c>
      <c r="H10" s="6">
        <v>4187.0</v>
      </c>
      <c r="I10" s="6">
        <v>3622742.01</v>
      </c>
      <c r="J10" s="6">
        <v>8444542.42</v>
      </c>
      <c r="K10" s="4">
        <f t="shared" si="2"/>
        <v>-4821800.41</v>
      </c>
      <c r="L10" s="4">
        <f>I10+June!L10</f>
        <v>37079199.56</v>
      </c>
      <c r="M10" s="4">
        <f>J10+June!M10</f>
        <v>61064056.86</v>
      </c>
      <c r="N10" s="4">
        <f t="shared" si="3"/>
        <v>-23984857.3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6">
        <v>1.33528362336E9</v>
      </c>
      <c r="E11" s="6">
        <v>599793.66</v>
      </c>
      <c r="F11" s="6">
        <f t="shared" si="1"/>
        <v>1334683830</v>
      </c>
      <c r="G11" s="6">
        <v>1.26176187715E9</v>
      </c>
      <c r="H11" s="6">
        <v>2789.0</v>
      </c>
      <c r="I11" s="6">
        <v>1.134772569E7</v>
      </c>
      <c r="J11" s="6">
        <v>2.140781175E7</v>
      </c>
      <c r="K11" s="4">
        <f t="shared" si="2"/>
        <v>-10060086.06</v>
      </c>
      <c r="L11" s="4">
        <f>I11+June!L11</f>
        <v>421780304.5</v>
      </c>
      <c r="M11" s="4">
        <f>J11+June!M11</f>
        <v>414437700.8</v>
      </c>
      <c r="N11" s="4">
        <f t="shared" si="3"/>
        <v>7342603.71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3.4945446092E8</v>
      </c>
      <c r="E12" s="6">
        <v>8697819.83</v>
      </c>
      <c r="F12" s="6">
        <f t="shared" si="1"/>
        <v>340756641.1</v>
      </c>
      <c r="G12" s="6">
        <v>2.3833072731E8</v>
      </c>
      <c r="H12" s="6">
        <v>1791.0</v>
      </c>
      <c r="I12" s="6">
        <v>607828.23</v>
      </c>
      <c r="J12" s="6">
        <v>80885.17</v>
      </c>
      <c r="K12" s="4">
        <f t="shared" si="2"/>
        <v>526943.06</v>
      </c>
      <c r="L12" s="4">
        <f>I12+June!L12</f>
        <v>3727805.68</v>
      </c>
      <c r="M12" s="4">
        <f>J12+June!M12</f>
        <v>1522348.08</v>
      </c>
      <c r="N12" s="4">
        <f t="shared" si="3"/>
        <v>2205457.6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5.32297506E8</v>
      </c>
      <c r="E13" s="6">
        <v>3.0328971E7</v>
      </c>
      <c r="F13" s="6">
        <f t="shared" si="1"/>
        <v>501968535</v>
      </c>
      <c r="G13" s="6">
        <v>4.47200016E8</v>
      </c>
      <c r="H13" s="6">
        <v>1369.0</v>
      </c>
      <c r="I13" s="6">
        <v>473021.0</v>
      </c>
      <c r="J13" s="6">
        <v>2993144.0</v>
      </c>
      <c r="K13" s="4">
        <f t="shared" si="2"/>
        <v>-2520123</v>
      </c>
      <c r="L13" s="4">
        <f>I13+June!L13</f>
        <v>4227879.54</v>
      </c>
      <c r="M13" s="4">
        <f>J13+June!M13</f>
        <v>16743964.44</v>
      </c>
      <c r="N13" s="4">
        <f t="shared" si="3"/>
        <v>-12516084.9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4.161879661E9</v>
      </c>
      <c r="E14" s="6">
        <v>5.6940316E7</v>
      </c>
      <c r="F14" s="6">
        <f t="shared" si="1"/>
        <v>4104939345</v>
      </c>
      <c r="G14" s="6">
        <v>3.761272128E9</v>
      </c>
      <c r="H14" s="6">
        <v>15837.0</v>
      </c>
      <c r="I14" s="6">
        <v>8869700.0</v>
      </c>
      <c r="J14" s="6">
        <v>2.8100779E7</v>
      </c>
      <c r="K14" s="4">
        <f t="shared" si="2"/>
        <v>-19231079</v>
      </c>
      <c r="L14" s="4">
        <f>I14+June!L14</f>
        <v>149803621.5</v>
      </c>
      <c r="M14" s="4">
        <f>J14+June!M14</f>
        <v>368378586.5</v>
      </c>
      <c r="N14" s="4">
        <f t="shared" si="3"/>
        <v>-218574965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6">
        <v>1.00715395E8</v>
      </c>
      <c r="E15" s="6">
        <v>745275.0</v>
      </c>
      <c r="F15" s="6">
        <f t="shared" si="1"/>
        <v>99970120</v>
      </c>
      <c r="G15" s="6">
        <v>9.826934E7</v>
      </c>
      <c r="H15" s="6">
        <v>533.0</v>
      </c>
      <c r="I15" s="6">
        <v>635650.0</v>
      </c>
      <c r="J15" s="6">
        <v>167037.0</v>
      </c>
      <c r="K15" s="4">
        <f t="shared" si="2"/>
        <v>468613</v>
      </c>
      <c r="L15" s="4">
        <f>I15+June!L15</f>
        <v>8007404.73</v>
      </c>
      <c r="M15" s="4">
        <f>J15+June!M15</f>
        <v>10000608.93</v>
      </c>
      <c r="N15" s="4">
        <f t="shared" si="3"/>
        <v>-1993204.2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1.2978749337E8</v>
      </c>
      <c r="E16" s="6">
        <v>2468518.35</v>
      </c>
      <c r="F16" s="6">
        <f t="shared" si="1"/>
        <v>127318975</v>
      </c>
      <c r="G16" s="6">
        <v>1.16494937E8</v>
      </c>
      <c r="H16" s="6">
        <v>50.0</v>
      </c>
      <c r="I16" s="6">
        <v>0.0</v>
      </c>
      <c r="J16" s="6">
        <v>0.0</v>
      </c>
      <c r="K16" s="4">
        <f t="shared" si="2"/>
        <v>0</v>
      </c>
      <c r="L16" s="4">
        <f>I16+June!L16</f>
        <v>100241.49</v>
      </c>
      <c r="M16" s="4">
        <f>J16+June!M16</f>
        <v>2461357.93</v>
      </c>
      <c r="N16" s="4">
        <f t="shared" si="3"/>
        <v>-2361116.44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1.317271309E9</v>
      </c>
      <c r="E17" s="6">
        <v>6.3573004E7</v>
      </c>
      <c r="F17" s="6">
        <f t="shared" si="1"/>
        <v>1253698305</v>
      </c>
      <c r="G17" s="6">
        <v>1.277378119E9</v>
      </c>
      <c r="H17" s="6">
        <v>11989.0</v>
      </c>
      <c r="I17" s="6">
        <v>0.0</v>
      </c>
      <c r="J17" s="6">
        <v>9138452.0</v>
      </c>
      <c r="K17" s="4">
        <f t="shared" si="2"/>
        <v>-9138452</v>
      </c>
      <c r="L17" s="4">
        <f>I17+June!L17</f>
        <v>0</v>
      </c>
      <c r="M17" s="4">
        <f>J17+June!M17</f>
        <v>81718226.74</v>
      </c>
      <c r="N17" s="4">
        <f t="shared" si="3"/>
        <v>-81718226.74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3.76690204E9</v>
      </c>
      <c r="E18" s="6">
        <v>1.20064862E8</v>
      </c>
      <c r="F18" s="6">
        <f t="shared" si="1"/>
        <v>3646837178</v>
      </c>
      <c r="G18" s="6">
        <v>3.381315493E9</v>
      </c>
      <c r="H18" s="6">
        <v>11906.0</v>
      </c>
      <c r="I18" s="6">
        <v>2799176.0</v>
      </c>
      <c r="J18" s="6">
        <v>5.0694617E7</v>
      </c>
      <c r="K18" s="4">
        <f t="shared" si="2"/>
        <v>-47895441</v>
      </c>
      <c r="L18" s="4">
        <f>I18+June!L18</f>
        <v>19452265.7</v>
      </c>
      <c r="M18" s="4">
        <f>J18+June!M18</f>
        <v>231553821.5</v>
      </c>
      <c r="N18" s="4">
        <f t="shared" si="3"/>
        <v>-212101555.8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2.2464970231318E9</v>
      </c>
      <c r="E19" s="6">
        <v>8237156.9793</v>
      </c>
      <c r="F19" s="6">
        <f t="shared" si="1"/>
        <v>2238259866</v>
      </c>
      <c r="G19" s="6">
        <v>1.9918353644919E9</v>
      </c>
      <c r="H19" s="6">
        <v>5331.0</v>
      </c>
      <c r="I19" s="6">
        <v>1190994.66</v>
      </c>
      <c r="J19" s="6">
        <v>8033059.23</v>
      </c>
      <c r="K19" s="4">
        <f t="shared" si="2"/>
        <v>-6842064.57</v>
      </c>
      <c r="L19" s="4">
        <f>I19+June!L19</f>
        <v>143411248.3</v>
      </c>
      <c r="M19" s="4">
        <f>J19+June!M19</f>
        <v>35304140.55</v>
      </c>
      <c r="N19" s="4">
        <f t="shared" si="3"/>
        <v>108107107.8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9.7627390234897E9</v>
      </c>
      <c r="E20" s="6">
        <v>6.43496349794E7</v>
      </c>
      <c r="F20" s="6">
        <f t="shared" si="1"/>
        <v>9698389389</v>
      </c>
      <c r="G20" s="6">
        <v>9.14162688169E9</v>
      </c>
      <c r="H20" s="6">
        <v>35103.0</v>
      </c>
      <c r="I20" s="6">
        <v>8146908.7</v>
      </c>
      <c r="J20" s="6">
        <v>1.2372973108E8</v>
      </c>
      <c r="K20" s="4">
        <f t="shared" si="2"/>
        <v>-115582822.4</v>
      </c>
      <c r="L20" s="4">
        <f>I20+June!L20</f>
        <v>108153962.6</v>
      </c>
      <c r="M20" s="4">
        <f>J20+June!M20</f>
        <v>486033856.9</v>
      </c>
      <c r="N20" s="4">
        <f t="shared" si="3"/>
        <v>-377879894.4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3.1524182299E8</v>
      </c>
      <c r="E21" s="6">
        <v>1156841.5</v>
      </c>
      <c r="F21" s="6">
        <f t="shared" si="1"/>
        <v>314084981.5</v>
      </c>
      <c r="G21" s="6">
        <v>3.1287979349E8</v>
      </c>
      <c r="H21" s="6">
        <v>976.0</v>
      </c>
      <c r="I21" s="6">
        <v>291996.24</v>
      </c>
      <c r="J21" s="6">
        <v>4301034.22</v>
      </c>
      <c r="K21" s="4">
        <f t="shared" si="2"/>
        <v>-4009037.98</v>
      </c>
      <c r="L21" s="4">
        <f>I21+June!L21</f>
        <v>2085415.32</v>
      </c>
      <c r="M21" s="4">
        <f>J21+June!M21</f>
        <v>8554348.88</v>
      </c>
      <c r="N21" s="4">
        <f t="shared" si="3"/>
        <v>-6468933.56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3.90011219572E9</v>
      </c>
      <c r="E22" s="6">
        <v>3.422661927E7</v>
      </c>
      <c r="F22" s="6">
        <f t="shared" si="1"/>
        <v>3865885576</v>
      </c>
      <c r="G22" s="6">
        <v>3.81294191917E9</v>
      </c>
      <c r="H22" s="6">
        <v>26209.0</v>
      </c>
      <c r="I22" s="6">
        <v>7900296.12</v>
      </c>
      <c r="J22" s="6">
        <v>3.997386691E7</v>
      </c>
      <c r="K22" s="4">
        <f t="shared" si="2"/>
        <v>-32073570.79</v>
      </c>
      <c r="L22" s="4">
        <f>I22+June!L22</f>
        <v>283120867.1</v>
      </c>
      <c r="M22" s="4">
        <f>J22+June!M22</f>
        <v>257741344.2</v>
      </c>
      <c r="N22" s="4">
        <f t="shared" si="3"/>
        <v>25379522.92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8.666836011E9</v>
      </c>
      <c r="E23" s="6">
        <v>1.7720523E7</v>
      </c>
      <c r="F23" s="6">
        <f t="shared" si="1"/>
        <v>8649115488</v>
      </c>
      <c r="G23" s="6">
        <v>8.622741401E9</v>
      </c>
      <c r="H23" s="6">
        <v>13836.0</v>
      </c>
      <c r="I23" s="6">
        <v>1629359.0</v>
      </c>
      <c r="J23" s="6">
        <v>1.02399525E8</v>
      </c>
      <c r="K23" s="4">
        <f t="shared" si="2"/>
        <v>-100770166</v>
      </c>
      <c r="L23" s="4">
        <f>I23+June!L23</f>
        <v>11844398</v>
      </c>
      <c r="M23" s="4">
        <f>J23+June!M23</f>
        <v>638310677.6</v>
      </c>
      <c r="N23" s="4">
        <f t="shared" si="3"/>
        <v>-626466279.6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6">
        <v>3.43353708086E9</v>
      </c>
      <c r="E24" s="6">
        <v>1061201.18</v>
      </c>
      <c r="F24" s="6">
        <f t="shared" si="1"/>
        <v>3432475880</v>
      </c>
      <c r="G24" s="6">
        <v>3.24261766066E9</v>
      </c>
      <c r="H24" s="6">
        <v>12131.0</v>
      </c>
      <c r="I24" s="6">
        <v>4.206091229E7</v>
      </c>
      <c r="J24" s="6">
        <v>2660665.36</v>
      </c>
      <c r="K24" s="4">
        <f t="shared" si="2"/>
        <v>39400246.93</v>
      </c>
      <c r="L24" s="4">
        <f>I24+June!L24</f>
        <v>307624651.8</v>
      </c>
      <c r="M24" s="4">
        <f>J24+June!M24</f>
        <v>24574977.7</v>
      </c>
      <c r="N24" s="4">
        <f t="shared" si="3"/>
        <v>283049674.1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6">
        <v>7.007737131E9</v>
      </c>
      <c r="E25" s="6">
        <v>4.6000442E7</v>
      </c>
      <c r="F25" s="6">
        <f t="shared" si="1"/>
        <v>6961736689</v>
      </c>
      <c r="G25" s="6">
        <v>6.814963223E9</v>
      </c>
      <c r="H25" s="6">
        <v>66684.0</v>
      </c>
      <c r="I25" s="6">
        <v>1.5570116E7</v>
      </c>
      <c r="J25" s="6">
        <v>1.03016845E8</v>
      </c>
      <c r="K25" s="4">
        <f t="shared" si="2"/>
        <v>-87446729</v>
      </c>
      <c r="L25" s="4">
        <f>I25+June!L25</f>
        <v>239661971.6</v>
      </c>
      <c r="M25" s="4">
        <f>J25+June!M25</f>
        <v>623397713.7</v>
      </c>
      <c r="N25" s="4">
        <f t="shared" si="3"/>
        <v>-383735742.1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6">
        <v>1.1980806657E10</v>
      </c>
      <c r="E26" s="6">
        <v>6.580528E7</v>
      </c>
      <c r="F26" s="6">
        <f t="shared" si="1"/>
        <v>11915001377</v>
      </c>
      <c r="G26" s="6">
        <v>1.1863663716E10</v>
      </c>
      <c r="H26" s="6">
        <v>57451.0</v>
      </c>
      <c r="I26" s="6">
        <v>4.8539495E7</v>
      </c>
      <c r="J26" s="6">
        <v>1.40118195E8</v>
      </c>
      <c r="K26" s="4">
        <f t="shared" si="2"/>
        <v>-91578700</v>
      </c>
      <c r="L26" s="4">
        <f>I26+June!L26</f>
        <v>1178693343</v>
      </c>
      <c r="M26" s="4">
        <f>J26+June!M26</f>
        <v>1296420745</v>
      </c>
      <c r="N26" s="4">
        <f t="shared" si="3"/>
        <v>-117727402.8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5.9687487067E8</v>
      </c>
      <c r="E27" s="6">
        <v>1592343.63</v>
      </c>
      <c r="F27" s="6">
        <f t="shared" si="1"/>
        <v>595282527</v>
      </c>
      <c r="G27" s="6">
        <v>5.233336962E8</v>
      </c>
      <c r="H27" s="6">
        <v>1272.0</v>
      </c>
      <c r="I27" s="6">
        <v>361568.74</v>
      </c>
      <c r="J27" s="6">
        <v>956102.21</v>
      </c>
      <c r="K27" s="4">
        <f t="shared" si="2"/>
        <v>-594533.47</v>
      </c>
      <c r="L27" s="4">
        <f>I27+June!L27</f>
        <v>5190577.62</v>
      </c>
      <c r="M27" s="4">
        <f>J27+June!M27</f>
        <v>8066506.59</v>
      </c>
      <c r="N27" s="4">
        <f t="shared" si="3"/>
        <v>-2875928.97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41</v>
      </c>
      <c r="D29" s="6">
        <v>2.1016759559E8</v>
      </c>
      <c r="E29" s="6">
        <v>1545838.46</v>
      </c>
      <c r="F29" s="6">
        <f t="shared" ref="F29:F31" si="4">D29-E29</f>
        <v>208621757.1</v>
      </c>
      <c r="G29" s="6">
        <v>2.0453070873E8</v>
      </c>
      <c r="H29" s="6">
        <v>2220.0</v>
      </c>
      <c r="I29" s="6">
        <v>5701676.87</v>
      </c>
      <c r="J29" s="6">
        <v>1216369.57</v>
      </c>
      <c r="K29" s="4">
        <f t="shared" ref="K29:K31" si="5">I29-J29</f>
        <v>4485307.3</v>
      </c>
      <c r="L29" s="4">
        <f>I29+June!L29</f>
        <v>103762188.4</v>
      </c>
      <c r="M29" s="4">
        <f>J29+June!M29</f>
        <v>7330705.81</v>
      </c>
      <c r="N29" s="4">
        <f t="shared" ref="N29:N31" si="6">L29-M29</f>
        <v>96431482.62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6">
        <v>3.3635131141E8</v>
      </c>
      <c r="E30" s="6">
        <v>1787541.369</v>
      </c>
      <c r="F30" s="6">
        <f t="shared" si="4"/>
        <v>334563770</v>
      </c>
      <c r="G30" s="6">
        <v>3.1799053756E8</v>
      </c>
      <c r="H30" s="6">
        <v>1356.0</v>
      </c>
      <c r="I30" s="6">
        <v>1133887.16</v>
      </c>
      <c r="J30" s="6">
        <v>2085296.05</v>
      </c>
      <c r="K30" s="4">
        <f t="shared" si="5"/>
        <v>-951408.89</v>
      </c>
      <c r="L30" s="4">
        <f>I30+June!L30</f>
        <v>14879412.75</v>
      </c>
      <c r="M30" s="4">
        <f>J30+June!M30</f>
        <v>22290576.81</v>
      </c>
      <c r="N30" s="4">
        <f t="shared" si="6"/>
        <v>-7411164.06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6">
        <v>5.34797245E8</v>
      </c>
      <c r="E31" s="6">
        <v>2336354.0</v>
      </c>
      <c r="F31" s="6">
        <f t="shared" si="4"/>
        <v>532460891</v>
      </c>
      <c r="G31" s="6">
        <v>5.22859508E8</v>
      </c>
      <c r="H31" s="6">
        <v>536914.0</v>
      </c>
      <c r="I31" s="6">
        <v>1.6666027E7</v>
      </c>
      <c r="J31" s="6">
        <v>1.7771681E7</v>
      </c>
      <c r="K31" s="4">
        <f t="shared" si="5"/>
        <v>-1105654</v>
      </c>
      <c r="L31" s="4">
        <f>I31+June!L31</f>
        <v>187485137.4</v>
      </c>
      <c r="M31" s="4">
        <f>J31+June!M31</f>
        <v>142908546.4</v>
      </c>
      <c r="N31" s="4">
        <f t="shared" si="6"/>
        <v>44576590.92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6"/>
      <c r="E32" s="6"/>
      <c r="F32" s="6"/>
      <c r="G32" s="6"/>
      <c r="H32" s="6"/>
      <c r="I32" s="6"/>
      <c r="J32" s="6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6">
        <v>2.179104775E9</v>
      </c>
      <c r="E33" s="6">
        <v>1697209.0</v>
      </c>
      <c r="F33" s="6">
        <f>D33-E33</f>
        <v>2177407566</v>
      </c>
      <c r="G33" s="6">
        <v>2.172871793E9</v>
      </c>
      <c r="H33" s="6">
        <v>3266.0</v>
      </c>
      <c r="I33" s="6">
        <v>1000766.0</v>
      </c>
      <c r="J33" s="6">
        <v>9297748.0</v>
      </c>
      <c r="K33" s="4">
        <f>I33-J33</f>
        <v>-8296982</v>
      </c>
      <c r="L33" s="4">
        <f>I33+June!L33</f>
        <v>33354193</v>
      </c>
      <c r="M33" s="4">
        <f>J33+June!M33</f>
        <v>113223739</v>
      </c>
      <c r="N33" s="4">
        <f>L33-M33</f>
        <v>-79869546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54">
        <f t="shared" ref="D34:N34" si="7">SUM(D9:D33)</f>
        <v>68241074547</v>
      </c>
      <c r="E34" s="54">
        <f t="shared" si="7"/>
        <v>553894400.3</v>
      </c>
      <c r="F34" s="54">
        <f t="shared" si="7"/>
        <v>67687180147</v>
      </c>
      <c r="G34" s="54">
        <f t="shared" si="7"/>
        <v>65061212850</v>
      </c>
      <c r="H34" s="27">
        <f t="shared" si="7"/>
        <v>820199</v>
      </c>
      <c r="I34" s="54">
        <f t="shared" si="7"/>
        <v>185695335.7</v>
      </c>
      <c r="J34" s="54">
        <f t="shared" si="7"/>
        <v>725195145</v>
      </c>
      <c r="K34" s="54">
        <f t="shared" si="7"/>
        <v>-539499809.3</v>
      </c>
      <c r="L34" s="54">
        <f t="shared" si="7"/>
        <v>3324590726</v>
      </c>
      <c r="M34" s="54">
        <f t="shared" si="7"/>
        <v>5162587896</v>
      </c>
      <c r="N34" s="54">
        <f t="shared" si="7"/>
        <v>-1837997170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6"/>
      <c r="E35" s="6"/>
      <c r="F35" s="6"/>
      <c r="G35" s="6"/>
      <c r="H35" s="20"/>
      <c r="I35" s="6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v>3.601615632E7</v>
      </c>
      <c r="E36" s="6">
        <v>719541.01</v>
      </c>
      <c r="F36" s="6">
        <f t="shared" ref="F36:F37" si="8">D36-E36</f>
        <v>35296615.31</v>
      </c>
      <c r="G36" s="6">
        <v>606088.65</v>
      </c>
      <c r="H36" s="6">
        <v>54.0</v>
      </c>
      <c r="I36" s="6">
        <v>548.93</v>
      </c>
      <c r="J36" s="6">
        <v>0.0</v>
      </c>
      <c r="K36" s="4">
        <f t="shared" ref="K36:K37" si="9">I36-J36</f>
        <v>548.93</v>
      </c>
      <c r="L36" s="4">
        <f>I36+June!L36</f>
        <v>149395.4268</v>
      </c>
      <c r="M36" s="4">
        <f>J36+June!M36</f>
        <v>328777.2794</v>
      </c>
      <c r="N36" s="4">
        <f t="shared" ref="N36:N37" si="10">L36-M36</f>
        <v>-179381.8526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6">
        <v>1.994220553E9</v>
      </c>
      <c r="E37" s="6">
        <v>4.0194301E7</v>
      </c>
      <c r="F37" s="6">
        <f t="shared" si="8"/>
        <v>1954026252</v>
      </c>
      <c r="G37" s="6">
        <v>0.0</v>
      </c>
      <c r="H37" s="6">
        <v>2900.0</v>
      </c>
      <c r="I37" s="6">
        <v>1.5634577E7</v>
      </c>
      <c r="J37" s="6">
        <v>1.1139303E7</v>
      </c>
      <c r="K37" s="4">
        <f t="shared" si="9"/>
        <v>4495274</v>
      </c>
      <c r="L37" s="4">
        <f>I37+June!L37</f>
        <v>45052799.47</v>
      </c>
      <c r="M37" s="4">
        <f>J37+June!M37</f>
        <v>107705827.4</v>
      </c>
      <c r="N37" s="4">
        <f t="shared" si="10"/>
        <v>-62653027.96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54">
        <f t="shared" ref="D38:N38" si="11">SUM(D36:D37)</f>
        <v>2030236709</v>
      </c>
      <c r="E38" s="54">
        <f t="shared" si="11"/>
        <v>40913842.01</v>
      </c>
      <c r="F38" s="54">
        <f t="shared" si="11"/>
        <v>1989322867</v>
      </c>
      <c r="G38" s="54">
        <f t="shared" si="11"/>
        <v>606088.65</v>
      </c>
      <c r="H38" s="27">
        <f t="shared" si="11"/>
        <v>2954</v>
      </c>
      <c r="I38" s="54">
        <f t="shared" si="11"/>
        <v>15635125.93</v>
      </c>
      <c r="J38" s="54">
        <f t="shared" si="11"/>
        <v>11139303</v>
      </c>
      <c r="K38" s="54">
        <f t="shared" si="11"/>
        <v>4495822.93</v>
      </c>
      <c r="L38" s="54">
        <f t="shared" si="11"/>
        <v>45202194.9</v>
      </c>
      <c r="M38" s="54">
        <f t="shared" si="11"/>
        <v>108034604.7</v>
      </c>
      <c r="N38" s="54">
        <f t="shared" si="11"/>
        <v>-62832409.81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54">
        <f t="shared" ref="D39:N39" si="12">D34+D38</f>
        <v>70271311257</v>
      </c>
      <c r="E39" s="54">
        <f t="shared" si="12"/>
        <v>594808242.3</v>
      </c>
      <c r="F39" s="54">
        <f t="shared" si="12"/>
        <v>69676503014</v>
      </c>
      <c r="G39" s="54">
        <f t="shared" si="12"/>
        <v>65061818939</v>
      </c>
      <c r="H39" s="27">
        <f t="shared" si="12"/>
        <v>823153</v>
      </c>
      <c r="I39" s="54">
        <f t="shared" si="12"/>
        <v>201330461.6</v>
      </c>
      <c r="J39" s="54">
        <f t="shared" si="12"/>
        <v>736334448</v>
      </c>
      <c r="K39" s="54">
        <f t="shared" si="12"/>
        <v>-535003986.3</v>
      </c>
      <c r="L39" s="54">
        <f t="shared" si="12"/>
        <v>3369792921</v>
      </c>
      <c r="M39" s="54">
        <f t="shared" si="12"/>
        <v>5270622501</v>
      </c>
      <c r="N39" s="54">
        <f t="shared" si="12"/>
        <v>-1900829580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6"/>
      <c r="E41" s="6"/>
      <c r="F41" s="6"/>
      <c r="G41" s="6"/>
      <c r="H41" s="20"/>
      <c r="I41" s="6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6">
        <v>1.1901392488E8</v>
      </c>
      <c r="E42" s="6">
        <v>3869896.42</v>
      </c>
      <c r="F42" s="6">
        <f t="shared" ref="F42:F51" si="13">D42-E42</f>
        <v>115144028.5</v>
      </c>
      <c r="G42" s="6">
        <v>3.96240884E7</v>
      </c>
      <c r="H42" s="20">
        <v>718.0</v>
      </c>
      <c r="I42" s="6">
        <v>972809.4</v>
      </c>
      <c r="J42" s="4">
        <v>1271371.17</v>
      </c>
      <c r="K42" s="4">
        <f t="shared" ref="K42:K51" si="14">I42-J42</f>
        <v>-298561.77</v>
      </c>
      <c r="L42" s="4">
        <f>I42+June!L42</f>
        <v>2693996.78</v>
      </c>
      <c r="M42" s="4">
        <f>J42+June!M42</f>
        <v>3060750.43</v>
      </c>
      <c r="N42" s="4">
        <f t="shared" ref="N42:N51" si="15">L42-M42</f>
        <v>-366753.65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5.4776132562E8</v>
      </c>
      <c r="E43" s="6">
        <v>1.962706312E7</v>
      </c>
      <c r="F43" s="6">
        <f t="shared" si="13"/>
        <v>528134262.5</v>
      </c>
      <c r="G43" s="6">
        <v>2.833540381E8</v>
      </c>
      <c r="H43" s="20">
        <v>2387.0</v>
      </c>
      <c r="I43" s="6">
        <v>1302809.26</v>
      </c>
      <c r="J43" s="4">
        <v>3.244060685E7</v>
      </c>
      <c r="K43" s="4">
        <f t="shared" si="14"/>
        <v>-31137797.59</v>
      </c>
      <c r="L43" s="4">
        <f>I43+June!L43</f>
        <v>6657626.25</v>
      </c>
      <c r="M43" s="4">
        <f>J43+June!M43</f>
        <v>77618686.11</v>
      </c>
      <c r="N43" s="4">
        <f t="shared" si="15"/>
        <v>-70961059.86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1.089582238E9</v>
      </c>
      <c r="E44" s="6">
        <v>6.3206467E7</v>
      </c>
      <c r="F44" s="6">
        <f t="shared" si="13"/>
        <v>1026375771</v>
      </c>
      <c r="G44" s="6">
        <v>5.87765776E8</v>
      </c>
      <c r="H44" s="20">
        <v>4559.0</v>
      </c>
      <c r="I44" s="6">
        <v>875685.0</v>
      </c>
      <c r="J44" s="4">
        <v>3463180.0</v>
      </c>
      <c r="K44" s="4">
        <f t="shared" si="14"/>
        <v>-2587495</v>
      </c>
      <c r="L44" s="4">
        <f>I44+June!L44</f>
        <v>10249026.55</v>
      </c>
      <c r="M44" s="4">
        <f>J44+June!M44</f>
        <v>56393789.08</v>
      </c>
      <c r="N44" s="4">
        <f t="shared" si="15"/>
        <v>-46144762.53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3.22094591E8</v>
      </c>
      <c r="E45" s="6">
        <v>3.4163345E7</v>
      </c>
      <c r="F45" s="6">
        <f t="shared" si="13"/>
        <v>287931246</v>
      </c>
      <c r="G45" s="6">
        <v>2.06096087E8</v>
      </c>
      <c r="H45" s="20">
        <v>243.0</v>
      </c>
      <c r="I45" s="6">
        <v>1933484.0</v>
      </c>
      <c r="J45" s="4">
        <v>3298111.0</v>
      </c>
      <c r="K45" s="4">
        <f t="shared" si="14"/>
        <v>-1364627</v>
      </c>
      <c r="L45" s="4">
        <f>I45+June!L45</f>
        <v>33774913.27</v>
      </c>
      <c r="M45" s="4">
        <f>J45+June!M45</f>
        <v>47931234.26</v>
      </c>
      <c r="N45" s="4">
        <f t="shared" si="15"/>
        <v>-14156320.99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3.5252406225E8</v>
      </c>
      <c r="E46" s="6">
        <v>3951712.82</v>
      </c>
      <c r="F46" s="6">
        <f t="shared" si="13"/>
        <v>348572349.4</v>
      </c>
      <c r="G46" s="6">
        <v>1.5844986645E8</v>
      </c>
      <c r="H46" s="20">
        <v>53.0</v>
      </c>
      <c r="I46" s="6">
        <v>0.0</v>
      </c>
      <c r="J46" s="4">
        <v>0.0</v>
      </c>
      <c r="K46" s="4">
        <f t="shared" si="14"/>
        <v>0</v>
      </c>
      <c r="L46" s="4">
        <f>I46+June!L46</f>
        <v>0</v>
      </c>
      <c r="M46" s="4">
        <f>J46+June!M46</f>
        <v>1577061</v>
      </c>
      <c r="N46" s="4">
        <f t="shared" si="15"/>
        <v>-1577061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5.40416226E8</v>
      </c>
      <c r="E47" s="6">
        <v>1.8254816E7</v>
      </c>
      <c r="F47" s="6">
        <f t="shared" si="13"/>
        <v>522161410</v>
      </c>
      <c r="G47" s="6">
        <v>2.69396208E8</v>
      </c>
      <c r="H47" s="20">
        <v>9991.0</v>
      </c>
      <c r="I47" s="6">
        <v>141227.0</v>
      </c>
      <c r="J47" s="4">
        <v>1.3733844E7</v>
      </c>
      <c r="K47" s="4">
        <f t="shared" si="14"/>
        <v>-13592617</v>
      </c>
      <c r="L47" s="4">
        <f>I47+June!L47</f>
        <v>2532344.86</v>
      </c>
      <c r="M47" s="4">
        <f>J47+June!M47</f>
        <v>41098814.57</v>
      </c>
      <c r="N47" s="4">
        <f t="shared" si="15"/>
        <v>-38566469.71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6">
        <v>2.050971889E9</v>
      </c>
      <c r="E48" s="6">
        <v>3.7523758E7</v>
      </c>
      <c r="F48" s="6">
        <f t="shared" si="13"/>
        <v>2013448131</v>
      </c>
      <c r="G48" s="6">
        <v>1.00329885E9</v>
      </c>
      <c r="H48" s="20">
        <v>8002.0</v>
      </c>
      <c r="I48" s="6">
        <v>1169667.0</v>
      </c>
      <c r="J48" s="4">
        <v>9572257.0</v>
      </c>
      <c r="K48" s="4">
        <f t="shared" si="14"/>
        <v>-8402590</v>
      </c>
      <c r="L48" s="4">
        <f>I48+June!L48</f>
        <v>14035337.04</v>
      </c>
      <c r="M48" s="4">
        <f>J48+June!M48</f>
        <v>111882281.4</v>
      </c>
      <c r="N48" s="4">
        <f t="shared" si="15"/>
        <v>-97846944.35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6">
        <v>1.3266603E8</v>
      </c>
      <c r="E49" s="6">
        <v>169617.0</v>
      </c>
      <c r="F49" s="6">
        <f t="shared" si="13"/>
        <v>132496413</v>
      </c>
      <c r="G49" s="6">
        <v>7.3784459E7</v>
      </c>
      <c r="H49" s="20">
        <v>195.0</v>
      </c>
      <c r="I49" s="6">
        <v>0.0</v>
      </c>
      <c r="J49" s="4">
        <v>1765588.0</v>
      </c>
      <c r="K49" s="4">
        <f t="shared" si="14"/>
        <v>-1765588</v>
      </c>
      <c r="L49" s="4">
        <f>I49+June!L49</f>
        <v>246291.67</v>
      </c>
      <c r="M49" s="4">
        <f>J49+June!M49</f>
        <v>7945534.55</v>
      </c>
      <c r="N49" s="4">
        <f t="shared" si="15"/>
        <v>-7699242.88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7.22633009E9</v>
      </c>
      <c r="E50" s="6">
        <v>1.07400273E8</v>
      </c>
      <c r="F50" s="6">
        <f t="shared" si="13"/>
        <v>7118929817</v>
      </c>
      <c r="G50" s="6">
        <v>3.793023383E9</v>
      </c>
      <c r="H50" s="20">
        <v>53835.0</v>
      </c>
      <c r="I50" s="6">
        <v>8497093.0</v>
      </c>
      <c r="J50" s="4">
        <v>4.2672361E7</v>
      </c>
      <c r="K50" s="4">
        <f t="shared" si="14"/>
        <v>-34175268</v>
      </c>
      <c r="L50" s="4">
        <f>I50+June!L50</f>
        <v>63743529.15</v>
      </c>
      <c r="M50" s="4">
        <f>J50+June!M50</f>
        <v>345713284.2</v>
      </c>
      <c r="N50" s="4">
        <f t="shared" si="15"/>
        <v>-281969755.1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6">
        <v>1.127054561E9</v>
      </c>
      <c r="E51" s="6">
        <v>1.3772644E7</v>
      </c>
      <c r="F51" s="6">
        <f t="shared" si="13"/>
        <v>1113281917</v>
      </c>
      <c r="G51" s="6">
        <v>6.22762964E8</v>
      </c>
      <c r="H51" s="20">
        <v>4998.0</v>
      </c>
      <c r="I51" s="6">
        <v>0.0</v>
      </c>
      <c r="J51" s="4">
        <v>1.1502169E7</v>
      </c>
      <c r="K51" s="4">
        <f t="shared" si="14"/>
        <v>-11502169</v>
      </c>
      <c r="L51" s="4">
        <f>I51+June!L51</f>
        <v>0</v>
      </c>
      <c r="M51" s="4">
        <f>J51+June!M51</f>
        <v>66518259.81</v>
      </c>
      <c r="N51" s="4">
        <f t="shared" si="15"/>
        <v>-66518259.81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6"/>
      <c r="E52" s="6"/>
      <c r="F52" s="6"/>
      <c r="G52" s="6"/>
      <c r="H52" s="20"/>
      <c r="I52" s="6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7.690967E7</v>
      </c>
      <c r="E53" s="6">
        <v>319148.0</v>
      </c>
      <c r="F53" s="6">
        <f t="shared" ref="F53:F55" si="16">D53-E53</f>
        <v>76590522</v>
      </c>
      <c r="G53" s="6">
        <v>2.3069709E7</v>
      </c>
      <c r="H53" s="20">
        <v>1105.0</v>
      </c>
      <c r="I53" s="6">
        <v>361105.0</v>
      </c>
      <c r="J53" s="4">
        <v>356334.0</v>
      </c>
      <c r="K53" s="4">
        <f t="shared" ref="K53:K55" si="17">I53-J53</f>
        <v>4771</v>
      </c>
      <c r="L53" s="4">
        <f>I53+June!L53</f>
        <v>3189034.2</v>
      </c>
      <c r="M53" s="4">
        <f>J53+June!M53</f>
        <v>2384353.55</v>
      </c>
      <c r="N53" s="4">
        <f t="shared" ref="N53:N55" si="18">L53-M53</f>
        <v>804680.65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5.5682198E7</v>
      </c>
      <c r="E54" s="6">
        <v>319661.0</v>
      </c>
      <c r="F54" s="6">
        <f t="shared" si="16"/>
        <v>55362537</v>
      </c>
      <c r="G54" s="6">
        <v>4.3873065E7</v>
      </c>
      <c r="H54" s="20">
        <v>437.0</v>
      </c>
      <c r="I54" s="6">
        <v>223803.0</v>
      </c>
      <c r="J54" s="4">
        <v>4194.0</v>
      </c>
      <c r="K54" s="4">
        <f t="shared" si="17"/>
        <v>219609</v>
      </c>
      <c r="L54" s="4">
        <f>I54+June!L54</f>
        <v>1236117</v>
      </c>
      <c r="M54" s="4">
        <f>J54+June!M54</f>
        <v>1866614.19</v>
      </c>
      <c r="N54" s="4">
        <f t="shared" si="18"/>
        <v>-630497.19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6">
        <v>4.7644902E7</v>
      </c>
      <c r="E55" s="6">
        <v>275677.0</v>
      </c>
      <c r="F55" s="6">
        <f t="shared" si="16"/>
        <v>47369225</v>
      </c>
      <c r="G55" s="6">
        <v>3.998729E7</v>
      </c>
      <c r="H55" s="20">
        <v>201.0</v>
      </c>
      <c r="I55" s="6">
        <v>51187.0</v>
      </c>
      <c r="J55" s="4">
        <v>0.0</v>
      </c>
      <c r="K55" s="4">
        <f t="shared" si="17"/>
        <v>51187</v>
      </c>
      <c r="L55" s="4">
        <f>I55+June!L55</f>
        <v>388654</v>
      </c>
      <c r="M55" s="4">
        <f>J55+June!M55</f>
        <v>125981.96</v>
      </c>
      <c r="N55" s="4">
        <f t="shared" si="18"/>
        <v>262672.04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54">
        <f t="shared" ref="D56:N56" si="19">SUM(D42:D55)</f>
        <v>13688651708</v>
      </c>
      <c r="E56" s="54">
        <f t="shared" si="19"/>
        <v>302854078.4</v>
      </c>
      <c r="F56" s="54">
        <f t="shared" si="19"/>
        <v>13385797629</v>
      </c>
      <c r="G56" s="54">
        <f t="shared" si="19"/>
        <v>7144485784</v>
      </c>
      <c r="H56" s="27">
        <f t="shared" si="19"/>
        <v>86724</v>
      </c>
      <c r="I56" s="54">
        <f t="shared" si="19"/>
        <v>15528869.66</v>
      </c>
      <c r="J56" s="54">
        <f t="shared" si="19"/>
        <v>120080016</v>
      </c>
      <c r="K56" s="54">
        <f t="shared" si="19"/>
        <v>-104551146.4</v>
      </c>
      <c r="L56" s="54">
        <f t="shared" si="19"/>
        <v>138746870.8</v>
      </c>
      <c r="M56" s="54">
        <f t="shared" si="19"/>
        <v>764116645.1</v>
      </c>
      <c r="N56" s="54">
        <f t="shared" si="19"/>
        <v>-625369774.4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6"/>
      <c r="E57" s="6"/>
      <c r="F57" s="6"/>
      <c r="G57" s="6"/>
      <c r="H57" s="20"/>
      <c r="I57" s="6"/>
      <c r="J57" s="4"/>
      <c r="K57" s="4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108</v>
      </c>
      <c r="D58" s="6">
        <v>7.111054707E7</v>
      </c>
      <c r="E58" s="6">
        <v>358121.09</v>
      </c>
      <c r="F58" s="6">
        <f t="shared" ref="F58:F61" si="20">D58-E58</f>
        <v>70752425.98</v>
      </c>
      <c r="G58" s="6">
        <v>0.0</v>
      </c>
      <c r="H58" s="20">
        <v>51.0</v>
      </c>
      <c r="I58" s="6">
        <v>0.0</v>
      </c>
      <c r="J58" s="6">
        <v>0.0</v>
      </c>
      <c r="K58" s="4">
        <f t="shared" ref="K58:K61" si="21">I58-J58</f>
        <v>0</v>
      </c>
      <c r="L58" s="4">
        <f>I58+June!L58</f>
        <v>0</v>
      </c>
      <c r="M58" s="4">
        <f>J58+June!M58</f>
        <v>447875.7492</v>
      </c>
      <c r="N58" s="4">
        <f t="shared" ref="N58:N61" si="22">L58-M58</f>
        <v>-447875.7492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6">
        <v>3.48297097E8</v>
      </c>
      <c r="E59" s="6">
        <v>2.688349375E7</v>
      </c>
      <c r="F59" s="6">
        <f t="shared" si="20"/>
        <v>321413603.3</v>
      </c>
      <c r="G59" s="6">
        <v>1.75806006E8</v>
      </c>
      <c r="H59" s="20">
        <v>252.0</v>
      </c>
      <c r="I59" s="6">
        <v>0.0</v>
      </c>
      <c r="J59" s="6">
        <v>1158330.0</v>
      </c>
      <c r="K59" s="4">
        <f t="shared" si="21"/>
        <v>-1158330</v>
      </c>
      <c r="L59" s="4">
        <f>I59+June!L59</f>
        <v>5631.4684</v>
      </c>
      <c r="M59" s="4">
        <f>J59+June!M59</f>
        <v>14561728.77</v>
      </c>
      <c r="N59" s="4">
        <f t="shared" si="22"/>
        <v>-14556097.3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v>1.57779078236E9</v>
      </c>
      <c r="E60" s="6">
        <v>1.912252989E7</v>
      </c>
      <c r="F60" s="6">
        <f t="shared" si="20"/>
        <v>1558668252</v>
      </c>
      <c r="G60" s="6">
        <v>0.0</v>
      </c>
      <c r="H60" s="20">
        <v>4148.0</v>
      </c>
      <c r="I60" s="6">
        <v>736335.0</v>
      </c>
      <c r="J60" s="6">
        <v>3948325.0</v>
      </c>
      <c r="K60" s="4">
        <f t="shared" si="21"/>
        <v>-3211990</v>
      </c>
      <c r="L60" s="4">
        <f>I60+June!L60</f>
        <v>12937148.29</v>
      </c>
      <c r="M60" s="4">
        <f>J60+June!M60</f>
        <v>83809275.24</v>
      </c>
      <c r="N60" s="4">
        <f t="shared" si="22"/>
        <v>-70872126.95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6">
        <v>2.61491806E8</v>
      </c>
      <c r="E61" s="6">
        <v>2400642.0</v>
      </c>
      <c r="F61" s="6">
        <f t="shared" si="20"/>
        <v>259091164</v>
      </c>
      <c r="G61" s="6">
        <v>0.0</v>
      </c>
      <c r="H61" s="20">
        <v>733.0</v>
      </c>
      <c r="I61" s="6">
        <v>285376.0</v>
      </c>
      <c r="J61" s="6">
        <v>4980250.0</v>
      </c>
      <c r="K61" s="4">
        <f t="shared" si="21"/>
        <v>-4694874</v>
      </c>
      <c r="L61" s="4">
        <f>I61+June!L61</f>
        <v>8861513.064</v>
      </c>
      <c r="M61" s="4">
        <f>J61+June!M61</f>
        <v>50434178.42</v>
      </c>
      <c r="N61" s="4">
        <f t="shared" si="22"/>
        <v>-41572665.35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54">
        <f t="shared" ref="D62:N62" si="23">SUM(D58:D61)</f>
        <v>2258690232</v>
      </c>
      <c r="E62" s="54">
        <f t="shared" si="23"/>
        <v>48764786.73</v>
      </c>
      <c r="F62" s="54">
        <f t="shared" si="23"/>
        <v>2209925446</v>
      </c>
      <c r="G62" s="54">
        <f t="shared" si="23"/>
        <v>175806006</v>
      </c>
      <c r="H62" s="27">
        <f t="shared" si="23"/>
        <v>5184</v>
      </c>
      <c r="I62" s="54">
        <f t="shared" si="23"/>
        <v>1021711</v>
      </c>
      <c r="J62" s="54">
        <f t="shared" si="23"/>
        <v>10086905</v>
      </c>
      <c r="K62" s="54">
        <f t="shared" si="23"/>
        <v>-9065194</v>
      </c>
      <c r="L62" s="54">
        <f t="shared" si="23"/>
        <v>21804292.82</v>
      </c>
      <c r="M62" s="54">
        <f t="shared" si="23"/>
        <v>149253058.2</v>
      </c>
      <c r="N62" s="54">
        <f t="shared" si="23"/>
        <v>-127448765.4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54">
        <f t="shared" ref="D63:N63" si="24">D56+D62</f>
        <v>15947341940</v>
      </c>
      <c r="E63" s="54">
        <f t="shared" si="24"/>
        <v>351618865.1</v>
      </c>
      <c r="F63" s="54">
        <f t="shared" si="24"/>
        <v>15595723075</v>
      </c>
      <c r="G63" s="54">
        <f t="shared" si="24"/>
        <v>7320291790</v>
      </c>
      <c r="H63" s="27">
        <f t="shared" si="24"/>
        <v>91908</v>
      </c>
      <c r="I63" s="54">
        <f t="shared" si="24"/>
        <v>16550580.66</v>
      </c>
      <c r="J63" s="54">
        <f t="shared" si="24"/>
        <v>130166921</v>
      </c>
      <c r="K63" s="54">
        <f t="shared" si="24"/>
        <v>-113616340.4</v>
      </c>
      <c r="L63" s="54">
        <f t="shared" si="24"/>
        <v>160551163.6</v>
      </c>
      <c r="M63" s="54">
        <f t="shared" si="24"/>
        <v>913369703.3</v>
      </c>
      <c r="N63" s="54">
        <f t="shared" si="24"/>
        <v>-752818539.7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6"/>
      <c r="E65" s="6"/>
      <c r="F65" s="6"/>
      <c r="G65" s="6"/>
      <c r="H65" s="20"/>
      <c r="I65" s="6"/>
      <c r="J65" s="4"/>
      <c r="K65" s="4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6">
        <v>3.8498393488E10</v>
      </c>
      <c r="E66" s="6">
        <v>2.80190477E8</v>
      </c>
      <c r="F66" s="6">
        <f t="shared" ref="F66:F76" si="25">D66-E66</f>
        <v>38218203011</v>
      </c>
      <c r="G66" s="6">
        <v>9.20840856E8</v>
      </c>
      <c r="H66" s="20">
        <v>24154.0</v>
      </c>
      <c r="I66" s="6">
        <v>3.8418979E8</v>
      </c>
      <c r="J66" s="4">
        <v>5.4648941E8</v>
      </c>
      <c r="K66" s="4">
        <f t="shared" ref="K66:K76" si="26">I66-J66</f>
        <v>-162299620</v>
      </c>
      <c r="L66" s="4">
        <f>I66+June!L66</f>
        <v>1793284773</v>
      </c>
      <c r="M66" s="4">
        <f>J66+June!M66</f>
        <v>4059188403</v>
      </c>
      <c r="N66" s="4">
        <f t="shared" ref="N66:N76" si="27">L66-M66</f>
        <v>-2265903630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4.7916648756E8</v>
      </c>
      <c r="E67" s="6">
        <v>197860.21</v>
      </c>
      <c r="F67" s="6">
        <f t="shared" si="25"/>
        <v>478968627.4</v>
      </c>
      <c r="G67" s="6">
        <v>0.0</v>
      </c>
      <c r="H67" s="20">
        <v>1066.0</v>
      </c>
      <c r="I67" s="6">
        <v>1.626948886E7</v>
      </c>
      <c r="J67" s="4">
        <v>7260464.49</v>
      </c>
      <c r="K67" s="4">
        <f t="shared" si="26"/>
        <v>9009024.37</v>
      </c>
      <c r="L67" s="4">
        <f>I67+June!L67</f>
        <v>71909930.66</v>
      </c>
      <c r="M67" s="4">
        <f>J67+June!M67</f>
        <v>64718659.3</v>
      </c>
      <c r="N67" s="4">
        <f t="shared" si="27"/>
        <v>7191271.36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6">
        <v>9.5603013286E8</v>
      </c>
      <c r="E68" s="6">
        <v>1.610605366E7</v>
      </c>
      <c r="F68" s="6">
        <f t="shared" si="25"/>
        <v>939924079.2</v>
      </c>
      <c r="G68" s="6">
        <v>0.0</v>
      </c>
      <c r="H68" s="20">
        <v>1905.0</v>
      </c>
      <c r="I68" s="6">
        <v>8137867.5</v>
      </c>
      <c r="J68" s="4">
        <v>1.08646786E7</v>
      </c>
      <c r="K68" s="4">
        <f t="shared" si="26"/>
        <v>-2726811.1</v>
      </c>
      <c r="L68" s="4">
        <f>I68+June!L68</f>
        <v>36483287.58</v>
      </c>
      <c r="M68" s="4">
        <f>J68+June!M68</f>
        <v>110221923.1</v>
      </c>
      <c r="N68" s="4">
        <f t="shared" si="27"/>
        <v>-73738635.54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6">
        <v>1.96836298E8</v>
      </c>
      <c r="E69" s="6">
        <v>175856.0</v>
      </c>
      <c r="F69" s="6">
        <f t="shared" si="25"/>
        <v>196660442</v>
      </c>
      <c r="G69" s="6">
        <v>4900000.0</v>
      </c>
      <c r="H69" s="20">
        <v>202.0</v>
      </c>
      <c r="I69" s="6">
        <v>0.0</v>
      </c>
      <c r="J69" s="4">
        <v>814743.0</v>
      </c>
      <c r="K69" s="4">
        <f t="shared" si="26"/>
        <v>-814743</v>
      </c>
      <c r="L69" s="4">
        <f>I69+June!L69</f>
        <v>5411183.85</v>
      </c>
      <c r="M69" s="4">
        <f>J69+June!M69</f>
        <v>5861928.64</v>
      </c>
      <c r="N69" s="4">
        <f t="shared" si="27"/>
        <v>-450744.79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1.502034418E9</v>
      </c>
      <c r="E70" s="6">
        <v>2847033.0</v>
      </c>
      <c r="F70" s="6">
        <f t="shared" si="25"/>
        <v>1499187385</v>
      </c>
      <c r="G70" s="6">
        <v>0.0</v>
      </c>
      <c r="H70" s="20">
        <v>1843.0</v>
      </c>
      <c r="I70" s="6">
        <v>6564347.0</v>
      </c>
      <c r="J70" s="4">
        <v>6895827.0</v>
      </c>
      <c r="K70" s="4">
        <f t="shared" si="26"/>
        <v>-331480</v>
      </c>
      <c r="L70" s="4">
        <f>I70+June!L70</f>
        <v>275722833.1</v>
      </c>
      <c r="M70" s="4">
        <f>J70+June!M70</f>
        <v>70306168.67</v>
      </c>
      <c r="N70" s="4">
        <f t="shared" si="27"/>
        <v>205416664.5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7.33396249E8</v>
      </c>
      <c r="E71" s="6">
        <v>1.3652595E7</v>
      </c>
      <c r="F71" s="6">
        <f t="shared" si="25"/>
        <v>719743654</v>
      </c>
      <c r="G71" s="6">
        <v>0.0</v>
      </c>
      <c r="H71" s="20">
        <v>483.0</v>
      </c>
      <c r="I71" s="6">
        <v>570775.0</v>
      </c>
      <c r="J71" s="4">
        <v>4609741.0</v>
      </c>
      <c r="K71" s="4">
        <f t="shared" si="26"/>
        <v>-4038966</v>
      </c>
      <c r="L71" s="4">
        <f>I71+June!L71</f>
        <v>12791434.49</v>
      </c>
      <c r="M71" s="4">
        <f>J71+June!M71</f>
        <v>121692034.8</v>
      </c>
      <c r="N71" s="4">
        <f t="shared" si="27"/>
        <v>-108900600.3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1.678020801E9</v>
      </c>
      <c r="E72" s="6">
        <v>3.1710952E7</v>
      </c>
      <c r="F72" s="6">
        <f t="shared" si="25"/>
        <v>1646309849</v>
      </c>
      <c r="G72" s="6">
        <v>0.0</v>
      </c>
      <c r="H72" s="20">
        <v>4951.0</v>
      </c>
      <c r="I72" s="6">
        <v>3073905.0</v>
      </c>
      <c r="J72" s="4">
        <v>1.42677E7</v>
      </c>
      <c r="K72" s="4">
        <f t="shared" si="26"/>
        <v>-11193795</v>
      </c>
      <c r="L72" s="4">
        <f>I72+June!L72</f>
        <v>27096519.15</v>
      </c>
      <c r="M72" s="4">
        <f>J72+June!M72</f>
        <v>77958393.64</v>
      </c>
      <c r="N72" s="4">
        <f t="shared" si="27"/>
        <v>-50861874.49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3.0761978716E8</v>
      </c>
      <c r="E73" s="6">
        <v>936088.72</v>
      </c>
      <c r="F73" s="6">
        <f t="shared" si="25"/>
        <v>306683698.4</v>
      </c>
      <c r="G73" s="6">
        <v>0.0</v>
      </c>
      <c r="H73" s="20">
        <v>4089.0</v>
      </c>
      <c r="I73" s="6">
        <v>849763.64</v>
      </c>
      <c r="J73" s="4">
        <v>1212673.42</v>
      </c>
      <c r="K73" s="4">
        <f t="shared" si="26"/>
        <v>-362909.78</v>
      </c>
      <c r="L73" s="4">
        <f>I73+June!L73</f>
        <v>20557980.32</v>
      </c>
      <c r="M73" s="4">
        <f>J73+June!M73</f>
        <v>23689393.78</v>
      </c>
      <c r="N73" s="4">
        <f t="shared" si="27"/>
        <v>-3131413.46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1.40050843504E9</v>
      </c>
      <c r="E74" s="6">
        <v>699143.79</v>
      </c>
      <c r="F74" s="6">
        <f t="shared" si="25"/>
        <v>1399809291</v>
      </c>
      <c r="G74" s="6">
        <v>0.0</v>
      </c>
      <c r="H74" s="20">
        <v>904.0</v>
      </c>
      <c r="I74" s="6">
        <v>2.510967829E7</v>
      </c>
      <c r="J74" s="4">
        <v>578983.4</v>
      </c>
      <c r="K74" s="4">
        <f t="shared" si="26"/>
        <v>24530694.89</v>
      </c>
      <c r="L74" s="4">
        <f>I74+June!L74</f>
        <v>156426460.3</v>
      </c>
      <c r="M74" s="4">
        <f>J74+June!M74</f>
        <v>5047587.31</v>
      </c>
      <c r="N74" s="4">
        <f t="shared" si="27"/>
        <v>151378873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5.442244943E9</v>
      </c>
      <c r="E75" s="6">
        <v>1.400347E7</v>
      </c>
      <c r="F75" s="6">
        <f t="shared" si="25"/>
        <v>5428241473</v>
      </c>
      <c r="G75" s="6">
        <v>0.0</v>
      </c>
      <c r="H75" s="20">
        <v>17406.0</v>
      </c>
      <c r="I75" s="6">
        <v>1.08839278E8</v>
      </c>
      <c r="J75" s="4">
        <v>2.10396901E8</v>
      </c>
      <c r="K75" s="4">
        <f t="shared" si="26"/>
        <v>-101557623</v>
      </c>
      <c r="L75" s="4">
        <f>I75+June!L75</f>
        <v>1420466932</v>
      </c>
      <c r="M75" s="4">
        <f>J75+June!M75</f>
        <v>564280728</v>
      </c>
      <c r="N75" s="4">
        <f t="shared" si="27"/>
        <v>856186204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6">
        <v>1.26792446E8</v>
      </c>
      <c r="E76" s="6">
        <v>455399.0</v>
      </c>
      <c r="F76" s="6">
        <f t="shared" si="25"/>
        <v>126337047</v>
      </c>
      <c r="G76" s="6">
        <v>0.0</v>
      </c>
      <c r="H76" s="20">
        <v>2705.0</v>
      </c>
      <c r="I76" s="6">
        <v>694344.0</v>
      </c>
      <c r="J76" s="4">
        <v>1.276597E7</v>
      </c>
      <c r="K76" s="4">
        <f t="shared" si="26"/>
        <v>-12071626</v>
      </c>
      <c r="L76" s="4">
        <f>I76+June!L76</f>
        <v>7899997.44</v>
      </c>
      <c r="M76" s="4">
        <f>J76+June!M76</f>
        <v>21888272.71</v>
      </c>
      <c r="N76" s="4">
        <f t="shared" si="27"/>
        <v>-13988275.27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54">
        <f t="shared" ref="D77:N77" si="28">SUM(D66:D76)</f>
        <v>51321043486</v>
      </c>
      <c r="E77" s="54">
        <f t="shared" si="28"/>
        <v>360974928.4</v>
      </c>
      <c r="F77" s="54">
        <f t="shared" si="28"/>
        <v>50960068557</v>
      </c>
      <c r="G77" s="54">
        <f t="shared" si="28"/>
        <v>925740856</v>
      </c>
      <c r="H77" s="27">
        <f t="shared" si="28"/>
        <v>59708</v>
      </c>
      <c r="I77" s="54">
        <f t="shared" si="28"/>
        <v>554299237.3</v>
      </c>
      <c r="J77" s="54">
        <f t="shared" si="28"/>
        <v>816157091.9</v>
      </c>
      <c r="K77" s="54">
        <f t="shared" si="28"/>
        <v>-261857854.6</v>
      </c>
      <c r="L77" s="54">
        <f t="shared" si="28"/>
        <v>3828051332</v>
      </c>
      <c r="M77" s="54">
        <f t="shared" si="28"/>
        <v>5124853493</v>
      </c>
      <c r="N77" s="54">
        <f t="shared" si="28"/>
        <v>-1296802161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6"/>
      <c r="E78" s="6"/>
      <c r="F78" s="6"/>
      <c r="G78" s="6"/>
      <c r="H78" s="6"/>
      <c r="I78" s="6"/>
      <c r="J78" s="6"/>
      <c r="K78" s="6"/>
      <c r="L78" s="6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6">
        <v>1.33355106E10</v>
      </c>
      <c r="E79" s="6">
        <v>1.16813404E8</v>
      </c>
      <c r="F79" s="6">
        <f t="shared" ref="F79:F85" si="29">D79-E79</f>
        <v>13218697196</v>
      </c>
      <c r="G79" s="6">
        <v>0.0</v>
      </c>
      <c r="H79" s="20">
        <v>8308.0</v>
      </c>
      <c r="I79" s="6">
        <v>5.291268E7</v>
      </c>
      <c r="J79" s="4">
        <v>1.57618721E8</v>
      </c>
      <c r="K79" s="4">
        <f t="shared" ref="K79:K85" si="30">I79-J79</f>
        <v>-104706041</v>
      </c>
      <c r="L79" s="4">
        <f>I79+June!L79</f>
        <v>388284891.4</v>
      </c>
      <c r="M79" s="4">
        <f>J79+June!M79</f>
        <v>1022889833</v>
      </c>
      <c r="N79" s="4">
        <f t="shared" ref="N79:N85" si="31">L79-M79</f>
        <v>-634604941.9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2.6101351509E8</v>
      </c>
      <c r="E80" s="6">
        <v>1207183.29</v>
      </c>
      <c r="F80" s="6">
        <f t="shared" si="29"/>
        <v>259806331.8</v>
      </c>
      <c r="G80" s="6">
        <v>0.0</v>
      </c>
      <c r="H80" s="20">
        <v>158.0</v>
      </c>
      <c r="I80" s="6">
        <v>0.0</v>
      </c>
      <c r="J80" s="4">
        <v>13865.24</v>
      </c>
      <c r="K80" s="4">
        <f t="shared" si="30"/>
        <v>-13865.24</v>
      </c>
      <c r="L80" s="4">
        <f>I80+June!L80</f>
        <v>1334681.975</v>
      </c>
      <c r="M80" s="4">
        <f>J80+June!M80</f>
        <v>5871522.791</v>
      </c>
      <c r="N80" s="4">
        <f t="shared" si="31"/>
        <v>-4536840.816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6">
        <v>4.46653842E8</v>
      </c>
      <c r="E81" s="6">
        <v>3222974.0</v>
      </c>
      <c r="F81" s="6">
        <f t="shared" si="29"/>
        <v>443430868</v>
      </c>
      <c r="G81" s="6">
        <v>0.0</v>
      </c>
      <c r="H81" s="20">
        <v>168.0</v>
      </c>
      <c r="I81" s="6">
        <v>1048360.0</v>
      </c>
      <c r="J81" s="4">
        <v>556387.0</v>
      </c>
      <c r="K81" s="4">
        <f t="shared" si="30"/>
        <v>491973</v>
      </c>
      <c r="L81" s="4">
        <f>I81+June!L81</f>
        <v>17019528.46</v>
      </c>
      <c r="M81" s="4">
        <f>J81+June!M81</f>
        <v>8122701.96</v>
      </c>
      <c r="N81" s="4">
        <f t="shared" si="31"/>
        <v>8896826.5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109</v>
      </c>
      <c r="D82" s="6">
        <v>6.3397225E7</v>
      </c>
      <c r="E82" s="6">
        <v>1.4450911E7</v>
      </c>
      <c r="F82" s="6">
        <f t="shared" si="29"/>
        <v>48946314</v>
      </c>
      <c r="G82" s="6">
        <v>0.0</v>
      </c>
      <c r="H82" s="20">
        <v>27.0</v>
      </c>
      <c r="I82" s="6">
        <v>0.0</v>
      </c>
      <c r="J82" s="4">
        <v>0.0</v>
      </c>
      <c r="K82" s="4">
        <f t="shared" si="30"/>
        <v>0</v>
      </c>
      <c r="L82" s="4">
        <f>I82+June!L82</f>
        <v>0</v>
      </c>
      <c r="M82" s="4">
        <f>J82+June!M82</f>
        <v>0</v>
      </c>
      <c r="N82" s="4">
        <f t="shared" si="31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1.967258846E9</v>
      </c>
      <c r="E83" s="6">
        <v>2.3499707E7</v>
      </c>
      <c r="F83" s="6">
        <f t="shared" si="29"/>
        <v>1943759139</v>
      </c>
      <c r="G83" s="6">
        <v>0.0</v>
      </c>
      <c r="H83" s="20">
        <v>1854.0</v>
      </c>
      <c r="I83" s="6">
        <v>201717.0</v>
      </c>
      <c r="J83" s="4">
        <v>1.656419E7</v>
      </c>
      <c r="K83" s="4">
        <f t="shared" si="30"/>
        <v>-16362473</v>
      </c>
      <c r="L83" s="4">
        <f>I83+June!L83</f>
        <v>1331246.851</v>
      </c>
      <c r="M83" s="4">
        <f>J83+June!M83</f>
        <v>96122295.87</v>
      </c>
      <c r="N83" s="4">
        <f t="shared" si="31"/>
        <v>-94791049.02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v>2.305905170483E8</v>
      </c>
      <c r="E84" s="6">
        <v>1428470.1047</v>
      </c>
      <c r="F84" s="6">
        <f t="shared" si="29"/>
        <v>229162046.9</v>
      </c>
      <c r="G84" s="6">
        <v>0.0</v>
      </c>
      <c r="H84" s="20">
        <v>118.0</v>
      </c>
      <c r="I84" s="6">
        <v>148176.0</v>
      </c>
      <c r="J84" s="4">
        <v>0.0</v>
      </c>
      <c r="K84" s="4">
        <f t="shared" si="30"/>
        <v>148176</v>
      </c>
      <c r="L84" s="4">
        <f>I84+June!L84</f>
        <v>1438765</v>
      </c>
      <c r="M84" s="4">
        <f>J84+June!M84</f>
        <v>3979991.507</v>
      </c>
      <c r="N84" s="4">
        <f t="shared" si="31"/>
        <v>-2541226.507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6">
        <v>7.20858612E8</v>
      </c>
      <c r="E85" s="6">
        <v>8.4572169E7</v>
      </c>
      <c r="F85" s="6">
        <f t="shared" si="29"/>
        <v>636286443</v>
      </c>
      <c r="G85" s="6">
        <v>0.0</v>
      </c>
      <c r="H85" s="20">
        <v>2557.0</v>
      </c>
      <c r="I85" s="6">
        <v>1.14690437E8</v>
      </c>
      <c r="J85" s="4">
        <v>3970346.0</v>
      </c>
      <c r="K85" s="4">
        <f t="shared" si="30"/>
        <v>110720091</v>
      </c>
      <c r="L85" s="4">
        <f>I85+June!L85</f>
        <v>223539823.2</v>
      </c>
      <c r="M85" s="4">
        <f>J85+June!M85</f>
        <v>34052224.9</v>
      </c>
      <c r="N85" s="4">
        <f t="shared" si="31"/>
        <v>189487598.3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54">
        <f t="shared" ref="D86:N86" si="32">SUM(D79:D85)</f>
        <v>17025283157</v>
      </c>
      <c r="E86" s="54">
        <f t="shared" si="32"/>
        <v>245194818.4</v>
      </c>
      <c r="F86" s="54">
        <f t="shared" si="32"/>
        <v>16780088339</v>
      </c>
      <c r="G86" s="54">
        <f t="shared" si="32"/>
        <v>0</v>
      </c>
      <c r="H86" s="54">
        <f t="shared" si="32"/>
        <v>13190</v>
      </c>
      <c r="I86" s="54">
        <f t="shared" si="32"/>
        <v>169001370</v>
      </c>
      <c r="J86" s="54">
        <f t="shared" si="32"/>
        <v>178723509.2</v>
      </c>
      <c r="K86" s="54">
        <f t="shared" si="32"/>
        <v>-9722139.24</v>
      </c>
      <c r="L86" s="54">
        <f t="shared" si="32"/>
        <v>632948936.8</v>
      </c>
      <c r="M86" s="54">
        <f t="shared" si="32"/>
        <v>1171038570</v>
      </c>
      <c r="N86" s="54">
        <f t="shared" si="32"/>
        <v>-538089633.5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6">
        <v>9.50414544E8</v>
      </c>
      <c r="E87" s="6">
        <v>7751756.0</v>
      </c>
      <c r="F87" s="6">
        <f>D87-E87</f>
        <v>942662788</v>
      </c>
      <c r="G87" s="6">
        <v>0.0</v>
      </c>
      <c r="H87" s="20">
        <v>628.0</v>
      </c>
      <c r="I87" s="6">
        <v>2210908.0</v>
      </c>
      <c r="J87" s="4">
        <v>1776323.0</v>
      </c>
      <c r="K87" s="4">
        <f>I87-J87</f>
        <v>434585</v>
      </c>
      <c r="L87" s="4">
        <f>I87+June!L87</f>
        <v>35506970.16</v>
      </c>
      <c r="M87" s="4">
        <f>J87+June!M87</f>
        <v>30793655.84</v>
      </c>
      <c r="N87" s="4">
        <f>L87-M87</f>
        <v>4713314.313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54">
        <f t="shared" ref="D88:N88" si="33">SUM(D87)</f>
        <v>950414544</v>
      </c>
      <c r="E88" s="54">
        <f t="shared" si="33"/>
        <v>7751756</v>
      </c>
      <c r="F88" s="54">
        <f t="shared" si="33"/>
        <v>942662788</v>
      </c>
      <c r="G88" s="54">
        <f t="shared" si="33"/>
        <v>0</v>
      </c>
      <c r="H88" s="27">
        <f t="shared" si="33"/>
        <v>628</v>
      </c>
      <c r="I88" s="54">
        <f t="shared" si="33"/>
        <v>2210908</v>
      </c>
      <c r="J88" s="54">
        <f t="shared" si="33"/>
        <v>1776323</v>
      </c>
      <c r="K88" s="54">
        <f t="shared" si="33"/>
        <v>434585</v>
      </c>
      <c r="L88" s="54">
        <f t="shared" si="33"/>
        <v>35506970.16</v>
      </c>
      <c r="M88" s="54">
        <f t="shared" si="33"/>
        <v>30793655.84</v>
      </c>
      <c r="N88" s="54">
        <f t="shared" si="33"/>
        <v>4713314.313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54">
        <f t="shared" ref="D89:N89" si="34">D77+D86+D88</f>
        <v>69296741187</v>
      </c>
      <c r="E89" s="54">
        <f t="shared" si="34"/>
        <v>613921502.8</v>
      </c>
      <c r="F89" s="54">
        <f t="shared" si="34"/>
        <v>68682819684</v>
      </c>
      <c r="G89" s="54">
        <f t="shared" si="34"/>
        <v>925740856</v>
      </c>
      <c r="H89" s="27">
        <f t="shared" si="34"/>
        <v>73526</v>
      </c>
      <c r="I89" s="54">
        <f t="shared" si="34"/>
        <v>725511515.3</v>
      </c>
      <c r="J89" s="54">
        <f t="shared" si="34"/>
        <v>996656924.2</v>
      </c>
      <c r="K89" s="54">
        <f t="shared" si="34"/>
        <v>-271145408.9</v>
      </c>
      <c r="L89" s="54">
        <f t="shared" si="34"/>
        <v>4496507239</v>
      </c>
      <c r="M89" s="54">
        <f t="shared" si="34"/>
        <v>6326685719</v>
      </c>
      <c r="N89" s="54">
        <f t="shared" si="34"/>
        <v>-1830178480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6"/>
      <c r="E91" s="6"/>
      <c r="F91" s="6"/>
      <c r="G91" s="6"/>
      <c r="H91" s="20"/>
      <c r="I91" s="6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3.1130723856E10</v>
      </c>
      <c r="E92" s="6">
        <v>4.3917087E7</v>
      </c>
      <c r="F92" s="6">
        <f t="shared" ref="F92:F94" si="35">D92-E92</f>
        <v>31086806769</v>
      </c>
      <c r="G92" s="6">
        <v>0.0</v>
      </c>
      <c r="H92" s="20">
        <v>27549.0</v>
      </c>
      <c r="I92" s="6">
        <v>332612.0</v>
      </c>
      <c r="J92" s="4">
        <v>1.1439351E9</v>
      </c>
      <c r="K92" s="4">
        <f t="shared" ref="K92:K94" si="36">I92-J92</f>
        <v>-1143602488</v>
      </c>
      <c r="L92" s="4">
        <f>I92+June!L92</f>
        <v>9183795466</v>
      </c>
      <c r="M92" s="4">
        <f>J92+June!M92</f>
        <v>13231241296</v>
      </c>
      <c r="N92" s="4">
        <f t="shared" ref="N92:N94" si="37">L92-M92</f>
        <v>-4047445830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6">
        <v>2.356695663E9</v>
      </c>
      <c r="E93" s="6">
        <v>1.3270484E7</v>
      </c>
      <c r="F93" s="6">
        <f t="shared" si="35"/>
        <v>2343425179</v>
      </c>
      <c r="G93" s="6">
        <v>0.0</v>
      </c>
      <c r="H93" s="20">
        <v>811.0</v>
      </c>
      <c r="I93" s="6">
        <v>1.65194759E8</v>
      </c>
      <c r="J93" s="4">
        <v>7.0600572E7</v>
      </c>
      <c r="K93" s="4">
        <f t="shared" si="36"/>
        <v>94594187</v>
      </c>
      <c r="L93" s="4">
        <f>I93+June!L93</f>
        <v>600558435.7</v>
      </c>
      <c r="M93" s="4">
        <f>J93+June!M93</f>
        <v>1127029855</v>
      </c>
      <c r="N93" s="4">
        <f t="shared" si="37"/>
        <v>-526471419.1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6">
        <v>2.8112613506E10</v>
      </c>
      <c r="E94" s="6">
        <v>1.17656663E8</v>
      </c>
      <c r="F94" s="6">
        <f t="shared" si="35"/>
        <v>27994956843</v>
      </c>
      <c r="G94" s="6">
        <v>0.0</v>
      </c>
      <c r="H94" s="20">
        <v>66029.0</v>
      </c>
      <c r="I94" s="6">
        <v>2.211845892E9</v>
      </c>
      <c r="J94" s="4">
        <v>7.229384001E9</v>
      </c>
      <c r="K94" s="4">
        <f t="shared" si="36"/>
        <v>-5017538109</v>
      </c>
      <c r="L94" s="4">
        <f>I94+June!L94</f>
        <v>14729886835</v>
      </c>
      <c r="M94" s="4">
        <f>J94+June!M94</f>
        <v>39603813541</v>
      </c>
      <c r="N94" s="4">
        <f t="shared" si="37"/>
        <v>-24873926706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6"/>
      <c r="E95" s="6"/>
      <c r="F95" s="6"/>
      <c r="G95" s="6"/>
      <c r="H95" s="20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6">
        <v>6.629908709E9</v>
      </c>
      <c r="E96" s="6">
        <v>2.0355468E7</v>
      </c>
      <c r="F96" s="6">
        <f>D96-E96</f>
        <v>6609553241</v>
      </c>
      <c r="G96" s="6">
        <v>0.0</v>
      </c>
      <c r="H96" s="20">
        <v>7170.0</v>
      </c>
      <c r="I96" s="6">
        <v>8.82376884E8</v>
      </c>
      <c r="J96" s="4">
        <v>7.61176315E8</v>
      </c>
      <c r="K96" s="4">
        <f>I96-J96</f>
        <v>121200569</v>
      </c>
      <c r="L96" s="4">
        <f>I96+June!L96</f>
        <v>9254635784</v>
      </c>
      <c r="M96" s="4">
        <f>J96+June!M96</f>
        <v>6288916124</v>
      </c>
      <c r="N96" s="4">
        <f>L96-M96</f>
        <v>2965719659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54">
        <f t="shared" ref="D97:N97" si="38">SUM(D92:D94)+D96</f>
        <v>68229941734</v>
      </c>
      <c r="E97" s="54">
        <f t="shared" si="38"/>
        <v>195199702</v>
      </c>
      <c r="F97" s="54">
        <f t="shared" si="38"/>
        <v>68034742032</v>
      </c>
      <c r="G97" s="54">
        <f t="shared" si="38"/>
        <v>0</v>
      </c>
      <c r="H97" s="27">
        <f t="shared" si="38"/>
        <v>101559</v>
      </c>
      <c r="I97" s="54">
        <f t="shared" si="38"/>
        <v>3259750147</v>
      </c>
      <c r="J97" s="54">
        <f t="shared" si="38"/>
        <v>9205095988</v>
      </c>
      <c r="K97" s="54">
        <f t="shared" si="38"/>
        <v>-5945345841</v>
      </c>
      <c r="L97" s="54">
        <f t="shared" si="38"/>
        <v>33768876520</v>
      </c>
      <c r="M97" s="54">
        <f t="shared" si="38"/>
        <v>60251000816</v>
      </c>
      <c r="N97" s="54">
        <f t="shared" si="38"/>
        <v>-26482124296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6"/>
      <c r="E98" s="6"/>
      <c r="F98" s="6"/>
      <c r="G98" s="6"/>
      <c r="H98" s="20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6">
        <v>3.970449152E9</v>
      </c>
      <c r="E99" s="6">
        <v>7.24464642E8</v>
      </c>
      <c r="F99" s="6">
        <f>D99-E99</f>
        <v>3245984510</v>
      </c>
      <c r="G99" s="6">
        <v>0.0</v>
      </c>
      <c r="H99" s="20">
        <v>3553.0</v>
      </c>
      <c r="I99" s="6">
        <v>1.257764393E9</v>
      </c>
      <c r="J99" s="6">
        <v>1.331406866E9</v>
      </c>
      <c r="K99" s="4">
        <f>I99-J99</f>
        <v>-73642473</v>
      </c>
      <c r="L99" s="4">
        <f>I99+June!L99</f>
        <v>4860170742</v>
      </c>
      <c r="M99" s="4">
        <f>J99+June!M99</f>
        <v>8237274386</v>
      </c>
      <c r="N99" s="4">
        <f>L99-M99</f>
        <v>-3377103644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54">
        <f t="shared" ref="D100:N100" si="39">SUM(D99)</f>
        <v>3970449152</v>
      </c>
      <c r="E100" s="54">
        <f t="shared" si="39"/>
        <v>724464642</v>
      </c>
      <c r="F100" s="54">
        <f t="shared" si="39"/>
        <v>3245984510</v>
      </c>
      <c r="G100" s="54">
        <f t="shared" si="39"/>
        <v>0</v>
      </c>
      <c r="H100" s="27">
        <f t="shared" si="39"/>
        <v>3553</v>
      </c>
      <c r="I100" s="54">
        <f t="shared" si="39"/>
        <v>1257764393</v>
      </c>
      <c r="J100" s="54">
        <f t="shared" si="39"/>
        <v>1331406866</v>
      </c>
      <c r="K100" s="54">
        <f t="shared" si="39"/>
        <v>-73642473</v>
      </c>
      <c r="L100" s="54">
        <f t="shared" si="39"/>
        <v>4860170742</v>
      </c>
      <c r="M100" s="54">
        <f t="shared" si="39"/>
        <v>8237274386</v>
      </c>
      <c r="N100" s="54">
        <f t="shared" si="39"/>
        <v>-3377103644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54">
        <f t="shared" ref="D101:N101" si="40">D97+D100</f>
        <v>72200390886</v>
      </c>
      <c r="E101" s="54">
        <f t="shared" si="40"/>
        <v>919664344</v>
      </c>
      <c r="F101" s="54">
        <f t="shared" si="40"/>
        <v>71280726542</v>
      </c>
      <c r="G101" s="54">
        <f t="shared" si="40"/>
        <v>0</v>
      </c>
      <c r="H101" s="27">
        <f t="shared" si="40"/>
        <v>105112</v>
      </c>
      <c r="I101" s="54">
        <f t="shared" si="40"/>
        <v>4517514540</v>
      </c>
      <c r="J101" s="54">
        <f t="shared" si="40"/>
        <v>10536502854</v>
      </c>
      <c r="K101" s="54">
        <f t="shared" si="40"/>
        <v>-6018988314</v>
      </c>
      <c r="L101" s="54">
        <f t="shared" si="40"/>
        <v>38629047262</v>
      </c>
      <c r="M101" s="54">
        <f t="shared" si="40"/>
        <v>68488275202</v>
      </c>
      <c r="N101" s="54">
        <f t="shared" si="40"/>
        <v>-29859227940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6"/>
      <c r="E103" s="6"/>
      <c r="F103" s="6"/>
      <c r="G103" s="6"/>
      <c r="H103" s="20"/>
      <c r="I103" s="6"/>
      <c r="J103" s="6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104</v>
      </c>
      <c r="D104" s="6">
        <v>9.139093874E9</v>
      </c>
      <c r="E104" s="6">
        <v>1.14144364E8</v>
      </c>
      <c r="F104" s="6">
        <f t="shared" ref="F104:F105" si="41">D104-E104</f>
        <v>9024949510</v>
      </c>
      <c r="G104" s="6">
        <v>0.0</v>
      </c>
      <c r="H104" s="20">
        <v>73760.0</v>
      </c>
      <c r="I104" s="6">
        <v>6.5133825E7</v>
      </c>
      <c r="J104" s="6">
        <v>1.91594672E8</v>
      </c>
      <c r="K104" s="4">
        <f t="shared" ref="K104:K105" si="42">I104-J104</f>
        <v>-126460847</v>
      </c>
      <c r="L104" s="4">
        <f>I104+June!L104</f>
        <v>617959637.9</v>
      </c>
      <c r="M104" s="4">
        <f>J104+June!M104</f>
        <v>872836766.4</v>
      </c>
      <c r="N104" s="4">
        <f t="shared" ref="N104:N105" si="43">L104-M104</f>
        <v>-254877128.5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6">
        <v>3.431507448E9</v>
      </c>
      <c r="E105" s="6">
        <v>4.5993399E7</v>
      </c>
      <c r="F105" s="6">
        <f t="shared" si="41"/>
        <v>3385514049</v>
      </c>
      <c r="G105" s="6">
        <v>0.0</v>
      </c>
      <c r="H105" s="20">
        <v>6269.0</v>
      </c>
      <c r="I105" s="6">
        <v>4.2392556E7</v>
      </c>
      <c r="J105" s="6">
        <v>9.8527126E7</v>
      </c>
      <c r="K105" s="4">
        <f t="shared" si="42"/>
        <v>-56134570</v>
      </c>
      <c r="L105" s="4">
        <f>I105+June!L105</f>
        <v>216661138.1</v>
      </c>
      <c r="M105" s="4">
        <f>J105+June!M105</f>
        <v>567297146.7</v>
      </c>
      <c r="N105" s="4">
        <f t="shared" si="43"/>
        <v>-350636008.6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4" t="s">
        <v>45</v>
      </c>
      <c r="B106" s="2"/>
      <c r="C106" s="3"/>
      <c r="D106" s="54">
        <f t="shared" ref="D106:N106" si="44">D104+D105</f>
        <v>12570601322</v>
      </c>
      <c r="E106" s="54">
        <f t="shared" si="44"/>
        <v>160137763</v>
      </c>
      <c r="F106" s="54">
        <f t="shared" si="44"/>
        <v>12410463559</v>
      </c>
      <c r="G106" s="54">
        <f t="shared" si="44"/>
        <v>0</v>
      </c>
      <c r="H106" s="27">
        <f t="shared" si="44"/>
        <v>80029</v>
      </c>
      <c r="I106" s="54">
        <f t="shared" si="44"/>
        <v>107526381</v>
      </c>
      <c r="J106" s="54">
        <f t="shared" si="44"/>
        <v>290121798</v>
      </c>
      <c r="K106" s="54">
        <f t="shared" si="44"/>
        <v>-182595417</v>
      </c>
      <c r="L106" s="54">
        <f t="shared" si="44"/>
        <v>834620776</v>
      </c>
      <c r="M106" s="54">
        <f t="shared" si="44"/>
        <v>1440133913</v>
      </c>
      <c r="N106" s="54">
        <f t="shared" si="44"/>
        <v>-605513137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0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104</v>
      </c>
      <c r="D108" s="6">
        <v>9.844192996E9</v>
      </c>
      <c r="E108" s="6">
        <v>6.4426057E7</v>
      </c>
      <c r="F108" s="6">
        <f>D108-E108</f>
        <v>9779766939</v>
      </c>
      <c r="G108" s="6">
        <v>0.0</v>
      </c>
      <c r="H108" s="20">
        <v>8116.0</v>
      </c>
      <c r="I108" s="6">
        <v>5.0794283E7</v>
      </c>
      <c r="J108" s="6">
        <v>1.19880601E8</v>
      </c>
      <c r="K108" s="4">
        <f>I108-J108</f>
        <v>-69086318</v>
      </c>
      <c r="L108" s="4">
        <f>I108+June!L108</f>
        <v>415740151.8</v>
      </c>
      <c r="M108" s="4">
        <f>J108+June!M108</f>
        <v>642333974.7</v>
      </c>
      <c r="N108" s="4">
        <f>L108-M108</f>
        <v>-226593822.9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4" t="s">
        <v>89</v>
      </c>
      <c r="B109" s="25"/>
      <c r="C109" s="1"/>
      <c r="D109" s="54">
        <f t="shared" ref="D109:N109" si="45">SUM(D108)</f>
        <v>9844192996</v>
      </c>
      <c r="E109" s="54">
        <f t="shared" si="45"/>
        <v>64426057</v>
      </c>
      <c r="F109" s="54">
        <f t="shared" si="45"/>
        <v>9779766939</v>
      </c>
      <c r="G109" s="54">
        <f t="shared" si="45"/>
        <v>0</v>
      </c>
      <c r="H109" s="27">
        <f t="shared" si="45"/>
        <v>8116</v>
      </c>
      <c r="I109" s="54">
        <f t="shared" si="45"/>
        <v>50794283</v>
      </c>
      <c r="J109" s="54">
        <f t="shared" si="45"/>
        <v>119880601</v>
      </c>
      <c r="K109" s="54">
        <f t="shared" si="45"/>
        <v>-69086318</v>
      </c>
      <c r="L109" s="54">
        <f t="shared" si="45"/>
        <v>415740151.8</v>
      </c>
      <c r="M109" s="54">
        <f t="shared" si="45"/>
        <v>642333974.7</v>
      </c>
      <c r="N109" s="54">
        <f t="shared" si="45"/>
        <v>-226593822.9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105</v>
      </c>
      <c r="B110" s="31"/>
      <c r="C110" s="29"/>
      <c r="D110" s="54">
        <f t="shared" ref="D110:N110" si="46">SUM(D106+D109)</f>
        <v>22414794318</v>
      </c>
      <c r="E110" s="54">
        <f t="shared" si="46"/>
        <v>224563820</v>
      </c>
      <c r="F110" s="54">
        <f t="shared" si="46"/>
        <v>22190230498</v>
      </c>
      <c r="G110" s="54">
        <f t="shared" si="46"/>
        <v>0</v>
      </c>
      <c r="H110" s="27">
        <f t="shared" si="46"/>
        <v>88145</v>
      </c>
      <c r="I110" s="54">
        <f t="shared" si="46"/>
        <v>158320664</v>
      </c>
      <c r="J110" s="54">
        <f t="shared" si="46"/>
        <v>410002399</v>
      </c>
      <c r="K110" s="54">
        <f t="shared" si="46"/>
        <v>-251681735</v>
      </c>
      <c r="L110" s="54">
        <f t="shared" si="46"/>
        <v>1250360928</v>
      </c>
      <c r="M110" s="54">
        <f t="shared" si="46"/>
        <v>2082467888</v>
      </c>
      <c r="N110" s="54">
        <f t="shared" si="46"/>
        <v>-832106960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106</v>
      </c>
      <c r="B111" s="33"/>
      <c r="C111" s="34"/>
      <c r="D111" s="55">
        <f t="shared" ref="D111:N111" si="47">D39+D63+D89+D101+D110</f>
        <v>250130579588</v>
      </c>
      <c r="E111" s="55">
        <f t="shared" si="47"/>
        <v>2704576774</v>
      </c>
      <c r="F111" s="55">
        <f t="shared" si="47"/>
        <v>247426002814</v>
      </c>
      <c r="G111" s="55">
        <f t="shared" si="47"/>
        <v>73307851585</v>
      </c>
      <c r="H111" s="36">
        <f t="shared" si="47"/>
        <v>1181844</v>
      </c>
      <c r="I111" s="55">
        <f t="shared" si="47"/>
        <v>5619227762</v>
      </c>
      <c r="J111" s="55">
        <f t="shared" si="47"/>
        <v>12809663546</v>
      </c>
      <c r="K111" s="55">
        <f t="shared" si="47"/>
        <v>-7190435785</v>
      </c>
      <c r="L111" s="55">
        <f t="shared" si="47"/>
        <v>47906259514</v>
      </c>
      <c r="M111" s="55">
        <f t="shared" si="47"/>
        <v>83081421013</v>
      </c>
      <c r="N111" s="55">
        <f t="shared" si="47"/>
        <v>-35175161499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7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7"/>
      <c r="B113" s="37"/>
      <c r="C113" s="3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7"/>
      <c r="B114" s="37"/>
      <c r="C114" s="3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7"/>
      <c r="B115" s="37"/>
      <c r="C115" s="37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122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4.277955375E9</v>
      </c>
      <c r="E9" s="6">
        <v>1.260915E7</v>
      </c>
      <c r="F9" s="6">
        <f t="shared" ref="F9:F27" si="1">D9-E9</f>
        <v>4265346225</v>
      </c>
      <c r="G9" s="6">
        <v>3.929807319E9</v>
      </c>
      <c r="H9" s="6">
        <v>6961.0</v>
      </c>
      <c r="I9" s="6">
        <v>5348756.0</v>
      </c>
      <c r="J9" s="6">
        <v>4.0498436E7</v>
      </c>
      <c r="K9" s="4">
        <f t="shared" ref="K9:K27" si="2">I9-J9</f>
        <v>-35149680</v>
      </c>
      <c r="L9" s="4">
        <f>I9+July!L9</f>
        <v>66493393.19</v>
      </c>
      <c r="M9" s="4">
        <f>J9+July!M9</f>
        <v>351047781.1</v>
      </c>
      <c r="N9" s="4">
        <f t="shared" ref="N9:N27" si="3">L9-M9</f>
        <v>-284554387.9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6">
        <v>7.6733546696E8</v>
      </c>
      <c r="E10" s="6">
        <v>-560323.51</v>
      </c>
      <c r="F10" s="6">
        <f t="shared" si="1"/>
        <v>767895790.5</v>
      </c>
      <c r="G10" s="6">
        <v>7.2462331132E8</v>
      </c>
      <c r="H10" s="6">
        <v>251.0</v>
      </c>
      <c r="I10" s="6">
        <v>4685632.63</v>
      </c>
      <c r="J10" s="6">
        <v>5978245.71</v>
      </c>
      <c r="K10" s="4">
        <f t="shared" si="2"/>
        <v>-1292613.08</v>
      </c>
      <c r="L10" s="4">
        <f>I10+July!L10</f>
        <v>41764832.19</v>
      </c>
      <c r="M10" s="4">
        <f>J10+July!M10</f>
        <v>67042302.57</v>
      </c>
      <c r="N10" s="4">
        <f t="shared" si="3"/>
        <v>-25277470.38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6">
        <v>1.37039591195E9</v>
      </c>
      <c r="E11" s="6">
        <v>5.259834025E7</v>
      </c>
      <c r="F11" s="6">
        <f t="shared" si="1"/>
        <v>1317797572</v>
      </c>
      <c r="G11" s="6">
        <v>1.24864099085E9</v>
      </c>
      <c r="H11" s="6">
        <v>2777.0</v>
      </c>
      <c r="I11" s="6">
        <v>7.56430377E7</v>
      </c>
      <c r="J11" s="6">
        <v>1.47200204E7</v>
      </c>
      <c r="K11" s="4">
        <f t="shared" si="2"/>
        <v>60923017.3</v>
      </c>
      <c r="L11" s="4">
        <f>I11+July!L11</f>
        <v>497423342.2</v>
      </c>
      <c r="M11" s="4">
        <f>J11+July!M11</f>
        <v>429157721.2</v>
      </c>
      <c r="N11" s="4">
        <f t="shared" si="3"/>
        <v>68265621.01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3.423592087E8</v>
      </c>
      <c r="E12" s="6">
        <v>1.228055871E7</v>
      </c>
      <c r="F12" s="6">
        <f t="shared" si="1"/>
        <v>330078650</v>
      </c>
      <c r="G12" s="6">
        <v>2.4533090516E8</v>
      </c>
      <c r="H12" s="6">
        <v>1788.0</v>
      </c>
      <c r="I12" s="6">
        <v>1506262.1</v>
      </c>
      <c r="J12" s="6">
        <v>798482.81</v>
      </c>
      <c r="K12" s="4">
        <f t="shared" si="2"/>
        <v>707779.29</v>
      </c>
      <c r="L12" s="4">
        <f>I12+July!L12</f>
        <v>5234067.78</v>
      </c>
      <c r="M12" s="4">
        <f>J12+July!M12</f>
        <v>2320830.89</v>
      </c>
      <c r="N12" s="4">
        <f t="shared" si="3"/>
        <v>2913236.89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4.71948217E8</v>
      </c>
      <c r="E13" s="6">
        <v>5630047.0</v>
      </c>
      <c r="F13" s="6">
        <f t="shared" si="1"/>
        <v>466318170</v>
      </c>
      <c r="G13" s="6">
        <v>4.35796137E8</v>
      </c>
      <c r="H13" s="6">
        <v>1355.0</v>
      </c>
      <c r="I13" s="6">
        <v>357203.0</v>
      </c>
      <c r="J13" s="6">
        <v>1.3757435E7</v>
      </c>
      <c r="K13" s="4">
        <f t="shared" si="2"/>
        <v>-13400232</v>
      </c>
      <c r="L13" s="4">
        <f>I13+July!L13</f>
        <v>4585082.54</v>
      </c>
      <c r="M13" s="4">
        <f>J13+July!M13</f>
        <v>30501399.44</v>
      </c>
      <c r="N13" s="4">
        <f t="shared" si="3"/>
        <v>-25916316.9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3.980478272E9</v>
      </c>
      <c r="E14" s="6">
        <v>4.5783369E7</v>
      </c>
      <c r="F14" s="6">
        <f t="shared" si="1"/>
        <v>3934694903</v>
      </c>
      <c r="G14" s="6">
        <v>3.535036433E9</v>
      </c>
      <c r="H14" s="6">
        <v>15770.0</v>
      </c>
      <c r="I14" s="6">
        <v>8.1774824E7</v>
      </c>
      <c r="J14" s="6">
        <v>2.522841E7</v>
      </c>
      <c r="K14" s="4">
        <f t="shared" si="2"/>
        <v>56546414</v>
      </c>
      <c r="L14" s="4">
        <f>I14+July!L14</f>
        <v>231578445.5</v>
      </c>
      <c r="M14" s="4">
        <f>J14+July!M14</f>
        <v>393606996.5</v>
      </c>
      <c r="N14" s="4">
        <f t="shared" si="3"/>
        <v>-162028551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6">
        <v>9.485575E7</v>
      </c>
      <c r="E15" s="6">
        <v>711317.0</v>
      </c>
      <c r="F15" s="6">
        <f t="shared" si="1"/>
        <v>94144433</v>
      </c>
      <c r="G15" s="6">
        <v>9.2187339E7</v>
      </c>
      <c r="H15" s="6">
        <v>527.0</v>
      </c>
      <c r="I15" s="6">
        <v>708406.0</v>
      </c>
      <c r="J15" s="6">
        <v>477757.0</v>
      </c>
      <c r="K15" s="4">
        <f t="shared" si="2"/>
        <v>230649</v>
      </c>
      <c r="L15" s="4">
        <f>I15+July!L15</f>
        <v>8715810.73</v>
      </c>
      <c r="M15" s="4">
        <f>J15+July!M15</f>
        <v>10478365.93</v>
      </c>
      <c r="N15" s="4">
        <f t="shared" si="3"/>
        <v>-1762555.2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1.2984876E8</v>
      </c>
      <c r="E16" s="6">
        <v>2468524.0</v>
      </c>
      <c r="F16" s="6">
        <f t="shared" si="1"/>
        <v>127380236</v>
      </c>
      <c r="G16" s="6">
        <v>1.1969063E8</v>
      </c>
      <c r="H16" s="6">
        <v>50.0</v>
      </c>
      <c r="I16" s="6">
        <v>0.0</v>
      </c>
      <c r="J16" s="6">
        <v>0.0</v>
      </c>
      <c r="K16" s="4">
        <f t="shared" si="2"/>
        <v>0</v>
      </c>
      <c r="L16" s="4">
        <f>I16+July!L16</f>
        <v>100241.49</v>
      </c>
      <c r="M16" s="4">
        <f>J16+July!M16</f>
        <v>2461357.93</v>
      </c>
      <c r="N16" s="4">
        <f t="shared" si="3"/>
        <v>-2361116.44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1.196479356E9</v>
      </c>
      <c r="E17" s="6">
        <v>3.7983738E7</v>
      </c>
      <c r="F17" s="6">
        <f t="shared" si="1"/>
        <v>1158495618</v>
      </c>
      <c r="G17" s="6">
        <v>1.178992014E9</v>
      </c>
      <c r="H17" s="6">
        <v>11924.0</v>
      </c>
      <c r="I17" s="6">
        <v>0.0</v>
      </c>
      <c r="J17" s="6">
        <v>1.5765769E7</v>
      </c>
      <c r="K17" s="4">
        <f t="shared" si="2"/>
        <v>-15765769</v>
      </c>
      <c r="L17" s="4">
        <f>I17+July!L17</f>
        <v>0</v>
      </c>
      <c r="M17" s="4">
        <f>J17+July!M17</f>
        <v>97483995.74</v>
      </c>
      <c r="N17" s="4">
        <f t="shared" si="3"/>
        <v>-97483995.74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3.446600324E9</v>
      </c>
      <c r="E18" s="6">
        <v>3.077732E7</v>
      </c>
      <c r="F18" s="6">
        <f t="shared" si="1"/>
        <v>3415823004</v>
      </c>
      <c r="G18" s="6">
        <v>3.159361355E9</v>
      </c>
      <c r="H18" s="6">
        <v>11858.0</v>
      </c>
      <c r="I18" s="6">
        <v>2383702.0</v>
      </c>
      <c r="J18" s="6">
        <v>2.0442365E7</v>
      </c>
      <c r="K18" s="4">
        <f t="shared" si="2"/>
        <v>-18058663</v>
      </c>
      <c r="L18" s="4">
        <f>I18+July!L18</f>
        <v>21835967.7</v>
      </c>
      <c r="M18" s="4">
        <f>J18+July!M18</f>
        <v>251996186.5</v>
      </c>
      <c r="N18" s="4">
        <f t="shared" si="3"/>
        <v>-230160218.8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2.1308823945E9</v>
      </c>
      <c r="E19" s="6">
        <v>1.10197716E7</v>
      </c>
      <c r="F19" s="6">
        <f t="shared" si="1"/>
        <v>2119862623</v>
      </c>
      <c r="G19" s="6">
        <v>1.86605291423E9</v>
      </c>
      <c r="H19" s="6">
        <v>5272.0</v>
      </c>
      <c r="I19" s="6">
        <v>1856957.1</v>
      </c>
      <c r="J19" s="6">
        <v>1.972619284E7</v>
      </c>
      <c r="K19" s="4">
        <f t="shared" si="2"/>
        <v>-17869235.74</v>
      </c>
      <c r="L19" s="4">
        <f>I19+July!L19</f>
        <v>145268205.4</v>
      </c>
      <c r="M19" s="4">
        <f>J19+July!M19</f>
        <v>55030333.39</v>
      </c>
      <c r="N19" s="4">
        <f t="shared" si="3"/>
        <v>90237872.02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9.12345036761E9</v>
      </c>
      <c r="E20" s="6">
        <v>3.252296997E7</v>
      </c>
      <c r="F20" s="6">
        <f t="shared" si="1"/>
        <v>9090927398</v>
      </c>
      <c r="G20" s="6">
        <v>8.49706471677E9</v>
      </c>
      <c r="H20" s="6">
        <v>34956.0</v>
      </c>
      <c r="I20" s="6">
        <v>1.142016582E7</v>
      </c>
      <c r="J20" s="6">
        <v>2.816608585E7</v>
      </c>
      <c r="K20" s="4">
        <f t="shared" si="2"/>
        <v>-16745920.03</v>
      </c>
      <c r="L20" s="4">
        <f>I20+July!L20</f>
        <v>119574128.4</v>
      </c>
      <c r="M20" s="4">
        <f>J20+July!M20</f>
        <v>514199942.8</v>
      </c>
      <c r="N20" s="4">
        <f t="shared" si="3"/>
        <v>-394625814.4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2.9946626082E8</v>
      </c>
      <c r="E21" s="6">
        <v>6076531.95</v>
      </c>
      <c r="F21" s="6">
        <f t="shared" si="1"/>
        <v>293389728.9</v>
      </c>
      <c r="G21" s="6">
        <v>2.9146377279E8</v>
      </c>
      <c r="H21" s="6">
        <v>970.0</v>
      </c>
      <c r="I21" s="6">
        <v>564218.0</v>
      </c>
      <c r="J21" s="6">
        <v>505650.91</v>
      </c>
      <c r="K21" s="4">
        <f t="shared" si="2"/>
        <v>58567.09</v>
      </c>
      <c r="L21" s="4">
        <f>I21+July!L21</f>
        <v>2649633.32</v>
      </c>
      <c r="M21" s="4">
        <f>J21+July!M21</f>
        <v>9059999.79</v>
      </c>
      <c r="N21" s="4">
        <f t="shared" si="3"/>
        <v>-6410366.47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3.63919245369E9</v>
      </c>
      <c r="E22" s="6">
        <v>8311890.91</v>
      </c>
      <c r="F22" s="6">
        <f t="shared" si="1"/>
        <v>3630880563</v>
      </c>
      <c r="G22" s="6">
        <v>3.56666940937E9</v>
      </c>
      <c r="H22" s="6">
        <v>26072.0</v>
      </c>
      <c r="I22" s="6">
        <v>1.112694617E7</v>
      </c>
      <c r="J22" s="6">
        <v>1.291657561E7</v>
      </c>
      <c r="K22" s="4">
        <f t="shared" si="2"/>
        <v>-1789629.44</v>
      </c>
      <c r="L22" s="4">
        <f>I22+July!L22</f>
        <v>294247813.3</v>
      </c>
      <c r="M22" s="4">
        <f>J22+July!M22</f>
        <v>270657919.8</v>
      </c>
      <c r="N22" s="4">
        <f t="shared" si="3"/>
        <v>23589893.48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8.05811224E9</v>
      </c>
      <c r="E23" s="6">
        <v>2.5253079E7</v>
      </c>
      <c r="F23" s="6">
        <f t="shared" si="1"/>
        <v>8032859161</v>
      </c>
      <c r="G23" s="6">
        <v>7.978813181E9</v>
      </c>
      <c r="H23" s="6">
        <v>13773.0</v>
      </c>
      <c r="I23" s="6">
        <v>952516.0</v>
      </c>
      <c r="J23" s="6">
        <v>9.1412494E7</v>
      </c>
      <c r="K23" s="4">
        <f t="shared" si="2"/>
        <v>-90459978</v>
      </c>
      <c r="L23" s="4">
        <f>I23+July!L23</f>
        <v>12796914</v>
      </c>
      <c r="M23" s="4">
        <f>J23+July!M23</f>
        <v>729723171.6</v>
      </c>
      <c r="N23" s="4">
        <f t="shared" si="3"/>
        <v>-716926257.6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6">
        <v>3.28679541131E9</v>
      </c>
      <c r="E24" s="6">
        <v>506871.61</v>
      </c>
      <c r="F24" s="6">
        <f t="shared" si="1"/>
        <v>3286288540</v>
      </c>
      <c r="G24" s="6">
        <v>3.08500960201E9</v>
      </c>
      <c r="H24" s="6">
        <v>14383.0</v>
      </c>
      <c r="I24" s="6">
        <v>4.206091229E7</v>
      </c>
      <c r="J24" s="6">
        <v>3904030.0</v>
      </c>
      <c r="K24" s="4">
        <f t="shared" si="2"/>
        <v>38156882.29</v>
      </c>
      <c r="L24" s="4">
        <f>I24+July!L24</f>
        <v>349685564.1</v>
      </c>
      <c r="M24" s="4">
        <f>J24+July!M24</f>
        <v>28479007.7</v>
      </c>
      <c r="N24" s="4">
        <f t="shared" si="3"/>
        <v>321206556.4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6">
        <v>6.565092988E9</v>
      </c>
      <c r="E25" s="6">
        <v>2.9993043E7</v>
      </c>
      <c r="F25" s="6">
        <f t="shared" si="1"/>
        <v>6535099945</v>
      </c>
      <c r="G25" s="6">
        <v>6.40117404E9</v>
      </c>
      <c r="H25" s="6">
        <v>66731.0</v>
      </c>
      <c r="I25" s="6">
        <v>3.8426276E7</v>
      </c>
      <c r="J25" s="6">
        <v>4.4148479E7</v>
      </c>
      <c r="K25" s="4">
        <f t="shared" si="2"/>
        <v>-5722203</v>
      </c>
      <c r="L25" s="4">
        <f>I25+July!L25</f>
        <v>278088247.6</v>
      </c>
      <c r="M25" s="4">
        <f>J25+July!M25</f>
        <v>667546192.7</v>
      </c>
      <c r="N25" s="4">
        <f t="shared" si="3"/>
        <v>-389457945.1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6">
        <v>1.1050107602E10</v>
      </c>
      <c r="E26" s="6">
        <v>6.6310071E7</v>
      </c>
      <c r="F26" s="6">
        <f t="shared" si="1"/>
        <v>10983797531</v>
      </c>
      <c r="G26" s="6">
        <v>1.0936414165E10</v>
      </c>
      <c r="H26" s="6">
        <v>57533.0</v>
      </c>
      <c r="I26" s="6">
        <v>1.57043495E8</v>
      </c>
      <c r="J26" s="6">
        <v>3.60179976E8</v>
      </c>
      <c r="K26" s="4">
        <f t="shared" si="2"/>
        <v>-203136481</v>
      </c>
      <c r="L26" s="4">
        <f>I26+July!L26</f>
        <v>1335736838</v>
      </c>
      <c r="M26" s="4">
        <f>J26+July!M26</f>
        <v>1656600721</v>
      </c>
      <c r="N26" s="4">
        <f t="shared" si="3"/>
        <v>-320863883.8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5.7498389034E8</v>
      </c>
      <c r="E27" s="6">
        <v>8506454.94</v>
      </c>
      <c r="F27" s="6">
        <f t="shared" si="1"/>
        <v>566477435.4</v>
      </c>
      <c r="G27" s="6">
        <v>4.869891143E8</v>
      </c>
      <c r="H27" s="6">
        <v>1265.0</v>
      </c>
      <c r="I27" s="6">
        <v>237517.65</v>
      </c>
      <c r="J27" s="6">
        <v>598161.98</v>
      </c>
      <c r="K27" s="4">
        <f t="shared" si="2"/>
        <v>-360644.33</v>
      </c>
      <c r="L27" s="4">
        <f>I27+July!L27</f>
        <v>5428095.27</v>
      </c>
      <c r="M27" s="4">
        <f>J27+July!M27</f>
        <v>8664668.57</v>
      </c>
      <c r="N27" s="4">
        <f t="shared" si="3"/>
        <v>-3236573.3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41</v>
      </c>
      <c r="D29" s="6">
        <v>2.0148871228E8</v>
      </c>
      <c r="E29" s="6">
        <v>1156853.74</v>
      </c>
      <c r="F29" s="6">
        <f t="shared" ref="F29:F31" si="4">D29-E29</f>
        <v>200331858.5</v>
      </c>
      <c r="G29" s="6">
        <v>1.9719277073E8</v>
      </c>
      <c r="H29" s="6">
        <v>2332.0</v>
      </c>
      <c r="I29" s="6">
        <v>6352874.87</v>
      </c>
      <c r="J29" s="6">
        <v>1842529.53</v>
      </c>
      <c r="K29" s="4">
        <f t="shared" ref="K29:K31" si="5">I29-J29</f>
        <v>4510345.34</v>
      </c>
      <c r="L29" s="4">
        <f>I29+July!L29</f>
        <v>110115063.3</v>
      </c>
      <c r="M29" s="4">
        <f>J29+July!M29</f>
        <v>9173235.34</v>
      </c>
      <c r="N29" s="4">
        <f t="shared" ref="N29:N31" si="6">L29-M29</f>
        <v>100941828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6">
        <v>3.1246645945E8</v>
      </c>
      <c r="E30" s="6">
        <v>1165237.1</v>
      </c>
      <c r="F30" s="6">
        <f t="shared" si="4"/>
        <v>311301222.4</v>
      </c>
      <c r="G30" s="6">
        <v>2.826285309E8</v>
      </c>
      <c r="H30" s="6">
        <v>1342.0</v>
      </c>
      <c r="I30" s="6">
        <v>1556709.57</v>
      </c>
      <c r="J30" s="6">
        <v>620903.62</v>
      </c>
      <c r="K30" s="4">
        <f t="shared" si="5"/>
        <v>935805.95</v>
      </c>
      <c r="L30" s="4">
        <f>I30+July!L30</f>
        <v>16436122.32</v>
      </c>
      <c r="M30" s="4">
        <f>J30+July!M30</f>
        <v>22911480.43</v>
      </c>
      <c r="N30" s="4">
        <f t="shared" si="6"/>
        <v>-6475358.11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6">
        <v>5.69285343E8</v>
      </c>
      <c r="E31" s="6">
        <v>2.9497284E7</v>
      </c>
      <c r="F31" s="6">
        <f t="shared" si="4"/>
        <v>539788059</v>
      </c>
      <c r="G31" s="6">
        <v>5.32378903E8</v>
      </c>
      <c r="H31" s="6">
        <v>555980.0</v>
      </c>
      <c r="I31" s="6">
        <v>5.9462409E7</v>
      </c>
      <c r="J31" s="6">
        <v>1.9451278E7</v>
      </c>
      <c r="K31" s="4">
        <f t="shared" si="5"/>
        <v>40011131</v>
      </c>
      <c r="L31" s="4">
        <f>I31+July!L31</f>
        <v>246947546.4</v>
      </c>
      <c r="M31" s="4">
        <f>J31+July!M31</f>
        <v>162359824.4</v>
      </c>
      <c r="N31" s="4">
        <f t="shared" si="6"/>
        <v>84587721.92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6"/>
      <c r="E32" s="6"/>
      <c r="F32" s="6"/>
      <c r="G32" s="6"/>
      <c r="H32" s="6"/>
      <c r="I32" s="6"/>
      <c r="J32" s="6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6">
        <v>2.056237778E9</v>
      </c>
      <c r="E33" s="6">
        <v>1.1730326E7</v>
      </c>
      <c r="F33" s="6">
        <f>D33-E33</f>
        <v>2044507452</v>
      </c>
      <c r="G33" s="6">
        <v>2.035689601E9</v>
      </c>
      <c r="H33" s="6">
        <v>3286.0</v>
      </c>
      <c r="I33" s="6">
        <v>2.1604776E7</v>
      </c>
      <c r="J33" s="6">
        <v>2.5724592E7</v>
      </c>
      <c r="K33" s="4">
        <f>I33-J33</f>
        <v>-4119816</v>
      </c>
      <c r="L33" s="4">
        <f>I33+July!L33</f>
        <v>54958969</v>
      </c>
      <c r="M33" s="4">
        <f>J33+July!M33</f>
        <v>138948331</v>
      </c>
      <c r="N33" s="4">
        <f>L33-M33</f>
        <v>-83989362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54">
        <f t="shared" ref="D34:N34" si="7">SUM(D9:D33)</f>
        <v>63945818543</v>
      </c>
      <c r="E34" s="54">
        <f t="shared" si="7"/>
        <v>432332425.3</v>
      </c>
      <c r="F34" s="54">
        <f t="shared" si="7"/>
        <v>63513486117</v>
      </c>
      <c r="G34" s="54">
        <f t="shared" si="7"/>
        <v>60827007155</v>
      </c>
      <c r="H34" s="27">
        <f t="shared" si="7"/>
        <v>837156</v>
      </c>
      <c r="I34" s="54">
        <f t="shared" si="7"/>
        <v>525073596.9</v>
      </c>
      <c r="J34" s="54">
        <f t="shared" si="7"/>
        <v>746863870.3</v>
      </c>
      <c r="K34" s="54">
        <f t="shared" si="7"/>
        <v>-221790273.4</v>
      </c>
      <c r="L34" s="54">
        <f t="shared" si="7"/>
        <v>3849664323</v>
      </c>
      <c r="M34" s="54">
        <f t="shared" si="7"/>
        <v>5909451767</v>
      </c>
      <c r="N34" s="54">
        <f t="shared" si="7"/>
        <v>-2059787443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6"/>
      <c r="E35" s="6"/>
      <c r="F35" s="6"/>
      <c r="G35" s="6"/>
      <c r="H35" s="20"/>
      <c r="I35" s="6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56">
        <f>56.595*608767.94</f>
        <v>34453221.56</v>
      </c>
      <c r="E36" s="56">
        <f>56.595*13108.91</f>
        <v>741898.7615</v>
      </c>
      <c r="F36" s="6">
        <f t="shared" ref="F36:F37" si="8">D36-E36</f>
        <v>33711322.8</v>
      </c>
      <c r="G36" s="6">
        <v>561843.8</v>
      </c>
      <c r="H36" s="6">
        <v>54.0</v>
      </c>
      <c r="I36" s="56">
        <f>56.595*1098.54</f>
        <v>62171.8713</v>
      </c>
      <c r="J36" s="56">
        <f>56.595*872.31</f>
        <v>49368.38445</v>
      </c>
      <c r="K36" s="4">
        <f t="shared" ref="K36:K37" si="9">I36-J36</f>
        <v>12803.48685</v>
      </c>
      <c r="L36" s="4">
        <f>I36+July!L36</f>
        <v>211567.2981</v>
      </c>
      <c r="M36" s="4">
        <f>J36+July!M36</f>
        <v>378145.6639</v>
      </c>
      <c r="N36" s="4">
        <f t="shared" ref="N36:N37" si="10">L36-M36</f>
        <v>-166578.3658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6">
        <v>2.006644857E9</v>
      </c>
      <c r="E37" s="6">
        <v>3.2279473E7</v>
      </c>
      <c r="F37" s="6">
        <f t="shared" si="8"/>
        <v>1974365384</v>
      </c>
      <c r="G37" s="6">
        <v>0.0</v>
      </c>
      <c r="H37" s="6">
        <v>2905.0</v>
      </c>
      <c r="I37" s="6">
        <v>4544421.0</v>
      </c>
      <c r="J37" s="6">
        <v>7678317.0</v>
      </c>
      <c r="K37" s="4">
        <f t="shared" si="9"/>
        <v>-3133896</v>
      </c>
      <c r="L37" s="4">
        <f>I37+July!L37</f>
        <v>49597220.47</v>
      </c>
      <c r="M37" s="4">
        <f>J37+July!M37</f>
        <v>115384144.4</v>
      </c>
      <c r="N37" s="4">
        <f t="shared" si="10"/>
        <v>-65786923.96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54">
        <f t="shared" ref="D38:N38" si="11">SUM(D36:D37)</f>
        <v>2041098079</v>
      </c>
      <c r="E38" s="54">
        <f t="shared" si="11"/>
        <v>33021371.76</v>
      </c>
      <c r="F38" s="54">
        <f t="shared" si="11"/>
        <v>2008076707</v>
      </c>
      <c r="G38" s="54">
        <f t="shared" si="11"/>
        <v>561843.8</v>
      </c>
      <c r="H38" s="27">
        <f t="shared" si="11"/>
        <v>2959</v>
      </c>
      <c r="I38" s="54">
        <f t="shared" si="11"/>
        <v>4606592.871</v>
      </c>
      <c r="J38" s="54">
        <f t="shared" si="11"/>
        <v>7727685.384</v>
      </c>
      <c r="K38" s="54">
        <f t="shared" si="11"/>
        <v>-3121092.513</v>
      </c>
      <c r="L38" s="54">
        <f t="shared" si="11"/>
        <v>49808787.77</v>
      </c>
      <c r="M38" s="54">
        <f t="shared" si="11"/>
        <v>115762290.1</v>
      </c>
      <c r="N38" s="54">
        <f t="shared" si="11"/>
        <v>-65953502.33</v>
      </c>
      <c r="O38" s="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54">
        <f t="shared" ref="D39:N39" si="12">D34+D38</f>
        <v>65986916621</v>
      </c>
      <c r="E39" s="54">
        <f t="shared" si="12"/>
        <v>465353797</v>
      </c>
      <c r="F39" s="54">
        <f t="shared" si="12"/>
        <v>65521562824</v>
      </c>
      <c r="G39" s="54">
        <f t="shared" si="12"/>
        <v>60827568999</v>
      </c>
      <c r="H39" s="27">
        <f t="shared" si="12"/>
        <v>840115</v>
      </c>
      <c r="I39" s="54">
        <f t="shared" si="12"/>
        <v>529680189.8</v>
      </c>
      <c r="J39" s="54">
        <f t="shared" si="12"/>
        <v>754591555.6</v>
      </c>
      <c r="K39" s="54">
        <f t="shared" si="12"/>
        <v>-224911365.9</v>
      </c>
      <c r="L39" s="54">
        <f t="shared" si="12"/>
        <v>3899473111</v>
      </c>
      <c r="M39" s="54">
        <f t="shared" si="12"/>
        <v>6025214057</v>
      </c>
      <c r="N39" s="54">
        <f t="shared" si="12"/>
        <v>-2125740946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6"/>
      <c r="E41" s="6"/>
      <c r="F41" s="6"/>
      <c r="G41" s="6"/>
      <c r="H41" s="20"/>
      <c r="I41" s="6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6">
        <v>1.2271692656E8</v>
      </c>
      <c r="E42" s="6">
        <v>8061777.57</v>
      </c>
      <c r="F42" s="6">
        <f t="shared" ref="F42:F51" si="13">D42-E42</f>
        <v>114655149</v>
      </c>
      <c r="G42" s="6">
        <v>5.06492601E7</v>
      </c>
      <c r="H42" s="20">
        <v>716.0</v>
      </c>
      <c r="I42" s="6">
        <v>437011.82</v>
      </c>
      <c r="J42" s="4">
        <v>374294.82</v>
      </c>
      <c r="K42" s="4">
        <f t="shared" ref="K42:K51" si="14">I42-J42</f>
        <v>62717</v>
      </c>
      <c r="L42" s="4">
        <f>I42+July!L42</f>
        <v>3131008.6</v>
      </c>
      <c r="M42" s="4">
        <f>J42+July!M42</f>
        <v>3435045.25</v>
      </c>
      <c r="N42" s="4">
        <f t="shared" ref="N42:N51" si="15">L42-M42</f>
        <v>-304036.65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5.7444471117E8</v>
      </c>
      <c r="E43" s="6">
        <v>6.968227654E7</v>
      </c>
      <c r="F43" s="6">
        <f t="shared" si="13"/>
        <v>504762434.6</v>
      </c>
      <c r="G43" s="6">
        <v>2.7491641205E8</v>
      </c>
      <c r="H43" s="20">
        <v>2378.0</v>
      </c>
      <c r="I43" s="6">
        <v>666564.51</v>
      </c>
      <c r="J43" s="4">
        <v>1.124407446E7</v>
      </c>
      <c r="K43" s="4">
        <f t="shared" si="14"/>
        <v>-10577509.95</v>
      </c>
      <c r="L43" s="4">
        <f>I43+July!L43</f>
        <v>7324190.76</v>
      </c>
      <c r="M43" s="4">
        <f>J43+July!M43</f>
        <v>88862760.57</v>
      </c>
      <c r="N43" s="4">
        <f t="shared" si="15"/>
        <v>-81538569.81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9.9353689E8</v>
      </c>
      <c r="E44" s="6">
        <v>8733556.0</v>
      </c>
      <c r="F44" s="6">
        <f t="shared" si="13"/>
        <v>984803334</v>
      </c>
      <c r="G44" s="6">
        <v>5.71286221E8</v>
      </c>
      <c r="H44" s="20">
        <v>4533.0</v>
      </c>
      <c r="I44" s="6">
        <v>1753474.0</v>
      </c>
      <c r="J44" s="4">
        <v>6759853.0</v>
      </c>
      <c r="K44" s="4">
        <f t="shared" si="14"/>
        <v>-5006379</v>
      </c>
      <c r="L44" s="4">
        <f>I44+July!L44</f>
        <v>12002500.55</v>
      </c>
      <c r="M44" s="4">
        <f>J44+July!M44</f>
        <v>63153642.08</v>
      </c>
      <c r="N44" s="4">
        <f t="shared" si="15"/>
        <v>-51151141.53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2.82376973E8</v>
      </c>
      <c r="E45" s="6">
        <v>5473510.0</v>
      </c>
      <c r="F45" s="6">
        <f t="shared" si="13"/>
        <v>276903463</v>
      </c>
      <c r="G45" s="6">
        <v>2.08726682E8</v>
      </c>
      <c r="H45" s="20">
        <v>239.0</v>
      </c>
      <c r="I45" s="6">
        <v>654360.0</v>
      </c>
      <c r="J45" s="4">
        <v>989297.0</v>
      </c>
      <c r="K45" s="4">
        <f t="shared" si="14"/>
        <v>-334937</v>
      </c>
      <c r="L45" s="4">
        <f>I45+July!L45</f>
        <v>34429273.27</v>
      </c>
      <c r="M45" s="4">
        <f>J45+July!M45</f>
        <v>48920531.26</v>
      </c>
      <c r="N45" s="4">
        <f t="shared" si="15"/>
        <v>-14491257.99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3.4290603976E8</v>
      </c>
      <c r="E46" s="6">
        <v>4143831.93</v>
      </c>
      <c r="F46" s="6">
        <f t="shared" si="13"/>
        <v>338762207.8</v>
      </c>
      <c r="G46" s="6">
        <v>1.4887728313E8</v>
      </c>
      <c r="H46" s="20">
        <v>52.0</v>
      </c>
      <c r="I46" s="6">
        <v>0.0</v>
      </c>
      <c r="J46" s="4">
        <v>53635.0</v>
      </c>
      <c r="K46" s="4">
        <f t="shared" si="14"/>
        <v>-53635</v>
      </c>
      <c r="L46" s="4">
        <f>I46+July!L46</f>
        <v>0</v>
      </c>
      <c r="M46" s="4">
        <f>J46+July!M46</f>
        <v>1630696</v>
      </c>
      <c r="N46" s="4">
        <f t="shared" si="15"/>
        <v>-1630696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5.13832218E8</v>
      </c>
      <c r="E47" s="6">
        <v>1.725256E7</v>
      </c>
      <c r="F47" s="6">
        <f t="shared" si="13"/>
        <v>496579658</v>
      </c>
      <c r="G47" s="6">
        <v>2.50888298E8</v>
      </c>
      <c r="H47" s="20">
        <v>9971.0</v>
      </c>
      <c r="I47" s="6">
        <v>449009.0</v>
      </c>
      <c r="J47" s="4">
        <v>9292435.0</v>
      </c>
      <c r="K47" s="4">
        <f t="shared" si="14"/>
        <v>-8843426</v>
      </c>
      <c r="L47" s="4">
        <f>I47+July!L47</f>
        <v>2981353.86</v>
      </c>
      <c r="M47" s="4">
        <f>J47+July!M47</f>
        <v>50391249.57</v>
      </c>
      <c r="N47" s="4">
        <f t="shared" si="15"/>
        <v>-47409895.71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6">
        <v>1.962103209E9</v>
      </c>
      <c r="E48" s="6">
        <v>2.3976414E7</v>
      </c>
      <c r="F48" s="6">
        <f t="shared" si="13"/>
        <v>1938126795</v>
      </c>
      <c r="G48" s="6">
        <v>9.40188466E8</v>
      </c>
      <c r="H48" s="20">
        <v>7983.0</v>
      </c>
      <c r="I48" s="6">
        <v>1981079.0</v>
      </c>
      <c r="J48" s="4">
        <v>1.3501951E7</v>
      </c>
      <c r="K48" s="4">
        <f t="shared" si="14"/>
        <v>-11520872</v>
      </c>
      <c r="L48" s="4">
        <f>I48+July!L48</f>
        <v>16016416.04</v>
      </c>
      <c r="M48" s="4">
        <f>J48+July!M48</f>
        <v>125384232.4</v>
      </c>
      <c r="N48" s="4">
        <f t="shared" si="15"/>
        <v>-109367816.4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6">
        <v>1.19167486E8</v>
      </c>
      <c r="E49" s="6">
        <v>164182.0</v>
      </c>
      <c r="F49" s="6">
        <f t="shared" si="13"/>
        <v>119003304</v>
      </c>
      <c r="G49" s="6">
        <v>6.9324292E7</v>
      </c>
      <c r="H49" s="20">
        <v>194.0</v>
      </c>
      <c r="I49" s="6">
        <v>0.0</v>
      </c>
      <c r="J49" s="4">
        <v>9334202.0</v>
      </c>
      <c r="K49" s="4">
        <f t="shared" si="14"/>
        <v>-9334202</v>
      </c>
      <c r="L49" s="4">
        <f>I49+July!L49</f>
        <v>246291.67</v>
      </c>
      <c r="M49" s="4">
        <f>J49+July!M49</f>
        <v>17279736.55</v>
      </c>
      <c r="N49" s="4">
        <f t="shared" si="15"/>
        <v>-17033444.88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6.857600427E9</v>
      </c>
      <c r="E50" s="6">
        <v>3.5052672E7</v>
      </c>
      <c r="F50" s="6">
        <f t="shared" si="13"/>
        <v>6822547755</v>
      </c>
      <c r="G50" s="6">
        <v>3.698195985E9</v>
      </c>
      <c r="H50" s="20">
        <v>53884.0</v>
      </c>
      <c r="I50" s="6">
        <v>8130401.0</v>
      </c>
      <c r="J50" s="4">
        <v>7.0088396E7</v>
      </c>
      <c r="K50" s="4">
        <f t="shared" si="14"/>
        <v>-61957995</v>
      </c>
      <c r="L50" s="4">
        <f>I50+July!L50</f>
        <v>71873930.15</v>
      </c>
      <c r="M50" s="4">
        <f>J50+July!M50</f>
        <v>415801680.2</v>
      </c>
      <c r="N50" s="4">
        <f t="shared" si="15"/>
        <v>-343927750.1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6">
        <v>1.059366483E9</v>
      </c>
      <c r="E51" s="6">
        <v>1.3968193E7</v>
      </c>
      <c r="F51" s="6">
        <f t="shared" si="13"/>
        <v>1045398290</v>
      </c>
      <c r="G51" s="6">
        <v>6.05876399E8</v>
      </c>
      <c r="H51" s="20">
        <v>4998.0</v>
      </c>
      <c r="I51" s="6">
        <v>0.0</v>
      </c>
      <c r="J51" s="4">
        <v>3.2326701E7</v>
      </c>
      <c r="K51" s="4">
        <f t="shared" si="14"/>
        <v>-32326701</v>
      </c>
      <c r="L51" s="4">
        <f>I51+July!L51</f>
        <v>0</v>
      </c>
      <c r="M51" s="4">
        <f>J51+July!M51</f>
        <v>98844960.81</v>
      </c>
      <c r="N51" s="4">
        <f t="shared" si="15"/>
        <v>-98844960.81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6"/>
      <c r="E52" s="6"/>
      <c r="F52" s="6"/>
      <c r="G52" s="6"/>
      <c r="H52" s="20"/>
      <c r="I52" s="6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7.5679224E7</v>
      </c>
      <c r="E53" s="6">
        <v>345390.0</v>
      </c>
      <c r="F53" s="6">
        <f t="shared" ref="F53:F55" si="16">D53-E53</f>
        <v>75333834</v>
      </c>
      <c r="G53" s="6">
        <v>2.2052702E7</v>
      </c>
      <c r="H53" s="20">
        <v>1111.0</v>
      </c>
      <c r="I53" s="6">
        <v>260102.0</v>
      </c>
      <c r="J53" s="4">
        <v>363270.0</v>
      </c>
      <c r="K53" s="4">
        <f t="shared" ref="K53:K55" si="17">I53-J53</f>
        <v>-103168</v>
      </c>
      <c r="L53" s="4">
        <f>I53+July!L53</f>
        <v>3449136.2</v>
      </c>
      <c r="M53" s="4">
        <f>J53+July!M53</f>
        <v>2747623.55</v>
      </c>
      <c r="N53" s="4">
        <f t="shared" ref="N53:N55" si="18">L53-M53</f>
        <v>701512.65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5.3098179E7</v>
      </c>
      <c r="E54" s="6">
        <v>302651.0</v>
      </c>
      <c r="F54" s="6">
        <f t="shared" si="16"/>
        <v>52795528</v>
      </c>
      <c r="G54" s="6">
        <v>4.1018107E7</v>
      </c>
      <c r="H54" s="20">
        <v>441.0</v>
      </c>
      <c r="I54" s="6">
        <v>106509.0</v>
      </c>
      <c r="J54" s="4">
        <v>30609.0</v>
      </c>
      <c r="K54" s="4">
        <f t="shared" si="17"/>
        <v>75900</v>
      </c>
      <c r="L54" s="4">
        <f>I54+July!L54</f>
        <v>1342626</v>
      </c>
      <c r="M54" s="4">
        <f>J54+July!M54</f>
        <v>1897223.19</v>
      </c>
      <c r="N54" s="4">
        <f t="shared" si="18"/>
        <v>-554597.19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6">
        <v>4.5299847E7</v>
      </c>
      <c r="E55" s="6">
        <v>272993.0</v>
      </c>
      <c r="F55" s="6">
        <f t="shared" si="16"/>
        <v>45026854</v>
      </c>
      <c r="G55" s="6">
        <v>3.7785574E7</v>
      </c>
      <c r="H55" s="20">
        <v>202.0</v>
      </c>
      <c r="I55" s="6">
        <v>53484.0</v>
      </c>
      <c r="J55" s="4">
        <v>0.0</v>
      </c>
      <c r="K55" s="4">
        <f t="shared" si="17"/>
        <v>53484</v>
      </c>
      <c r="L55" s="4">
        <f>I55+July!L55</f>
        <v>442138</v>
      </c>
      <c r="M55" s="4">
        <f>J55+July!M55</f>
        <v>125981.96</v>
      </c>
      <c r="N55" s="4">
        <f t="shared" si="18"/>
        <v>316156.04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54">
        <f t="shared" ref="D56:N56" si="19">SUM(D42:D55)</f>
        <v>13002128613</v>
      </c>
      <c r="E56" s="54">
        <f t="shared" si="19"/>
        <v>187430007</v>
      </c>
      <c r="F56" s="54">
        <f t="shared" si="19"/>
        <v>12814698606</v>
      </c>
      <c r="G56" s="54">
        <f t="shared" si="19"/>
        <v>6919785681</v>
      </c>
      <c r="H56" s="27">
        <f t="shared" si="19"/>
        <v>86702</v>
      </c>
      <c r="I56" s="54">
        <f t="shared" si="19"/>
        <v>14491994.33</v>
      </c>
      <c r="J56" s="54">
        <f t="shared" si="19"/>
        <v>154358718.3</v>
      </c>
      <c r="K56" s="54">
        <f t="shared" si="19"/>
        <v>-139866724</v>
      </c>
      <c r="L56" s="54">
        <f t="shared" si="19"/>
        <v>153238865.1</v>
      </c>
      <c r="M56" s="54">
        <f t="shared" si="19"/>
        <v>918475363.4</v>
      </c>
      <c r="N56" s="54">
        <f t="shared" si="19"/>
        <v>-765236498.3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6"/>
      <c r="E57" s="6"/>
      <c r="F57" s="6"/>
      <c r="G57" s="6"/>
      <c r="H57" s="20"/>
      <c r="I57" s="6"/>
      <c r="J57" s="4"/>
      <c r="K57" s="4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108</v>
      </c>
      <c r="D58" s="6">
        <v>7.253352047E7</v>
      </c>
      <c r="E58" s="6">
        <v>473726.18</v>
      </c>
      <c r="F58" s="6">
        <f t="shared" ref="F58:F61" si="20">D58-E58</f>
        <v>72059794.29</v>
      </c>
      <c r="G58" s="6">
        <v>0.0</v>
      </c>
      <c r="H58" s="20">
        <v>51.0</v>
      </c>
      <c r="I58" s="6">
        <v>0.0</v>
      </c>
      <c r="J58" s="6">
        <v>0.0</v>
      </c>
      <c r="K58" s="4">
        <f t="shared" ref="K58:K61" si="21">I58-J58</f>
        <v>0</v>
      </c>
      <c r="L58" s="4">
        <f>I58+July!L58</f>
        <v>0</v>
      </c>
      <c r="M58" s="4">
        <f>J58+July!M58</f>
        <v>447875.7492</v>
      </c>
      <c r="N58" s="4">
        <f t="shared" ref="N58:N61" si="22">L58-M58</f>
        <v>-447875.7492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6">
        <v>3.42496328E8</v>
      </c>
      <c r="E59" s="6">
        <v>2.843786E7</v>
      </c>
      <c r="F59" s="6">
        <f t="shared" si="20"/>
        <v>314058468</v>
      </c>
      <c r="G59" s="6">
        <v>2941067.0</v>
      </c>
      <c r="H59" s="20">
        <v>249.0</v>
      </c>
      <c r="I59" s="6">
        <v>0.0</v>
      </c>
      <c r="J59" s="6">
        <v>320466.0</v>
      </c>
      <c r="K59" s="4">
        <f t="shared" si="21"/>
        <v>-320466</v>
      </c>
      <c r="L59" s="4">
        <f>I59+July!L59</f>
        <v>5631.4684</v>
      </c>
      <c r="M59" s="4">
        <f>J59+July!M59</f>
        <v>14882194.77</v>
      </c>
      <c r="N59" s="4">
        <f t="shared" si="22"/>
        <v>-14876563.3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v>1.592254523E9</v>
      </c>
      <c r="E60" s="6">
        <v>1.9308912E7</v>
      </c>
      <c r="F60" s="6">
        <f t="shared" si="20"/>
        <v>1572945611</v>
      </c>
      <c r="G60" s="6">
        <v>0.0</v>
      </c>
      <c r="H60" s="20">
        <v>4155.0</v>
      </c>
      <c r="I60" s="6">
        <v>2459932.0</v>
      </c>
      <c r="J60" s="6">
        <v>9424688.0</v>
      </c>
      <c r="K60" s="4">
        <f t="shared" si="21"/>
        <v>-6964756</v>
      </c>
      <c r="L60" s="4">
        <f>I60+July!L60</f>
        <v>15397080.29</v>
      </c>
      <c r="M60" s="4">
        <f>J60+July!M60</f>
        <v>93233963.24</v>
      </c>
      <c r="N60" s="4">
        <f t="shared" si="22"/>
        <v>-77836882.95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6">
        <v>2.65261925E8</v>
      </c>
      <c r="E61" s="6">
        <v>4093208.0</v>
      </c>
      <c r="F61" s="6">
        <f t="shared" si="20"/>
        <v>261168717</v>
      </c>
      <c r="G61" s="6">
        <v>0.0</v>
      </c>
      <c r="H61" s="20">
        <v>737.0</v>
      </c>
      <c r="I61" s="6">
        <v>618962.0</v>
      </c>
      <c r="J61" s="6">
        <v>2385052.0</v>
      </c>
      <c r="K61" s="4">
        <f t="shared" si="21"/>
        <v>-1766090</v>
      </c>
      <c r="L61" s="4">
        <f>I61+July!L61</f>
        <v>9480475.064</v>
      </c>
      <c r="M61" s="4">
        <f>J61+July!M61</f>
        <v>52819230.42</v>
      </c>
      <c r="N61" s="4">
        <f t="shared" si="22"/>
        <v>-43338755.35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54">
        <f t="shared" ref="D62:N62" si="23">SUM(D58:D61)</f>
        <v>2272546296</v>
      </c>
      <c r="E62" s="54">
        <f t="shared" si="23"/>
        <v>52313706.18</v>
      </c>
      <c r="F62" s="54">
        <f t="shared" si="23"/>
        <v>2220232590</v>
      </c>
      <c r="G62" s="54">
        <f t="shared" si="23"/>
        <v>2941067</v>
      </c>
      <c r="H62" s="27">
        <f t="shared" si="23"/>
        <v>5192</v>
      </c>
      <c r="I62" s="54">
        <f t="shared" si="23"/>
        <v>3078894</v>
      </c>
      <c r="J62" s="54">
        <f t="shared" si="23"/>
        <v>12130206</v>
      </c>
      <c r="K62" s="54">
        <f t="shared" si="23"/>
        <v>-9051312</v>
      </c>
      <c r="L62" s="54">
        <f t="shared" si="23"/>
        <v>24883186.82</v>
      </c>
      <c r="M62" s="54">
        <f t="shared" si="23"/>
        <v>161383264.2</v>
      </c>
      <c r="N62" s="54">
        <f t="shared" si="23"/>
        <v>-136500077.4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54">
        <f t="shared" ref="D63:N63" si="24">D56+D62</f>
        <v>15274674910</v>
      </c>
      <c r="E63" s="54">
        <f t="shared" si="24"/>
        <v>239743713.2</v>
      </c>
      <c r="F63" s="54">
        <f t="shared" si="24"/>
        <v>15034931197</v>
      </c>
      <c r="G63" s="54">
        <f t="shared" si="24"/>
        <v>6922726748</v>
      </c>
      <c r="H63" s="27">
        <f t="shared" si="24"/>
        <v>91894</v>
      </c>
      <c r="I63" s="54">
        <f t="shared" si="24"/>
        <v>17570888.33</v>
      </c>
      <c r="J63" s="54">
        <f t="shared" si="24"/>
        <v>166488924.3</v>
      </c>
      <c r="K63" s="54">
        <f t="shared" si="24"/>
        <v>-148918036</v>
      </c>
      <c r="L63" s="54">
        <f t="shared" si="24"/>
        <v>178122051.9</v>
      </c>
      <c r="M63" s="54">
        <f t="shared" si="24"/>
        <v>1079858628</v>
      </c>
      <c r="N63" s="54">
        <f t="shared" si="24"/>
        <v>-901736575.7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6"/>
      <c r="E65" s="6"/>
      <c r="F65" s="6"/>
      <c r="G65" s="6"/>
      <c r="H65" s="20"/>
      <c r="I65" s="6"/>
      <c r="J65" s="4"/>
      <c r="K65" s="4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6">
        <v>3.8098947226E10</v>
      </c>
      <c r="E66" s="6">
        <v>1.99840009E8</v>
      </c>
      <c r="F66" s="6">
        <f t="shared" ref="F66:F76" si="25">D66-E66</f>
        <v>37899107217</v>
      </c>
      <c r="G66" s="6">
        <v>9.1851502E8</v>
      </c>
      <c r="H66" s="20">
        <v>24041.0</v>
      </c>
      <c r="I66" s="6">
        <v>1.46049416E8</v>
      </c>
      <c r="J66" s="4">
        <v>5.59210688E8</v>
      </c>
      <c r="K66" s="4">
        <f t="shared" ref="K66:K76" si="26">I66-J66</f>
        <v>-413161272</v>
      </c>
      <c r="L66" s="4">
        <f>I66+July!L66</f>
        <v>1939334189</v>
      </c>
      <c r="M66" s="4">
        <f>J66+July!M66</f>
        <v>4618399091</v>
      </c>
      <c r="N66" s="4">
        <f t="shared" ref="N66:N76" si="27">L66-M66</f>
        <v>-2679064902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4.8411161038E8</v>
      </c>
      <c r="E67" s="6">
        <v>172135.83</v>
      </c>
      <c r="F67" s="6">
        <f t="shared" si="25"/>
        <v>483939474.6</v>
      </c>
      <c r="G67" s="6">
        <v>0.0</v>
      </c>
      <c r="H67" s="20">
        <v>1068.0</v>
      </c>
      <c r="I67" s="6">
        <v>6534866.6</v>
      </c>
      <c r="J67" s="4">
        <v>1931933.93</v>
      </c>
      <c r="K67" s="4">
        <f t="shared" si="26"/>
        <v>4602932.67</v>
      </c>
      <c r="L67" s="4">
        <f>I67+July!L67</f>
        <v>78444797.26</v>
      </c>
      <c r="M67" s="4">
        <f>J67+July!M67</f>
        <v>66650593.23</v>
      </c>
      <c r="N67" s="4">
        <f t="shared" si="27"/>
        <v>11794204.03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6">
        <v>9.5957360599E8</v>
      </c>
      <c r="E68" s="6">
        <v>2.617262192E7</v>
      </c>
      <c r="F68" s="6">
        <f t="shared" si="25"/>
        <v>933400984.1</v>
      </c>
      <c r="G68" s="6">
        <v>0.0</v>
      </c>
      <c r="H68" s="20">
        <v>1892.0</v>
      </c>
      <c r="I68" s="6">
        <v>1739462.74</v>
      </c>
      <c r="J68" s="4">
        <v>1.195049533E7</v>
      </c>
      <c r="K68" s="4">
        <f t="shared" si="26"/>
        <v>-10211032.59</v>
      </c>
      <c r="L68" s="4">
        <f>I68+July!L68</f>
        <v>38222750.32</v>
      </c>
      <c r="M68" s="4">
        <f>J68+July!M68</f>
        <v>122172418.5</v>
      </c>
      <c r="N68" s="4">
        <f t="shared" si="27"/>
        <v>-83949668.13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6">
        <v>1.97358568E8</v>
      </c>
      <c r="E69" s="6">
        <v>175406.0</v>
      </c>
      <c r="F69" s="6">
        <f t="shared" si="25"/>
        <v>197183162</v>
      </c>
      <c r="G69" s="6">
        <v>4852500.0</v>
      </c>
      <c r="H69" s="20">
        <v>198.0</v>
      </c>
      <c r="I69" s="6">
        <v>0.0</v>
      </c>
      <c r="J69" s="4">
        <v>45681.0</v>
      </c>
      <c r="K69" s="4">
        <f t="shared" si="26"/>
        <v>-45681</v>
      </c>
      <c r="L69" s="4">
        <f>I69+July!L69</f>
        <v>5411183.85</v>
      </c>
      <c r="M69" s="4">
        <f>J69+July!M69</f>
        <v>5907609.64</v>
      </c>
      <c r="N69" s="4">
        <f t="shared" si="27"/>
        <v>-496425.79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1.436040779E9</v>
      </c>
      <c r="E70" s="6">
        <v>6.0171729E7</v>
      </c>
      <c r="F70" s="6">
        <f t="shared" si="25"/>
        <v>1375869050</v>
      </c>
      <c r="G70" s="6">
        <v>0.0</v>
      </c>
      <c r="H70" s="20">
        <v>1839.0</v>
      </c>
      <c r="I70" s="6">
        <v>5238078.0</v>
      </c>
      <c r="J70" s="4">
        <v>1.32093794E8</v>
      </c>
      <c r="K70" s="4">
        <f t="shared" si="26"/>
        <v>-126855716</v>
      </c>
      <c r="L70" s="4">
        <f>I70+July!L70</f>
        <v>280960911.1</v>
      </c>
      <c r="M70" s="4">
        <f>J70+July!M70</f>
        <v>202399962.7</v>
      </c>
      <c r="N70" s="4">
        <f t="shared" si="27"/>
        <v>78560948.46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7.35678672E8</v>
      </c>
      <c r="E71" s="6">
        <v>1.3513747E7</v>
      </c>
      <c r="F71" s="6">
        <f t="shared" si="25"/>
        <v>722164925</v>
      </c>
      <c r="G71" s="6">
        <v>0.0</v>
      </c>
      <c r="H71" s="20">
        <v>478.0</v>
      </c>
      <c r="I71" s="6">
        <v>1194932.0</v>
      </c>
      <c r="J71" s="4">
        <v>1892541.0</v>
      </c>
      <c r="K71" s="4">
        <f t="shared" si="26"/>
        <v>-697609</v>
      </c>
      <c r="L71" s="4">
        <f>I71+July!L71</f>
        <v>13986366.49</v>
      </c>
      <c r="M71" s="4">
        <f>J71+July!M71</f>
        <v>123584575.8</v>
      </c>
      <c r="N71" s="4">
        <f t="shared" si="27"/>
        <v>-109598209.3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1.686647234E9</v>
      </c>
      <c r="E72" s="6">
        <v>3.061176E7</v>
      </c>
      <c r="F72" s="6">
        <f t="shared" si="25"/>
        <v>1656035474</v>
      </c>
      <c r="G72" s="6">
        <v>0.0</v>
      </c>
      <c r="H72" s="20">
        <v>4938.0</v>
      </c>
      <c r="I72" s="6">
        <v>2343775.0</v>
      </c>
      <c r="J72" s="4">
        <v>3992869.0</v>
      </c>
      <c r="K72" s="4">
        <f t="shared" si="26"/>
        <v>-1649094</v>
      </c>
      <c r="L72" s="4">
        <f>I72+July!L72</f>
        <v>29440294.15</v>
      </c>
      <c r="M72" s="4">
        <f>J72+July!M72</f>
        <v>81951262.64</v>
      </c>
      <c r="N72" s="4">
        <f t="shared" si="27"/>
        <v>-52510968.49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3.2574538954E8</v>
      </c>
      <c r="E73" s="6">
        <v>717934.53</v>
      </c>
      <c r="F73" s="6">
        <f t="shared" si="25"/>
        <v>325027455</v>
      </c>
      <c r="G73" s="6">
        <v>0.0</v>
      </c>
      <c r="H73" s="20">
        <v>4055.0</v>
      </c>
      <c r="I73" s="6">
        <v>2.076803001E7</v>
      </c>
      <c r="J73" s="4">
        <v>3662458.52</v>
      </c>
      <c r="K73" s="4">
        <f t="shared" si="26"/>
        <v>17105571.49</v>
      </c>
      <c r="L73" s="4">
        <f>I73+July!L73</f>
        <v>41326010.33</v>
      </c>
      <c r="M73" s="4">
        <f>J73+July!M73</f>
        <v>27351852.3</v>
      </c>
      <c r="N73" s="4">
        <f t="shared" si="27"/>
        <v>13974158.03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1.40178134317E9</v>
      </c>
      <c r="E74" s="6">
        <v>226634.93</v>
      </c>
      <c r="F74" s="6">
        <f t="shared" si="25"/>
        <v>1401554708</v>
      </c>
      <c r="G74" s="6">
        <v>0.0</v>
      </c>
      <c r="H74" s="20">
        <v>893.0</v>
      </c>
      <c r="I74" s="6">
        <v>2.510967829E7</v>
      </c>
      <c r="J74" s="4">
        <v>559465.0</v>
      </c>
      <c r="K74" s="4">
        <f t="shared" si="26"/>
        <v>24550213.29</v>
      </c>
      <c r="L74" s="4">
        <f>I74+July!L74</f>
        <v>181536138.6</v>
      </c>
      <c r="M74" s="4">
        <f>J74+July!M74</f>
        <v>5607052.31</v>
      </c>
      <c r="N74" s="4">
        <f t="shared" si="27"/>
        <v>175929086.3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5.475354642E9</v>
      </c>
      <c r="E75" s="6">
        <v>1.3340501E7</v>
      </c>
      <c r="F75" s="6">
        <f t="shared" si="25"/>
        <v>5462014141</v>
      </c>
      <c r="G75" s="6">
        <v>0.0</v>
      </c>
      <c r="H75" s="20">
        <v>17568.0</v>
      </c>
      <c r="I75" s="6">
        <v>1.08294626E8</v>
      </c>
      <c r="J75" s="4">
        <v>8.7456779E7</v>
      </c>
      <c r="K75" s="4">
        <f t="shared" si="26"/>
        <v>20837847</v>
      </c>
      <c r="L75" s="4">
        <f>I75+July!L75</f>
        <v>1528761558</v>
      </c>
      <c r="M75" s="4">
        <f>J75+July!M75</f>
        <v>651737507</v>
      </c>
      <c r="N75" s="4">
        <f t="shared" si="27"/>
        <v>877024051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6">
        <v>1.26961303E8</v>
      </c>
      <c r="E76" s="6">
        <v>406913.0</v>
      </c>
      <c r="F76" s="6">
        <f t="shared" si="25"/>
        <v>126554390</v>
      </c>
      <c r="G76" s="6">
        <v>0.0</v>
      </c>
      <c r="H76" s="20">
        <v>2709.0</v>
      </c>
      <c r="I76" s="6">
        <v>841281.0</v>
      </c>
      <c r="J76" s="4">
        <v>1013012.0</v>
      </c>
      <c r="K76" s="4">
        <f t="shared" si="26"/>
        <v>-171731</v>
      </c>
      <c r="L76" s="4">
        <f>I76+July!L76</f>
        <v>8741278.44</v>
      </c>
      <c r="M76" s="4">
        <f>J76+July!M76</f>
        <v>22901284.71</v>
      </c>
      <c r="N76" s="4">
        <f t="shared" si="27"/>
        <v>-14160006.27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54">
        <f t="shared" ref="D77:N77" si="28">SUM(D66:D76)</f>
        <v>50928200373</v>
      </c>
      <c r="E77" s="54">
        <f t="shared" si="28"/>
        <v>345349392.2</v>
      </c>
      <c r="F77" s="54">
        <f t="shared" si="28"/>
        <v>50582850981</v>
      </c>
      <c r="G77" s="54">
        <f t="shared" si="28"/>
        <v>923367520</v>
      </c>
      <c r="H77" s="27">
        <f t="shared" si="28"/>
        <v>59679</v>
      </c>
      <c r="I77" s="54">
        <f t="shared" si="28"/>
        <v>318114145.6</v>
      </c>
      <c r="J77" s="54">
        <f t="shared" si="28"/>
        <v>803809716.8</v>
      </c>
      <c r="K77" s="54">
        <f t="shared" si="28"/>
        <v>-485695571.1</v>
      </c>
      <c r="L77" s="54">
        <f t="shared" si="28"/>
        <v>4146165478</v>
      </c>
      <c r="M77" s="54">
        <f t="shared" si="28"/>
        <v>5928663210</v>
      </c>
      <c r="N77" s="54">
        <f t="shared" si="28"/>
        <v>-1782497732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6"/>
      <c r="E78" s="6"/>
      <c r="F78" s="6"/>
      <c r="G78" s="6"/>
      <c r="H78" s="6"/>
      <c r="I78" s="6"/>
      <c r="J78" s="6"/>
      <c r="K78" s="6"/>
      <c r="L78" s="6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6">
        <v>1.3647673715E10</v>
      </c>
      <c r="E79" s="6">
        <v>1.14169328E8</v>
      </c>
      <c r="F79" s="6">
        <f t="shared" ref="F79:F85" si="29">D79-E79</f>
        <v>13533504387</v>
      </c>
      <c r="G79" s="6">
        <v>0.0</v>
      </c>
      <c r="H79" s="20">
        <v>8241.0</v>
      </c>
      <c r="I79" s="6">
        <v>1.626293E7</v>
      </c>
      <c r="J79" s="4">
        <v>1.34980833E8</v>
      </c>
      <c r="K79" s="4">
        <f t="shared" ref="K79:K85" si="30">I79-J79</f>
        <v>-118717903</v>
      </c>
      <c r="L79" s="4">
        <f>I79+July!L79</f>
        <v>404547821.4</v>
      </c>
      <c r="M79" s="4">
        <f>J79+July!M79</f>
        <v>1157870666</v>
      </c>
      <c r="N79" s="4">
        <f t="shared" ref="N79:N85" si="31">L79-M79</f>
        <v>-753322844.9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56">
        <f>56.595*4714413.45</f>
        <v>266812229.2</v>
      </c>
      <c r="E80" s="56">
        <f>56.595*17682.65</f>
        <v>1000749.577</v>
      </c>
      <c r="F80" s="6">
        <f t="shared" si="29"/>
        <v>265811479.6</v>
      </c>
      <c r="G80" s="6">
        <v>0.0</v>
      </c>
      <c r="H80" s="20">
        <v>157.0</v>
      </c>
      <c r="I80" s="56">
        <f>56.595*99.18</f>
        <v>5613.0921</v>
      </c>
      <c r="J80" s="57">
        <f>56.595*8973.12</f>
        <v>507833.7264</v>
      </c>
      <c r="K80" s="4">
        <f t="shared" si="30"/>
        <v>-502220.6343</v>
      </c>
      <c r="L80" s="4">
        <f>I80+July!L80</f>
        <v>1340295.068</v>
      </c>
      <c r="M80" s="4">
        <f>J80+July!M80</f>
        <v>6379356.518</v>
      </c>
      <c r="N80" s="4">
        <f t="shared" si="31"/>
        <v>-5039061.45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6">
        <v>4.59171185E8</v>
      </c>
      <c r="E81" s="6">
        <v>3283877.0</v>
      </c>
      <c r="F81" s="6">
        <f t="shared" si="29"/>
        <v>455887308</v>
      </c>
      <c r="G81" s="6">
        <v>0.0</v>
      </c>
      <c r="H81" s="20">
        <v>168.0</v>
      </c>
      <c r="I81" s="6">
        <v>982317.0</v>
      </c>
      <c r="J81" s="4">
        <v>942776.0</v>
      </c>
      <c r="K81" s="4">
        <f t="shared" si="30"/>
        <v>39541</v>
      </c>
      <c r="L81" s="4">
        <f>I81+July!L81</f>
        <v>18001845.46</v>
      </c>
      <c r="M81" s="4">
        <f>J81+July!M81</f>
        <v>9065477.96</v>
      </c>
      <c r="N81" s="4">
        <f t="shared" si="31"/>
        <v>8936367.5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109</v>
      </c>
      <c r="D82" s="6">
        <v>6.5264656E7</v>
      </c>
      <c r="E82" s="6">
        <v>1.5071847E7</v>
      </c>
      <c r="F82" s="6">
        <f t="shared" si="29"/>
        <v>50192809</v>
      </c>
      <c r="G82" s="6">
        <v>0.0</v>
      </c>
      <c r="H82" s="20">
        <v>27.0</v>
      </c>
      <c r="I82" s="6">
        <v>0.0</v>
      </c>
      <c r="J82" s="4">
        <v>0.0</v>
      </c>
      <c r="K82" s="4">
        <f t="shared" si="30"/>
        <v>0</v>
      </c>
      <c r="L82" s="4">
        <f>I82+July!L82</f>
        <v>0</v>
      </c>
      <c r="M82" s="4">
        <f>J82+July!M82</f>
        <v>0</v>
      </c>
      <c r="N82" s="4">
        <f t="shared" si="31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1.995282086E9</v>
      </c>
      <c r="E83" s="6">
        <v>2.3532466E7</v>
      </c>
      <c r="F83" s="6">
        <f t="shared" si="29"/>
        <v>1971749620</v>
      </c>
      <c r="G83" s="6">
        <v>0.0</v>
      </c>
      <c r="H83" s="20">
        <v>1847.0</v>
      </c>
      <c r="I83" s="6">
        <v>0.0</v>
      </c>
      <c r="J83" s="4">
        <v>9555885.0</v>
      </c>
      <c r="K83" s="4">
        <f t="shared" si="30"/>
        <v>-9555885</v>
      </c>
      <c r="L83" s="4">
        <f>I83+July!L83</f>
        <v>1331246.851</v>
      </c>
      <c r="M83" s="4">
        <f>J83+July!M83</f>
        <v>105678180.9</v>
      </c>
      <c r="N83" s="4">
        <f t="shared" si="31"/>
        <v>-104346934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v>2.3789459373E8</v>
      </c>
      <c r="E84" s="6">
        <v>1141661.29</v>
      </c>
      <c r="F84" s="6">
        <f t="shared" si="29"/>
        <v>236752932.4</v>
      </c>
      <c r="G84" s="6">
        <v>0.0</v>
      </c>
      <c r="H84" s="20">
        <v>118.0</v>
      </c>
      <c r="I84" s="6">
        <v>11320.0</v>
      </c>
      <c r="J84" s="4">
        <v>0.0</v>
      </c>
      <c r="K84" s="4">
        <f t="shared" si="30"/>
        <v>11320</v>
      </c>
      <c r="L84" s="4">
        <f>I84+July!L84</f>
        <v>1450085</v>
      </c>
      <c r="M84" s="4">
        <f>J84+July!M84</f>
        <v>3979991.507</v>
      </c>
      <c r="N84" s="4">
        <f t="shared" si="31"/>
        <v>-2529906.507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6">
        <v>6.31223695E8</v>
      </c>
      <c r="E85" s="6">
        <v>3326024.0</v>
      </c>
      <c r="F85" s="6">
        <f t="shared" si="29"/>
        <v>627897671</v>
      </c>
      <c r="G85" s="6">
        <v>0.0</v>
      </c>
      <c r="H85" s="20">
        <v>2561.0</v>
      </c>
      <c r="I85" s="6">
        <v>1497331.0</v>
      </c>
      <c r="J85" s="4">
        <v>1.7718932E7</v>
      </c>
      <c r="K85" s="4">
        <f t="shared" si="30"/>
        <v>-16221601</v>
      </c>
      <c r="L85" s="4">
        <f>I85+July!L85</f>
        <v>225037154.2</v>
      </c>
      <c r="M85" s="4">
        <f>J85+July!M85</f>
        <v>51771156.9</v>
      </c>
      <c r="N85" s="4">
        <f t="shared" si="31"/>
        <v>173265997.3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54">
        <f t="shared" ref="D86:N86" si="32">SUM(D79:D85)</f>
        <v>17303322160</v>
      </c>
      <c r="E86" s="54">
        <f t="shared" si="32"/>
        <v>161525952.9</v>
      </c>
      <c r="F86" s="54">
        <f t="shared" si="32"/>
        <v>17141796207</v>
      </c>
      <c r="G86" s="54">
        <f t="shared" si="32"/>
        <v>0</v>
      </c>
      <c r="H86" s="54">
        <f t="shared" si="32"/>
        <v>13119</v>
      </c>
      <c r="I86" s="54">
        <f t="shared" si="32"/>
        <v>18759511.09</v>
      </c>
      <c r="J86" s="54">
        <f t="shared" si="32"/>
        <v>163706259.7</v>
      </c>
      <c r="K86" s="54">
        <f t="shared" si="32"/>
        <v>-144946748.6</v>
      </c>
      <c r="L86" s="54">
        <f t="shared" si="32"/>
        <v>651708447.9</v>
      </c>
      <c r="M86" s="54">
        <f t="shared" si="32"/>
        <v>1334744830</v>
      </c>
      <c r="N86" s="54">
        <f t="shared" si="32"/>
        <v>-683036382.1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6">
        <v>9.5856652E8</v>
      </c>
      <c r="E87" s="6">
        <v>8068329.0</v>
      </c>
      <c r="F87" s="6">
        <f>D87-E87</f>
        <v>950498191</v>
      </c>
      <c r="G87" s="6">
        <v>0.0</v>
      </c>
      <c r="H87" s="20">
        <v>623.0</v>
      </c>
      <c r="I87" s="6">
        <v>1314478.0</v>
      </c>
      <c r="J87" s="4">
        <v>9743741.0</v>
      </c>
      <c r="K87" s="4">
        <f>I87-J87</f>
        <v>-8429263</v>
      </c>
      <c r="L87" s="4">
        <f>I87+July!L87</f>
        <v>36821448.16</v>
      </c>
      <c r="M87" s="4">
        <f>J87+July!M87</f>
        <v>40537396.84</v>
      </c>
      <c r="N87" s="4">
        <f>L87-M87</f>
        <v>-3715948.687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54">
        <f t="shared" ref="D88:N88" si="33">SUM(D87)</f>
        <v>958566520</v>
      </c>
      <c r="E88" s="54">
        <f t="shared" si="33"/>
        <v>8068329</v>
      </c>
      <c r="F88" s="54">
        <f t="shared" si="33"/>
        <v>950498191</v>
      </c>
      <c r="G88" s="54">
        <f t="shared" si="33"/>
        <v>0</v>
      </c>
      <c r="H88" s="27">
        <f t="shared" si="33"/>
        <v>623</v>
      </c>
      <c r="I88" s="54">
        <f t="shared" si="33"/>
        <v>1314478</v>
      </c>
      <c r="J88" s="54">
        <f t="shared" si="33"/>
        <v>9743741</v>
      </c>
      <c r="K88" s="54">
        <f t="shared" si="33"/>
        <v>-8429263</v>
      </c>
      <c r="L88" s="54">
        <f t="shared" si="33"/>
        <v>36821448.16</v>
      </c>
      <c r="M88" s="54">
        <f t="shared" si="33"/>
        <v>40537396.84</v>
      </c>
      <c r="N88" s="54">
        <f t="shared" si="33"/>
        <v>-3715948.687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54">
        <f t="shared" ref="D89:N89" si="34">D77+D86+D88</f>
        <v>69190089053</v>
      </c>
      <c r="E89" s="54">
        <f t="shared" si="34"/>
        <v>514943674.1</v>
      </c>
      <c r="F89" s="54">
        <f t="shared" si="34"/>
        <v>68675145379</v>
      </c>
      <c r="G89" s="54">
        <f t="shared" si="34"/>
        <v>923367520</v>
      </c>
      <c r="H89" s="27">
        <f t="shared" si="34"/>
        <v>73421</v>
      </c>
      <c r="I89" s="54">
        <f t="shared" si="34"/>
        <v>338188134.7</v>
      </c>
      <c r="J89" s="54">
        <f t="shared" si="34"/>
        <v>977259717.5</v>
      </c>
      <c r="K89" s="54">
        <f t="shared" si="34"/>
        <v>-639071582.8</v>
      </c>
      <c r="L89" s="54">
        <f t="shared" si="34"/>
        <v>4834695374</v>
      </c>
      <c r="M89" s="54">
        <f t="shared" si="34"/>
        <v>7303945436</v>
      </c>
      <c r="N89" s="54">
        <f t="shared" si="34"/>
        <v>-2469250063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6"/>
      <c r="E91" s="6"/>
      <c r="F91" s="6"/>
      <c r="G91" s="6"/>
      <c r="H91" s="20"/>
      <c r="I91" s="6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3.0175904733E10</v>
      </c>
      <c r="E92" s="6">
        <v>1.5492894E7</v>
      </c>
      <c r="F92" s="6">
        <f t="shared" ref="F92:F94" si="35">D92-E92</f>
        <v>30160411839</v>
      </c>
      <c r="G92" s="6">
        <v>0.0</v>
      </c>
      <c r="H92" s="20">
        <v>27135.0</v>
      </c>
      <c r="I92" s="6">
        <v>344403.0</v>
      </c>
      <c r="J92" s="4">
        <v>1.0080451E9</v>
      </c>
      <c r="K92" s="4">
        <f t="shared" ref="K92:K94" si="36">I92-J92</f>
        <v>-1007700697</v>
      </c>
      <c r="L92" s="4">
        <f>I92+July!L92</f>
        <v>9184139869</v>
      </c>
      <c r="M92" s="4">
        <f>J92+July!M92</f>
        <v>14239286396</v>
      </c>
      <c r="N92" s="4">
        <f t="shared" ref="N92:N94" si="37">L92-M92</f>
        <v>-5055146527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6">
        <v>2.541297415E9</v>
      </c>
      <c r="E93" s="6">
        <v>5.9833096E7</v>
      </c>
      <c r="F93" s="6">
        <f t="shared" si="35"/>
        <v>2481464319</v>
      </c>
      <c r="G93" s="6">
        <v>0.0</v>
      </c>
      <c r="H93" s="20">
        <v>842.0</v>
      </c>
      <c r="I93" s="6">
        <v>3.02062463E8</v>
      </c>
      <c r="J93" s="4">
        <v>1.71182308E8</v>
      </c>
      <c r="K93" s="4">
        <f t="shared" si="36"/>
        <v>130880155</v>
      </c>
      <c r="L93" s="4">
        <f>I93+July!L93</f>
        <v>902620898.7</v>
      </c>
      <c r="M93" s="4">
        <f>J93+July!M93</f>
        <v>1298212163</v>
      </c>
      <c r="N93" s="4">
        <f t="shared" si="37"/>
        <v>-395591264.1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6">
        <v>2.818833363E10</v>
      </c>
      <c r="E94" s="6">
        <v>1.30702885E8</v>
      </c>
      <c r="F94" s="6">
        <f t="shared" si="35"/>
        <v>28057630745</v>
      </c>
      <c r="G94" s="6">
        <v>0.0</v>
      </c>
      <c r="H94" s="20">
        <v>68105.0</v>
      </c>
      <c r="I94" s="6">
        <v>3.320666814E9</v>
      </c>
      <c r="J94" s="4">
        <v>3.31265111E9</v>
      </c>
      <c r="K94" s="4">
        <f t="shared" si="36"/>
        <v>8015704</v>
      </c>
      <c r="L94" s="4">
        <f>I94+July!L94</f>
        <v>18050553649</v>
      </c>
      <c r="M94" s="4">
        <f>J94+July!M94</f>
        <v>42916464651</v>
      </c>
      <c r="N94" s="4">
        <f t="shared" si="37"/>
        <v>-24865911002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6"/>
      <c r="E95" s="6"/>
      <c r="F95" s="6"/>
      <c r="G95" s="6"/>
      <c r="H95" s="20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6">
        <v>6.778694591E9</v>
      </c>
      <c r="E96" s="6">
        <v>1.5636902E7</v>
      </c>
      <c r="F96" s="6">
        <f>D96-E96</f>
        <v>6763057689</v>
      </c>
      <c r="G96" s="6">
        <v>0.0</v>
      </c>
      <c r="H96" s="20">
        <v>7234.0</v>
      </c>
      <c r="I96" s="6">
        <v>8.72612229E8</v>
      </c>
      <c r="J96" s="4">
        <v>7.43182475E8</v>
      </c>
      <c r="K96" s="4">
        <f>I96-J96</f>
        <v>129429754</v>
      </c>
      <c r="L96" s="4">
        <f>I96+July!L96</f>
        <v>10127248013</v>
      </c>
      <c r="M96" s="4">
        <f>J96+July!M96</f>
        <v>7032098599</v>
      </c>
      <c r="N96" s="4">
        <f>L96-M96</f>
        <v>3095149413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54">
        <f t="shared" ref="D97:N97" si="38">SUM(D92:D94)+D96</f>
        <v>67684230369</v>
      </c>
      <c r="E97" s="54">
        <f t="shared" si="38"/>
        <v>221665777</v>
      </c>
      <c r="F97" s="54">
        <f t="shared" si="38"/>
        <v>67462564592</v>
      </c>
      <c r="G97" s="54">
        <f t="shared" si="38"/>
        <v>0</v>
      </c>
      <c r="H97" s="27">
        <f t="shared" si="38"/>
        <v>103316</v>
      </c>
      <c r="I97" s="54">
        <f t="shared" si="38"/>
        <v>4495685909</v>
      </c>
      <c r="J97" s="54">
        <f t="shared" si="38"/>
        <v>5235060993</v>
      </c>
      <c r="K97" s="54">
        <f t="shared" si="38"/>
        <v>-739375084</v>
      </c>
      <c r="L97" s="54">
        <f t="shared" si="38"/>
        <v>38264562429</v>
      </c>
      <c r="M97" s="54">
        <f t="shared" si="38"/>
        <v>65486061809</v>
      </c>
      <c r="N97" s="54">
        <f t="shared" si="38"/>
        <v>-27221499380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6"/>
      <c r="E98" s="6"/>
      <c r="F98" s="6"/>
      <c r="G98" s="6"/>
      <c r="H98" s="20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6">
        <v>3.008017025E9</v>
      </c>
      <c r="E99" s="6">
        <v>1.5807347E7</v>
      </c>
      <c r="F99" s="6">
        <f>D99-E99</f>
        <v>2992209678</v>
      </c>
      <c r="G99" s="6">
        <v>0.0</v>
      </c>
      <c r="H99" s="20">
        <v>3562.0</v>
      </c>
      <c r="I99" s="6">
        <v>9.9564196E7</v>
      </c>
      <c r="J99" s="6">
        <v>4.6031187E8</v>
      </c>
      <c r="K99" s="4">
        <f>I99-J99</f>
        <v>-360747674</v>
      </c>
      <c r="L99" s="4">
        <f>I99+July!L99</f>
        <v>4959734938</v>
      </c>
      <c r="M99" s="4">
        <f>J99+July!M99</f>
        <v>8697586256</v>
      </c>
      <c r="N99" s="4">
        <f>L99-M99</f>
        <v>-3737851318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54">
        <f t="shared" ref="D100:N100" si="39">SUM(D99)</f>
        <v>3008017025</v>
      </c>
      <c r="E100" s="54">
        <f t="shared" si="39"/>
        <v>15807347</v>
      </c>
      <c r="F100" s="54">
        <f t="shared" si="39"/>
        <v>2992209678</v>
      </c>
      <c r="G100" s="54">
        <f t="shared" si="39"/>
        <v>0</v>
      </c>
      <c r="H100" s="27">
        <f t="shared" si="39"/>
        <v>3562</v>
      </c>
      <c r="I100" s="54">
        <f t="shared" si="39"/>
        <v>99564196</v>
      </c>
      <c r="J100" s="54">
        <f t="shared" si="39"/>
        <v>460311870</v>
      </c>
      <c r="K100" s="54">
        <f t="shared" si="39"/>
        <v>-360747674</v>
      </c>
      <c r="L100" s="54">
        <f t="shared" si="39"/>
        <v>4959734938</v>
      </c>
      <c r="M100" s="54">
        <f t="shared" si="39"/>
        <v>8697586256</v>
      </c>
      <c r="N100" s="54">
        <f t="shared" si="39"/>
        <v>-3737851318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54">
        <f t="shared" ref="D101:N101" si="40">D97+D100</f>
        <v>70692247394</v>
      </c>
      <c r="E101" s="54">
        <f t="shared" si="40"/>
        <v>237473124</v>
      </c>
      <c r="F101" s="54">
        <f t="shared" si="40"/>
        <v>70454774270</v>
      </c>
      <c r="G101" s="54">
        <f t="shared" si="40"/>
        <v>0</v>
      </c>
      <c r="H101" s="27">
        <f t="shared" si="40"/>
        <v>106878</v>
      </c>
      <c r="I101" s="54">
        <f t="shared" si="40"/>
        <v>4595250105</v>
      </c>
      <c r="J101" s="54">
        <f t="shared" si="40"/>
        <v>5695372863</v>
      </c>
      <c r="K101" s="54">
        <f t="shared" si="40"/>
        <v>-1100122758</v>
      </c>
      <c r="L101" s="54">
        <f t="shared" si="40"/>
        <v>43224297367</v>
      </c>
      <c r="M101" s="54">
        <f t="shared" si="40"/>
        <v>74183648065</v>
      </c>
      <c r="N101" s="54">
        <f t="shared" si="40"/>
        <v>-30959350698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6"/>
      <c r="E103" s="6"/>
      <c r="F103" s="6"/>
      <c r="G103" s="6"/>
      <c r="H103" s="20"/>
      <c r="I103" s="6"/>
      <c r="J103" s="6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104</v>
      </c>
      <c r="D104" s="6">
        <v>9.186933979E9</v>
      </c>
      <c r="E104" s="6">
        <v>7.9703433E7</v>
      </c>
      <c r="F104" s="6">
        <f t="shared" ref="F104:F105" si="41">D104-E104</f>
        <v>9107230546</v>
      </c>
      <c r="G104" s="6">
        <v>0.0</v>
      </c>
      <c r="H104" s="20">
        <v>67548.0</v>
      </c>
      <c r="I104" s="6">
        <v>6.4000278E7</v>
      </c>
      <c r="J104" s="6">
        <v>1.44674602E8</v>
      </c>
      <c r="K104" s="4">
        <f t="shared" ref="K104:K105" si="42">I104-J104</f>
        <v>-80674324</v>
      </c>
      <c r="L104" s="4">
        <f>I104+July!L104</f>
        <v>681959915.9</v>
      </c>
      <c r="M104" s="4">
        <f>J104+July!M104</f>
        <v>1017511368</v>
      </c>
      <c r="N104" s="4">
        <f t="shared" ref="N104:N105" si="43">L104-M104</f>
        <v>-335551452.5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6">
        <v>3.383406277E9</v>
      </c>
      <c r="E105" s="6">
        <v>4.4305912E7</v>
      </c>
      <c r="F105" s="6">
        <f t="shared" si="41"/>
        <v>3339100365</v>
      </c>
      <c r="G105" s="6">
        <v>0.0</v>
      </c>
      <c r="H105" s="20">
        <v>6374.0</v>
      </c>
      <c r="I105" s="6">
        <v>8.7881638E7</v>
      </c>
      <c r="J105" s="6">
        <v>1.4608503E8</v>
      </c>
      <c r="K105" s="4">
        <f t="shared" si="42"/>
        <v>-58203392</v>
      </c>
      <c r="L105" s="4">
        <f>I105+July!L105</f>
        <v>304542776.1</v>
      </c>
      <c r="M105" s="4">
        <f>J105+July!M105</f>
        <v>713382176.7</v>
      </c>
      <c r="N105" s="4">
        <f t="shared" si="43"/>
        <v>-408839400.6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24" t="s">
        <v>45</v>
      </c>
      <c r="B106" s="2"/>
      <c r="C106" s="3"/>
      <c r="D106" s="54">
        <f t="shared" ref="D106:N106" si="44">D104+D105</f>
        <v>12570340256</v>
      </c>
      <c r="E106" s="54">
        <f t="shared" si="44"/>
        <v>124009345</v>
      </c>
      <c r="F106" s="54">
        <f t="shared" si="44"/>
        <v>12446330911</v>
      </c>
      <c r="G106" s="54">
        <f t="shared" si="44"/>
        <v>0</v>
      </c>
      <c r="H106" s="27">
        <f t="shared" si="44"/>
        <v>73922</v>
      </c>
      <c r="I106" s="54">
        <f t="shared" si="44"/>
        <v>151881916</v>
      </c>
      <c r="J106" s="54">
        <f t="shared" si="44"/>
        <v>290759632</v>
      </c>
      <c r="K106" s="54">
        <f t="shared" si="44"/>
        <v>-138877716</v>
      </c>
      <c r="L106" s="54">
        <f t="shared" si="44"/>
        <v>986502692</v>
      </c>
      <c r="M106" s="54">
        <f t="shared" si="44"/>
        <v>1730893545</v>
      </c>
      <c r="N106" s="54">
        <f t="shared" si="44"/>
        <v>-744390853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0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v>69.0</v>
      </c>
      <c r="C108" s="3" t="s">
        <v>104</v>
      </c>
      <c r="D108" s="6">
        <v>9.951820401E9</v>
      </c>
      <c r="E108" s="6">
        <v>3.7510165E7</v>
      </c>
      <c r="F108" s="6">
        <f>D108-E108</f>
        <v>9914310236</v>
      </c>
      <c r="G108" s="6">
        <v>0.0</v>
      </c>
      <c r="H108" s="20">
        <v>8049.0</v>
      </c>
      <c r="I108" s="6">
        <v>2.1542768E7</v>
      </c>
      <c r="J108" s="6">
        <v>7.7543376E7</v>
      </c>
      <c r="K108" s="4">
        <f>I108-J108</f>
        <v>-56000608</v>
      </c>
      <c r="L108" s="4">
        <f>I108+July!L108</f>
        <v>437282919.8</v>
      </c>
      <c r="M108" s="4">
        <f>J108+July!M108</f>
        <v>719877350.7</v>
      </c>
      <c r="N108" s="4">
        <f>L108-M108</f>
        <v>-282594430.9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4" t="s">
        <v>89</v>
      </c>
      <c r="B109" s="25"/>
      <c r="C109" s="1"/>
      <c r="D109" s="54">
        <f t="shared" ref="D109:N109" si="45">SUM(D108)</f>
        <v>9951820401</v>
      </c>
      <c r="E109" s="54">
        <f t="shared" si="45"/>
        <v>37510165</v>
      </c>
      <c r="F109" s="54">
        <f t="shared" si="45"/>
        <v>9914310236</v>
      </c>
      <c r="G109" s="54">
        <f t="shared" si="45"/>
        <v>0</v>
      </c>
      <c r="H109" s="27">
        <f t="shared" si="45"/>
        <v>8049</v>
      </c>
      <c r="I109" s="54">
        <f t="shared" si="45"/>
        <v>21542768</v>
      </c>
      <c r="J109" s="54">
        <f t="shared" si="45"/>
        <v>77543376</v>
      </c>
      <c r="K109" s="54">
        <f t="shared" si="45"/>
        <v>-56000608</v>
      </c>
      <c r="L109" s="54">
        <f t="shared" si="45"/>
        <v>437282919.8</v>
      </c>
      <c r="M109" s="54">
        <f t="shared" si="45"/>
        <v>719877350.7</v>
      </c>
      <c r="N109" s="54">
        <f t="shared" si="45"/>
        <v>-282594430.9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 t="s">
        <v>105</v>
      </c>
      <c r="B110" s="31"/>
      <c r="C110" s="29"/>
      <c r="D110" s="54">
        <f t="shared" ref="D110:N110" si="46">SUM(D106+D109)</f>
        <v>22522160657</v>
      </c>
      <c r="E110" s="54">
        <f t="shared" si="46"/>
        <v>161519510</v>
      </c>
      <c r="F110" s="54">
        <f t="shared" si="46"/>
        <v>22360641147</v>
      </c>
      <c r="G110" s="54">
        <f t="shared" si="46"/>
        <v>0</v>
      </c>
      <c r="H110" s="27">
        <f t="shared" si="46"/>
        <v>81971</v>
      </c>
      <c r="I110" s="54">
        <f t="shared" si="46"/>
        <v>173424684</v>
      </c>
      <c r="J110" s="54">
        <f t="shared" si="46"/>
        <v>368303008</v>
      </c>
      <c r="K110" s="54">
        <f t="shared" si="46"/>
        <v>-194878324</v>
      </c>
      <c r="L110" s="54">
        <f t="shared" si="46"/>
        <v>1423785612</v>
      </c>
      <c r="M110" s="54">
        <f t="shared" si="46"/>
        <v>2450770896</v>
      </c>
      <c r="N110" s="54">
        <f t="shared" si="46"/>
        <v>-1026985284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2" t="s">
        <v>106</v>
      </c>
      <c r="B111" s="33"/>
      <c r="C111" s="34"/>
      <c r="D111" s="55">
        <f t="shared" ref="D111:N111" si="47">D39+D63+D89+D101+D110</f>
        <v>243666088635</v>
      </c>
      <c r="E111" s="55">
        <f t="shared" si="47"/>
        <v>1619033818</v>
      </c>
      <c r="F111" s="55">
        <f t="shared" si="47"/>
        <v>242047054817</v>
      </c>
      <c r="G111" s="55">
        <f t="shared" si="47"/>
        <v>68673663268</v>
      </c>
      <c r="H111" s="36">
        <f t="shared" si="47"/>
        <v>1194279</v>
      </c>
      <c r="I111" s="55">
        <f t="shared" si="47"/>
        <v>5654114002</v>
      </c>
      <c r="J111" s="55">
        <f t="shared" si="47"/>
        <v>7962016068</v>
      </c>
      <c r="K111" s="55">
        <f t="shared" si="47"/>
        <v>-2307902067</v>
      </c>
      <c r="L111" s="55">
        <f t="shared" si="47"/>
        <v>53560373516</v>
      </c>
      <c r="M111" s="55">
        <f t="shared" si="47"/>
        <v>91043437081</v>
      </c>
      <c r="N111" s="55">
        <f t="shared" si="47"/>
        <v>-37483063566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0" customHeight="1">
      <c r="A112" s="3"/>
      <c r="B112" s="2"/>
      <c r="C112" s="37"/>
      <c r="D112" s="4"/>
      <c r="E112" s="4"/>
      <c r="F112" s="4"/>
      <c r="G112" s="4"/>
      <c r="H112" s="5"/>
      <c r="I112" s="6"/>
      <c r="J112" s="4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7"/>
      <c r="B113" s="37"/>
      <c r="C113" s="3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7"/>
      <c r="B114" s="37"/>
      <c r="C114" s="3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7"/>
      <c r="B115" s="37"/>
      <c r="C115" s="37"/>
      <c r="D115" s="4"/>
      <c r="E115" s="4"/>
      <c r="F115" s="4"/>
      <c r="G115" s="4"/>
      <c r="H115" s="5"/>
      <c r="I115" s="6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123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4.314607068E9</v>
      </c>
      <c r="E9" s="6">
        <v>3.5986301E7</v>
      </c>
      <c r="F9" s="6">
        <f t="shared" ref="F9:F27" si="1">D9-E9</f>
        <v>4278620767</v>
      </c>
      <c r="G9" s="6">
        <v>3.941116694E9</v>
      </c>
      <c r="H9" s="6">
        <v>6897.0</v>
      </c>
      <c r="I9" s="6">
        <v>1.2281942E7</v>
      </c>
      <c r="J9" s="6">
        <v>9.6218692E7</v>
      </c>
      <c r="K9" s="4">
        <f t="shared" ref="K9:K27" si="2">I9-J9</f>
        <v>-83936750</v>
      </c>
      <c r="L9" s="4">
        <f>I9+Aug!L9</f>
        <v>78775335.19</v>
      </c>
      <c r="M9" s="4">
        <f>J9+Aug!M9</f>
        <v>447266473.1</v>
      </c>
      <c r="N9" s="4">
        <f t="shared" ref="N9:N27" si="3">L9-M9</f>
        <v>-368491137.9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v>2.0</v>
      </c>
      <c r="C10" s="3" t="s">
        <v>22</v>
      </c>
      <c r="D10" s="6">
        <v>7.7624022498E8</v>
      </c>
      <c r="E10" s="6">
        <v>2914413.14</v>
      </c>
      <c r="F10" s="6">
        <f t="shared" si="1"/>
        <v>773325811.8</v>
      </c>
      <c r="G10" s="6">
        <v>6.581518179E8</v>
      </c>
      <c r="H10" s="6">
        <v>4165.0</v>
      </c>
      <c r="I10" s="6">
        <v>3671236.04</v>
      </c>
      <c r="J10" s="6">
        <v>6528210.57</v>
      </c>
      <c r="K10" s="4">
        <f t="shared" si="2"/>
        <v>-2856974.53</v>
      </c>
      <c r="L10" s="4">
        <f>I10+Aug!L10</f>
        <v>45436068.23</v>
      </c>
      <c r="M10" s="4">
        <f>J10+Aug!M10</f>
        <v>73570513.14</v>
      </c>
      <c r="N10" s="4">
        <f t="shared" si="3"/>
        <v>-28134444.91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v>3.0</v>
      </c>
      <c r="C11" s="3" t="s">
        <v>23</v>
      </c>
      <c r="D11" s="6">
        <v>1.30034001737E9</v>
      </c>
      <c r="E11" s="6">
        <v>312916.67</v>
      </c>
      <c r="F11" s="6">
        <f t="shared" si="1"/>
        <v>1300027101</v>
      </c>
      <c r="G11" s="6">
        <v>1.2319364335E9</v>
      </c>
      <c r="H11" s="6">
        <v>2763.0</v>
      </c>
      <c r="I11" s="6">
        <v>4757166.32</v>
      </c>
      <c r="J11" s="6">
        <v>4.46263181E7</v>
      </c>
      <c r="K11" s="4">
        <f t="shared" si="2"/>
        <v>-39869151.78</v>
      </c>
      <c r="L11" s="4">
        <f>I11+Aug!L11</f>
        <v>502180508.5</v>
      </c>
      <c r="M11" s="4">
        <f>J11+Aug!M11</f>
        <v>473784039.3</v>
      </c>
      <c r="N11" s="4">
        <f t="shared" si="3"/>
        <v>28396469.23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v>4.0</v>
      </c>
      <c r="C12" s="3" t="s">
        <v>24</v>
      </c>
      <c r="D12" s="6">
        <v>3.4633307462E8</v>
      </c>
      <c r="E12" s="6">
        <v>9840583.12</v>
      </c>
      <c r="F12" s="6">
        <f t="shared" si="1"/>
        <v>336492491.5</v>
      </c>
      <c r="G12" s="6">
        <v>2.5330288333E8</v>
      </c>
      <c r="H12" s="6">
        <v>1783.0</v>
      </c>
      <c r="I12" s="6">
        <v>1595873.94</v>
      </c>
      <c r="J12" s="6">
        <v>1515044.28</v>
      </c>
      <c r="K12" s="4">
        <f t="shared" si="2"/>
        <v>80829.66</v>
      </c>
      <c r="L12" s="4">
        <f>I12+Aug!L12</f>
        <v>6829941.72</v>
      </c>
      <c r="M12" s="4">
        <f>J12+Aug!M12</f>
        <v>3835875.17</v>
      </c>
      <c r="N12" s="4">
        <f t="shared" si="3"/>
        <v>2994066.55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v>5.0</v>
      </c>
      <c r="C13" s="3" t="s">
        <v>25</v>
      </c>
      <c r="D13" s="6">
        <v>4.89773882E8</v>
      </c>
      <c r="E13" s="6">
        <v>1.4311705E7</v>
      </c>
      <c r="F13" s="6">
        <f t="shared" si="1"/>
        <v>475462177</v>
      </c>
      <c r="G13" s="6">
        <v>4.1389409E8</v>
      </c>
      <c r="H13" s="6">
        <v>1348.0</v>
      </c>
      <c r="I13" s="6">
        <v>1633203.0</v>
      </c>
      <c r="J13" s="6">
        <v>1112441.0</v>
      </c>
      <c r="K13" s="4">
        <f t="shared" si="2"/>
        <v>520762</v>
      </c>
      <c r="L13" s="4">
        <f>I13+Aug!L13</f>
        <v>6218285.54</v>
      </c>
      <c r="M13" s="4">
        <f>J13+Aug!M13</f>
        <v>31613840.44</v>
      </c>
      <c r="N13" s="4">
        <f t="shared" si="3"/>
        <v>-25395554.9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v>6.0</v>
      </c>
      <c r="C14" s="3" t="s">
        <v>26</v>
      </c>
      <c r="D14" s="6">
        <v>4.135186937E9</v>
      </c>
      <c r="E14" s="6">
        <v>1.1623411E8</v>
      </c>
      <c r="F14" s="6">
        <f t="shared" si="1"/>
        <v>4018952827</v>
      </c>
      <c r="G14" s="6">
        <v>3.593929633E9</v>
      </c>
      <c r="H14" s="6">
        <v>15707.0</v>
      </c>
      <c r="I14" s="6">
        <v>3.3438726E7</v>
      </c>
      <c r="J14" s="6">
        <v>1.5696389E7</v>
      </c>
      <c r="K14" s="4">
        <f t="shared" si="2"/>
        <v>17742337</v>
      </c>
      <c r="L14" s="4">
        <f>I14+Aug!L14</f>
        <v>265017171.5</v>
      </c>
      <c r="M14" s="4">
        <f>J14+Aug!M14</f>
        <v>409303385.5</v>
      </c>
      <c r="N14" s="4">
        <f t="shared" si="3"/>
        <v>-144286214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v>7.0</v>
      </c>
      <c r="C15" s="3" t="s">
        <v>27</v>
      </c>
      <c r="D15" s="6">
        <v>1.0035608E8</v>
      </c>
      <c r="E15" s="6">
        <v>758093.0</v>
      </c>
      <c r="F15" s="6">
        <f t="shared" si="1"/>
        <v>99597987</v>
      </c>
      <c r="G15" s="6">
        <v>9.7304473E7</v>
      </c>
      <c r="H15" s="6">
        <v>524.0</v>
      </c>
      <c r="I15" s="6">
        <v>3940990.0</v>
      </c>
      <c r="J15" s="6">
        <v>491027.0</v>
      </c>
      <c r="K15" s="4">
        <f t="shared" si="2"/>
        <v>3449963</v>
      </c>
      <c r="L15" s="4">
        <f>I15+Aug!L15</f>
        <v>12656800.73</v>
      </c>
      <c r="M15" s="4">
        <f>J15+Aug!M15</f>
        <v>10969392.93</v>
      </c>
      <c r="N15" s="4">
        <f t="shared" si="3"/>
        <v>1687407.8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v>8.0</v>
      </c>
      <c r="C16" s="3" t="s">
        <v>28</v>
      </c>
      <c r="D16" s="6">
        <v>1.43758241E8</v>
      </c>
      <c r="E16" s="6">
        <v>1.2967886E7</v>
      </c>
      <c r="F16" s="6">
        <f t="shared" si="1"/>
        <v>130790355</v>
      </c>
      <c r="G16" s="6">
        <v>1.23501677E8</v>
      </c>
      <c r="H16" s="6">
        <v>50.0</v>
      </c>
      <c r="I16" s="6">
        <v>0.0</v>
      </c>
      <c r="J16" s="6">
        <v>0.0</v>
      </c>
      <c r="K16" s="4">
        <f t="shared" si="2"/>
        <v>0</v>
      </c>
      <c r="L16" s="4">
        <f>I16+Aug!L16</f>
        <v>100241.49</v>
      </c>
      <c r="M16" s="4">
        <f>J16+Aug!M16</f>
        <v>2461357.93</v>
      </c>
      <c r="N16" s="4">
        <f t="shared" si="3"/>
        <v>-2361116.44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v>9.0</v>
      </c>
      <c r="C17" s="3" t="s">
        <v>29</v>
      </c>
      <c r="D17" s="6">
        <v>1.22356285E9</v>
      </c>
      <c r="E17" s="6">
        <v>4.7226939E7</v>
      </c>
      <c r="F17" s="6">
        <f t="shared" si="1"/>
        <v>1176335911</v>
      </c>
      <c r="G17" s="6">
        <v>1.211865429E9</v>
      </c>
      <c r="H17" s="6">
        <v>11874.0</v>
      </c>
      <c r="I17" s="6">
        <v>0.0</v>
      </c>
      <c r="J17" s="6">
        <v>8915198.0</v>
      </c>
      <c r="K17" s="4">
        <f t="shared" si="2"/>
        <v>-8915198</v>
      </c>
      <c r="L17" s="4">
        <f>I17+Aug!L17</f>
        <v>0</v>
      </c>
      <c r="M17" s="4">
        <f>J17+Aug!M17</f>
        <v>106399193.7</v>
      </c>
      <c r="N17" s="4">
        <f t="shared" si="3"/>
        <v>-106399193.7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v>10.0</v>
      </c>
      <c r="C18" s="3" t="s">
        <v>30</v>
      </c>
      <c r="D18" s="6">
        <v>3.508008658E9</v>
      </c>
      <c r="E18" s="6">
        <v>4.4280008E7</v>
      </c>
      <c r="F18" s="6">
        <f t="shared" si="1"/>
        <v>3463728650</v>
      </c>
      <c r="G18" s="6">
        <v>3.179721709E9</v>
      </c>
      <c r="H18" s="6">
        <v>11785.0</v>
      </c>
      <c r="I18" s="6">
        <v>1602255.0</v>
      </c>
      <c r="J18" s="6">
        <v>3.7230478E7</v>
      </c>
      <c r="K18" s="4">
        <f t="shared" si="2"/>
        <v>-35628223</v>
      </c>
      <c r="L18" s="4">
        <f>I18+Aug!L18</f>
        <v>23438222.7</v>
      </c>
      <c r="M18" s="4">
        <f>J18+Aug!M18</f>
        <v>289226664.5</v>
      </c>
      <c r="N18" s="4">
        <f t="shared" si="3"/>
        <v>-265788441.8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v>11.0</v>
      </c>
      <c r="C19" s="3" t="s">
        <v>31</v>
      </c>
      <c r="D19" s="6">
        <v>2.16767123635E9</v>
      </c>
      <c r="E19" s="6">
        <v>4635307.87</v>
      </c>
      <c r="F19" s="6">
        <f t="shared" si="1"/>
        <v>2163035928</v>
      </c>
      <c r="G19" s="6">
        <v>1.855332891E9</v>
      </c>
      <c r="H19" s="6">
        <v>5215.0</v>
      </c>
      <c r="I19" s="6">
        <v>1454605.88</v>
      </c>
      <c r="J19" s="6">
        <v>3619941.79</v>
      </c>
      <c r="K19" s="4">
        <f t="shared" si="2"/>
        <v>-2165335.91</v>
      </c>
      <c r="L19" s="4">
        <f>I19+Aug!L19</f>
        <v>146722811.3</v>
      </c>
      <c r="M19" s="4">
        <f>J19+Aug!M19</f>
        <v>58650275.18</v>
      </c>
      <c r="N19" s="4">
        <f t="shared" si="3"/>
        <v>88072536.11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v>12.0</v>
      </c>
      <c r="C20" s="3" t="s">
        <v>32</v>
      </c>
      <c r="D20" s="6">
        <v>9.26507781241E9</v>
      </c>
      <c r="E20" s="6">
        <v>2.83064539E7</v>
      </c>
      <c r="F20" s="6">
        <f t="shared" si="1"/>
        <v>9236771359</v>
      </c>
      <c r="G20" s="6">
        <v>8.51968801494E9</v>
      </c>
      <c r="H20" s="6">
        <v>34781.0</v>
      </c>
      <c r="I20" s="6">
        <v>2.131921267E7</v>
      </c>
      <c r="J20" s="6">
        <v>4.804951235E7</v>
      </c>
      <c r="K20" s="4">
        <f t="shared" si="2"/>
        <v>-26730299.68</v>
      </c>
      <c r="L20" s="4">
        <f>I20+Aug!L20</f>
        <v>140893341</v>
      </c>
      <c r="M20" s="4">
        <f>J20+Aug!M20</f>
        <v>562249455.1</v>
      </c>
      <c r="N20" s="4">
        <f t="shared" si="3"/>
        <v>-421356114.1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v>13.0</v>
      </c>
      <c r="C21" s="3" t="s">
        <v>33</v>
      </c>
      <c r="D21" s="6">
        <v>3.0201543197E8</v>
      </c>
      <c r="E21" s="6">
        <v>744938.11</v>
      </c>
      <c r="F21" s="6">
        <f t="shared" si="1"/>
        <v>301270493.9</v>
      </c>
      <c r="G21" s="6">
        <v>2.9922607721E8</v>
      </c>
      <c r="H21" s="6">
        <v>966.0</v>
      </c>
      <c r="I21" s="6">
        <v>385677.68</v>
      </c>
      <c r="J21" s="6">
        <v>91607.27</v>
      </c>
      <c r="K21" s="4">
        <f t="shared" si="2"/>
        <v>294070.41</v>
      </c>
      <c r="L21" s="4">
        <f>I21+Aug!L21</f>
        <v>3035311</v>
      </c>
      <c r="M21" s="4">
        <f>J21+Aug!M21</f>
        <v>9151607.06</v>
      </c>
      <c r="N21" s="4">
        <f t="shared" si="3"/>
        <v>-6116296.06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v>14.0</v>
      </c>
      <c r="C22" s="3" t="s">
        <v>34</v>
      </c>
      <c r="D22" s="6">
        <v>3.72688420856E9</v>
      </c>
      <c r="E22" s="6">
        <v>1.076228597E7</v>
      </c>
      <c r="F22" s="6">
        <f t="shared" si="1"/>
        <v>3716121923</v>
      </c>
      <c r="G22" s="6">
        <v>3.61557357688E9</v>
      </c>
      <c r="H22" s="6">
        <v>25974.0</v>
      </c>
      <c r="I22" s="6">
        <v>1.186816845E7</v>
      </c>
      <c r="J22" s="6">
        <v>1.056275483E7</v>
      </c>
      <c r="K22" s="4">
        <f t="shared" si="2"/>
        <v>1305413.62</v>
      </c>
      <c r="L22" s="4">
        <f>I22+Aug!L22</f>
        <v>306115981.8</v>
      </c>
      <c r="M22" s="4">
        <f>J22+Aug!M22</f>
        <v>281220674.7</v>
      </c>
      <c r="N22" s="4">
        <f t="shared" si="3"/>
        <v>24895307.1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v>15.0</v>
      </c>
      <c r="C23" s="3" t="s">
        <v>35</v>
      </c>
      <c r="D23" s="6">
        <v>8.203842784E9</v>
      </c>
      <c r="E23" s="6">
        <v>6.6414984E7</v>
      </c>
      <c r="F23" s="6">
        <f t="shared" si="1"/>
        <v>8137427800</v>
      </c>
      <c r="G23" s="6">
        <v>8.063476134E9</v>
      </c>
      <c r="H23" s="6">
        <v>13694.0</v>
      </c>
      <c r="I23" s="6">
        <v>3965965.0</v>
      </c>
      <c r="J23" s="6">
        <v>8.2736222E7</v>
      </c>
      <c r="K23" s="4">
        <f t="shared" si="2"/>
        <v>-78770257</v>
      </c>
      <c r="L23" s="4">
        <f>I23+Aug!L23</f>
        <v>16762879</v>
      </c>
      <c r="M23" s="4">
        <f>J23+Aug!M23</f>
        <v>812459393.6</v>
      </c>
      <c r="N23" s="4">
        <f t="shared" si="3"/>
        <v>-795696514.6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v>16.0</v>
      </c>
      <c r="C24" s="21" t="s">
        <v>36</v>
      </c>
      <c r="D24" s="6">
        <v>3.40089100619E9</v>
      </c>
      <c r="E24" s="6">
        <v>4952001.62</v>
      </c>
      <c r="F24" s="6">
        <f t="shared" si="1"/>
        <v>3395939005</v>
      </c>
      <c r="G24" s="6">
        <v>3.13895139185E9</v>
      </c>
      <c r="H24" s="6">
        <v>14346.0</v>
      </c>
      <c r="I24" s="6">
        <v>7.672326711E7</v>
      </c>
      <c r="J24" s="6">
        <v>2291365.31</v>
      </c>
      <c r="K24" s="4">
        <f t="shared" si="2"/>
        <v>74431901.8</v>
      </c>
      <c r="L24" s="4">
        <f>I24+Aug!L24</f>
        <v>426408831.2</v>
      </c>
      <c r="M24" s="4">
        <f>J24+Aug!M24</f>
        <v>30770373.01</v>
      </c>
      <c r="N24" s="4">
        <f t="shared" si="3"/>
        <v>395638458.2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v>17.0</v>
      </c>
      <c r="C25" s="23" t="s">
        <v>37</v>
      </c>
      <c r="D25" s="6">
        <v>6.673528828E9</v>
      </c>
      <c r="E25" s="6">
        <v>8.7890355E7</v>
      </c>
      <c r="F25" s="6">
        <f t="shared" si="1"/>
        <v>6585638473</v>
      </c>
      <c r="G25" s="6">
        <v>6.42105689E9</v>
      </c>
      <c r="H25" s="6">
        <v>66805.0</v>
      </c>
      <c r="I25" s="6">
        <v>1.7864142E7</v>
      </c>
      <c r="J25" s="6">
        <v>8.373491E7</v>
      </c>
      <c r="K25" s="4">
        <f t="shared" si="2"/>
        <v>-65870768</v>
      </c>
      <c r="L25" s="4">
        <f>I25+Aug!L25</f>
        <v>295952389.6</v>
      </c>
      <c r="M25" s="4">
        <f>J25+Aug!M25</f>
        <v>751281102.7</v>
      </c>
      <c r="N25" s="4">
        <f t="shared" si="3"/>
        <v>-455328713.1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v>18.0</v>
      </c>
      <c r="C26" s="23" t="s">
        <v>38</v>
      </c>
      <c r="D26" s="6">
        <v>1.1227921235E10</v>
      </c>
      <c r="E26" s="6">
        <v>1.61016313E8</v>
      </c>
      <c r="F26" s="6">
        <f t="shared" si="1"/>
        <v>11066904922</v>
      </c>
      <c r="G26" s="6">
        <v>1.1018130927E10</v>
      </c>
      <c r="H26" s="6">
        <v>57651.0</v>
      </c>
      <c r="I26" s="6">
        <v>5.427617E7</v>
      </c>
      <c r="J26" s="6">
        <v>2.26324953E8</v>
      </c>
      <c r="K26" s="4">
        <f t="shared" si="2"/>
        <v>-172048783</v>
      </c>
      <c r="L26" s="4">
        <f>I26+Aug!L26</f>
        <v>1390013008</v>
      </c>
      <c r="M26" s="4">
        <f>J26+Aug!M26</f>
        <v>1882925674</v>
      </c>
      <c r="N26" s="4">
        <f t="shared" si="3"/>
        <v>-492912666.8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v>19.0</v>
      </c>
      <c r="C27" s="3" t="s">
        <v>39</v>
      </c>
      <c r="D27" s="6">
        <v>5.8080473924E8</v>
      </c>
      <c r="E27" s="6">
        <v>4756478.47</v>
      </c>
      <c r="F27" s="6">
        <f t="shared" si="1"/>
        <v>576048260.8</v>
      </c>
      <c r="G27" s="6">
        <v>4.779175907E8</v>
      </c>
      <c r="H27" s="6">
        <v>1262.0</v>
      </c>
      <c r="I27" s="6">
        <v>190749.7</v>
      </c>
      <c r="J27" s="6">
        <v>254501.72</v>
      </c>
      <c r="K27" s="4">
        <f t="shared" si="2"/>
        <v>-63752.02</v>
      </c>
      <c r="L27" s="4">
        <f>I27+Aug!L27</f>
        <v>5618844.97</v>
      </c>
      <c r="M27" s="4">
        <f>J27+Aug!M27</f>
        <v>8919170.29</v>
      </c>
      <c r="N27" s="4">
        <f t="shared" si="3"/>
        <v>-3300325.32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v>20.0</v>
      </c>
      <c r="C29" s="3" t="s">
        <v>41</v>
      </c>
      <c r="D29" s="6">
        <v>2.1083140155E8</v>
      </c>
      <c r="E29" s="6">
        <v>203410.03</v>
      </c>
      <c r="F29" s="6">
        <f t="shared" ref="F29:F31" si="4">D29-E29</f>
        <v>210627991.5</v>
      </c>
      <c r="G29" s="6">
        <v>2.0518106509E8</v>
      </c>
      <c r="H29" s="6">
        <v>2426.0</v>
      </c>
      <c r="I29" s="6">
        <v>5808908.17</v>
      </c>
      <c r="J29" s="6">
        <v>657007.33</v>
      </c>
      <c r="K29" s="4">
        <f t="shared" ref="K29:K31" si="5">I29-J29</f>
        <v>5151900.84</v>
      </c>
      <c r="L29" s="4">
        <f>I29+Aug!L29</f>
        <v>115923971.5</v>
      </c>
      <c r="M29" s="4">
        <f>J29+Aug!M29</f>
        <v>9830242.67</v>
      </c>
      <c r="N29" s="4">
        <f t="shared" ref="N29:N31" si="6">L29-M29</f>
        <v>106093728.8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3"/>
      <c r="B30" s="2">
        <v>21.0</v>
      </c>
      <c r="C30" s="3" t="s">
        <v>42</v>
      </c>
      <c r="D30" s="6">
        <v>3.20402822134E8</v>
      </c>
      <c r="E30" s="6">
        <v>1035913.639</v>
      </c>
      <c r="F30" s="6">
        <f t="shared" si="4"/>
        <v>319366908.5</v>
      </c>
      <c r="G30" s="6">
        <v>2.823421961E8</v>
      </c>
      <c r="H30" s="6">
        <v>1328.0</v>
      </c>
      <c r="I30" s="6">
        <v>498777.42</v>
      </c>
      <c r="J30" s="6">
        <v>1336881.98</v>
      </c>
      <c r="K30" s="4">
        <f t="shared" si="5"/>
        <v>-838104.56</v>
      </c>
      <c r="L30" s="4">
        <f>I30+Aug!L30</f>
        <v>16934899.74</v>
      </c>
      <c r="M30" s="4">
        <f>J30+Aug!M30</f>
        <v>24248362.41</v>
      </c>
      <c r="N30" s="4">
        <f t="shared" si="6"/>
        <v>-7313462.67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v>22.0</v>
      </c>
      <c r="C31" s="3" t="s">
        <v>35</v>
      </c>
      <c r="D31" s="6">
        <v>5.72433208E8</v>
      </c>
      <c r="E31" s="6">
        <v>8200212.0</v>
      </c>
      <c r="F31" s="6">
        <f t="shared" si="4"/>
        <v>564232996</v>
      </c>
      <c r="G31" s="6">
        <v>5.59183407E8</v>
      </c>
      <c r="H31" s="6">
        <v>560423.0</v>
      </c>
      <c r="I31" s="6">
        <v>1.9961507E7</v>
      </c>
      <c r="J31" s="6">
        <v>8145030.0</v>
      </c>
      <c r="K31" s="4">
        <f t="shared" si="5"/>
        <v>11816477</v>
      </c>
      <c r="L31" s="4">
        <f>I31+Aug!L31</f>
        <v>266909053.4</v>
      </c>
      <c r="M31" s="4">
        <f>J31+Aug!M31</f>
        <v>170504854.4</v>
      </c>
      <c r="N31" s="4">
        <f t="shared" si="6"/>
        <v>96404198.92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18" t="s">
        <v>43</v>
      </c>
      <c r="B32" s="2"/>
      <c r="C32" s="3"/>
      <c r="D32" s="6"/>
      <c r="E32" s="6"/>
      <c r="F32" s="6"/>
      <c r="G32" s="6"/>
      <c r="H32" s="6"/>
      <c r="I32" s="6"/>
      <c r="J32" s="6"/>
      <c r="K32" s="4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1.25" customHeight="1">
      <c r="A33" s="3"/>
      <c r="B33" s="2">
        <v>23.0</v>
      </c>
      <c r="C33" s="3" t="s">
        <v>44</v>
      </c>
      <c r="D33" s="6">
        <v>2.104806593E9</v>
      </c>
      <c r="E33" s="6">
        <v>1.2752321E7</v>
      </c>
      <c r="F33" s="6">
        <f>D33-E33</f>
        <v>2092054272</v>
      </c>
      <c r="G33" s="6">
        <v>2.084640787E9</v>
      </c>
      <c r="H33" s="6">
        <v>3314.0</v>
      </c>
      <c r="I33" s="6">
        <v>9529780.0</v>
      </c>
      <c r="J33" s="6">
        <v>1.1059499E7</v>
      </c>
      <c r="K33" s="4">
        <f>I33-J33</f>
        <v>-1529719</v>
      </c>
      <c r="L33" s="4">
        <f>I33+Aug!L33</f>
        <v>64488749</v>
      </c>
      <c r="M33" s="4">
        <f>J33+Aug!M33</f>
        <v>150007830</v>
      </c>
      <c r="N33" s="4">
        <f>L33-M33</f>
        <v>-85519081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24" t="s">
        <v>45</v>
      </c>
      <c r="B34" s="25"/>
      <c r="C34" s="1"/>
      <c r="D34" s="54">
        <f t="shared" ref="D34:N34" si="7">SUM(D9:D33)</f>
        <v>65095278339</v>
      </c>
      <c r="E34" s="54">
        <f t="shared" si="7"/>
        <v>676503929.5</v>
      </c>
      <c r="F34" s="54">
        <f t="shared" si="7"/>
        <v>64418774410</v>
      </c>
      <c r="G34" s="54">
        <f t="shared" si="7"/>
        <v>61245425789</v>
      </c>
      <c r="H34" s="27">
        <f t="shared" si="7"/>
        <v>845081</v>
      </c>
      <c r="I34" s="54">
        <f t="shared" si="7"/>
        <v>286768323.4</v>
      </c>
      <c r="J34" s="54">
        <f t="shared" si="7"/>
        <v>691197984.5</v>
      </c>
      <c r="K34" s="54">
        <f t="shared" si="7"/>
        <v>-404429661.2</v>
      </c>
      <c r="L34" s="54">
        <f t="shared" si="7"/>
        <v>4136432646</v>
      </c>
      <c r="M34" s="54">
        <f t="shared" si="7"/>
        <v>6600649751</v>
      </c>
      <c r="N34" s="54">
        <f t="shared" si="7"/>
        <v>-2464217105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0" customHeight="1">
      <c r="A35" s="18" t="s">
        <v>46</v>
      </c>
      <c r="B35" s="2"/>
      <c r="C35" s="3"/>
      <c r="D35" s="6"/>
      <c r="E35" s="6"/>
      <c r="F35" s="6"/>
      <c r="G35" s="6"/>
      <c r="H35" s="20"/>
      <c r="I35" s="6"/>
      <c r="J35" s="4"/>
      <c r="K35" s="4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12.0" customHeight="1">
      <c r="A36" s="3"/>
      <c r="B36" s="2">
        <v>24.0</v>
      </c>
      <c r="C36" s="3" t="s">
        <v>47</v>
      </c>
      <c r="D36" s="6">
        <v>3.338288438E7</v>
      </c>
      <c r="E36" s="6">
        <v>741518.91</v>
      </c>
      <c r="F36" s="6">
        <f t="shared" ref="F36:F37" si="8">D36-E36</f>
        <v>32641365.47</v>
      </c>
      <c r="G36" s="6">
        <v>552927.43</v>
      </c>
      <c r="H36" s="6">
        <v>54.0</v>
      </c>
      <c r="I36" s="6">
        <v>1348.83</v>
      </c>
      <c r="J36" s="6">
        <v>0.0</v>
      </c>
      <c r="K36" s="4">
        <f t="shared" ref="K36:K37" si="9">I36-J36</f>
        <v>1348.83</v>
      </c>
      <c r="L36" s="4">
        <f>I36+Aug!L36</f>
        <v>212916.1281</v>
      </c>
      <c r="M36" s="4">
        <f>J36+Aug!M36</f>
        <v>378145.6639</v>
      </c>
      <c r="N36" s="4">
        <f t="shared" ref="N36:N37" si="10">L36-M36</f>
        <v>-165229.5358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v>25.0</v>
      </c>
      <c r="C37" s="3" t="s">
        <v>48</v>
      </c>
      <c r="D37" s="6">
        <v>1.916848897E9</v>
      </c>
      <c r="E37" s="6">
        <v>7.7712438E7</v>
      </c>
      <c r="F37" s="6">
        <f t="shared" si="8"/>
        <v>1839136459</v>
      </c>
      <c r="G37" s="6">
        <v>0.0</v>
      </c>
      <c r="H37" s="6">
        <v>2916.0</v>
      </c>
      <c r="I37" s="6">
        <v>9746017.0</v>
      </c>
      <c r="J37" s="6">
        <v>4.273665E7</v>
      </c>
      <c r="K37" s="4">
        <f t="shared" si="9"/>
        <v>-32990633</v>
      </c>
      <c r="L37" s="4">
        <f>I37+Aug!L37</f>
        <v>59343237.47</v>
      </c>
      <c r="M37" s="4">
        <f>J37+Aug!M37</f>
        <v>158120794.4</v>
      </c>
      <c r="N37" s="4">
        <f t="shared" si="10"/>
        <v>-98777556.96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24" t="s">
        <v>49</v>
      </c>
      <c r="B38" s="25"/>
      <c r="C38" s="1"/>
      <c r="D38" s="54">
        <f t="shared" ref="D38:N38" si="11">SUM(D36:D37)</f>
        <v>1950231781</v>
      </c>
      <c r="E38" s="54">
        <f t="shared" si="11"/>
        <v>78453956.91</v>
      </c>
      <c r="F38" s="54">
        <f t="shared" si="11"/>
        <v>1871777824</v>
      </c>
      <c r="G38" s="54">
        <f t="shared" si="11"/>
        <v>552927.43</v>
      </c>
      <c r="H38" s="27">
        <f t="shared" si="11"/>
        <v>2970</v>
      </c>
      <c r="I38" s="54">
        <f t="shared" si="11"/>
        <v>9747365.83</v>
      </c>
      <c r="J38" s="54">
        <f t="shared" si="11"/>
        <v>42736650</v>
      </c>
      <c r="K38" s="54">
        <f t="shared" si="11"/>
        <v>-32989284.17</v>
      </c>
      <c r="L38" s="54">
        <f t="shared" si="11"/>
        <v>59556153.6</v>
      </c>
      <c r="M38" s="54">
        <f t="shared" si="11"/>
        <v>158498940.1</v>
      </c>
      <c r="N38" s="54">
        <f t="shared" si="11"/>
        <v>-98942786.5</v>
      </c>
      <c r="O38" s="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0" customHeight="1">
      <c r="A39" s="1" t="s">
        <v>50</v>
      </c>
      <c r="B39" s="25"/>
      <c r="C39" s="1"/>
      <c r="D39" s="54">
        <f t="shared" ref="D39:N39" si="12">D34+D38</f>
        <v>67045510121</v>
      </c>
      <c r="E39" s="54">
        <f t="shared" si="12"/>
        <v>754957886.4</v>
      </c>
      <c r="F39" s="54">
        <f t="shared" si="12"/>
        <v>66290552234</v>
      </c>
      <c r="G39" s="54">
        <f t="shared" si="12"/>
        <v>61245978716</v>
      </c>
      <c r="H39" s="27">
        <f t="shared" si="12"/>
        <v>848051</v>
      </c>
      <c r="I39" s="54">
        <f t="shared" si="12"/>
        <v>296515689.2</v>
      </c>
      <c r="J39" s="54">
        <f t="shared" si="12"/>
        <v>733934634.5</v>
      </c>
      <c r="K39" s="54">
        <f t="shared" si="12"/>
        <v>-437418945.3</v>
      </c>
      <c r="L39" s="54">
        <f t="shared" si="12"/>
        <v>4195988800</v>
      </c>
      <c r="M39" s="54">
        <f t="shared" si="12"/>
        <v>6759148691</v>
      </c>
      <c r="N39" s="54">
        <f t="shared" si="12"/>
        <v>-2563159891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"/>
      <c r="C40" s="3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18" t="s">
        <v>20</v>
      </c>
      <c r="B41" s="2"/>
      <c r="C41" s="3"/>
      <c r="D41" s="6"/>
      <c r="E41" s="6"/>
      <c r="F41" s="6"/>
      <c r="G41" s="6"/>
      <c r="H41" s="20"/>
      <c r="I41" s="6"/>
      <c r="J41" s="4"/>
      <c r="K41" s="4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/>
      <c r="B42" s="2">
        <v>26.0</v>
      </c>
      <c r="C42" s="3" t="s">
        <v>52</v>
      </c>
      <c r="D42" s="6">
        <v>1.1536162024E8</v>
      </c>
      <c r="E42" s="6">
        <v>1343141.89</v>
      </c>
      <c r="F42" s="6">
        <f t="shared" ref="F42:F51" si="13">D42-E42</f>
        <v>114018478.4</v>
      </c>
      <c r="G42" s="6">
        <v>5.28196611E7</v>
      </c>
      <c r="H42" s="20">
        <v>710.0</v>
      </c>
      <c r="I42" s="6">
        <v>175730.25</v>
      </c>
      <c r="J42" s="4">
        <v>466317.74</v>
      </c>
      <c r="K42" s="4">
        <f t="shared" ref="K42:K51" si="14">I42-J42</f>
        <v>-290587.49</v>
      </c>
      <c r="L42" s="4">
        <f>I42+Aug!L42</f>
        <v>3306738.85</v>
      </c>
      <c r="M42" s="4">
        <f>J42+Aug!M42</f>
        <v>3901362.99</v>
      </c>
      <c r="N42" s="4">
        <f t="shared" ref="N42:N51" si="15">L42-M42</f>
        <v>-594624.14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v>27.0</v>
      </c>
      <c r="C43" s="3" t="s">
        <v>53</v>
      </c>
      <c r="D43" s="6">
        <v>4.8806662545E8</v>
      </c>
      <c r="E43" s="6">
        <v>69773.57</v>
      </c>
      <c r="F43" s="6">
        <f t="shared" si="13"/>
        <v>487996851.9</v>
      </c>
      <c r="G43" s="6">
        <v>2.7821130375E8</v>
      </c>
      <c r="H43" s="20">
        <v>2375.0</v>
      </c>
      <c r="I43" s="6">
        <v>368750.16</v>
      </c>
      <c r="J43" s="4">
        <v>2.030323482E7</v>
      </c>
      <c r="K43" s="4">
        <f t="shared" si="14"/>
        <v>-19934484.66</v>
      </c>
      <c r="L43" s="4">
        <f>I43+Aug!L43</f>
        <v>7692940.92</v>
      </c>
      <c r="M43" s="4">
        <f>J43+Aug!M43</f>
        <v>109165995.4</v>
      </c>
      <c r="N43" s="4">
        <f t="shared" si="15"/>
        <v>-101473054.5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v>28.0</v>
      </c>
      <c r="C44" s="3" t="s">
        <v>54</v>
      </c>
      <c r="D44" s="6">
        <v>9.72389916E8</v>
      </c>
      <c r="E44" s="6">
        <v>1.7166887E7</v>
      </c>
      <c r="F44" s="6">
        <f t="shared" si="13"/>
        <v>955223029</v>
      </c>
      <c r="G44" s="6">
        <v>5.47521528E8</v>
      </c>
      <c r="H44" s="20">
        <v>4507.0</v>
      </c>
      <c r="I44" s="6">
        <v>3929192.0</v>
      </c>
      <c r="J44" s="4">
        <v>4.332905E7</v>
      </c>
      <c r="K44" s="4">
        <f t="shared" si="14"/>
        <v>-39399858</v>
      </c>
      <c r="L44" s="4">
        <f>I44+Aug!L44</f>
        <v>15931692.55</v>
      </c>
      <c r="M44" s="4">
        <f>J44+Aug!M44</f>
        <v>106482692.1</v>
      </c>
      <c r="N44" s="4">
        <f t="shared" si="15"/>
        <v>-90550999.53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v>29.0</v>
      </c>
      <c r="C45" s="3" t="s">
        <v>55</v>
      </c>
      <c r="D45" s="6">
        <v>2.89148194E8</v>
      </c>
      <c r="E45" s="6">
        <v>1.0286153E7</v>
      </c>
      <c r="F45" s="6">
        <f t="shared" si="13"/>
        <v>278862041</v>
      </c>
      <c r="G45" s="6">
        <v>1.84020058E8</v>
      </c>
      <c r="H45" s="20">
        <v>237.0</v>
      </c>
      <c r="I45" s="6">
        <v>1591405.0</v>
      </c>
      <c r="J45" s="4">
        <v>1943108.0</v>
      </c>
      <c r="K45" s="4">
        <f t="shared" si="14"/>
        <v>-351703</v>
      </c>
      <c r="L45" s="4">
        <f>I45+Aug!L45</f>
        <v>36020678.27</v>
      </c>
      <c r="M45" s="4">
        <f>J45+Aug!M45</f>
        <v>50863639.26</v>
      </c>
      <c r="N45" s="4">
        <f t="shared" si="15"/>
        <v>-14842960.99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v>30.0</v>
      </c>
      <c r="C46" s="3" t="s">
        <v>56</v>
      </c>
      <c r="D46" s="6">
        <v>3.3855863992E8</v>
      </c>
      <c r="E46" s="6">
        <v>2618397.64</v>
      </c>
      <c r="F46" s="6">
        <f t="shared" si="13"/>
        <v>335940242.3</v>
      </c>
      <c r="G46" s="6">
        <v>1.5222916019E8</v>
      </c>
      <c r="H46" s="20">
        <v>51.0</v>
      </c>
      <c r="I46" s="6">
        <v>0.0</v>
      </c>
      <c r="J46" s="4">
        <v>1079623.0</v>
      </c>
      <c r="K46" s="4">
        <f t="shared" si="14"/>
        <v>-1079623</v>
      </c>
      <c r="L46" s="4">
        <f>I46+Aug!L46</f>
        <v>0</v>
      </c>
      <c r="M46" s="4">
        <f>J46+Aug!M46</f>
        <v>2710319</v>
      </c>
      <c r="N46" s="4">
        <f t="shared" si="15"/>
        <v>-2710319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v>31.0</v>
      </c>
      <c r="C47" s="3" t="s">
        <v>57</v>
      </c>
      <c r="D47" s="6">
        <v>5.17090021E8</v>
      </c>
      <c r="E47" s="6">
        <v>1.7078337E7</v>
      </c>
      <c r="F47" s="6">
        <f t="shared" si="13"/>
        <v>500011684</v>
      </c>
      <c r="G47" s="6">
        <v>2.53998604E8</v>
      </c>
      <c r="H47" s="20">
        <v>9947.0</v>
      </c>
      <c r="I47" s="6">
        <v>178359.0</v>
      </c>
      <c r="J47" s="4">
        <v>4272182.0</v>
      </c>
      <c r="K47" s="4">
        <f t="shared" si="14"/>
        <v>-4093823</v>
      </c>
      <c r="L47" s="4">
        <f>I47+Aug!L47</f>
        <v>3159712.86</v>
      </c>
      <c r="M47" s="4">
        <f>J47+Aug!M47</f>
        <v>54663431.57</v>
      </c>
      <c r="N47" s="4">
        <f t="shared" si="15"/>
        <v>-51503718.71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v>32.0</v>
      </c>
      <c r="C48" s="3" t="s">
        <v>58</v>
      </c>
      <c r="D48" s="6">
        <v>1.991416979E9</v>
      </c>
      <c r="E48" s="6">
        <v>3.3837756E7</v>
      </c>
      <c r="F48" s="6">
        <f t="shared" si="13"/>
        <v>1957579223</v>
      </c>
      <c r="G48" s="6">
        <v>9.63557161E8</v>
      </c>
      <c r="H48" s="20">
        <v>7985.0</v>
      </c>
      <c r="I48" s="6">
        <v>3038596.0</v>
      </c>
      <c r="J48" s="4">
        <v>1.2097549E7</v>
      </c>
      <c r="K48" s="4">
        <f t="shared" si="14"/>
        <v>-9058953</v>
      </c>
      <c r="L48" s="4">
        <f>I48+Aug!L48</f>
        <v>19055012.04</v>
      </c>
      <c r="M48" s="4">
        <f>J48+Aug!M48</f>
        <v>137481781.4</v>
      </c>
      <c r="N48" s="4">
        <f t="shared" si="15"/>
        <v>-118426769.4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1.25" customHeight="1">
      <c r="A49" s="18"/>
      <c r="B49" s="2">
        <v>33.0</v>
      </c>
      <c r="C49" s="3" t="s">
        <v>59</v>
      </c>
      <c r="D49" s="6">
        <v>1.18200524E8</v>
      </c>
      <c r="E49" s="6">
        <v>148664.0</v>
      </c>
      <c r="F49" s="6">
        <f t="shared" si="13"/>
        <v>118051860</v>
      </c>
      <c r="G49" s="6">
        <v>6.917403E7</v>
      </c>
      <c r="H49" s="20">
        <v>190.0</v>
      </c>
      <c r="I49" s="6">
        <v>0.0</v>
      </c>
      <c r="J49" s="4">
        <v>2564686.0</v>
      </c>
      <c r="K49" s="4">
        <f t="shared" si="14"/>
        <v>-2564686</v>
      </c>
      <c r="L49" s="4">
        <f>I49+Aug!L49</f>
        <v>246291.67</v>
      </c>
      <c r="M49" s="4">
        <f>J49+Aug!M49</f>
        <v>19844422.55</v>
      </c>
      <c r="N49" s="4">
        <f t="shared" si="15"/>
        <v>-19598130.88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v>34.0</v>
      </c>
      <c r="C50" s="3" t="s">
        <v>60</v>
      </c>
      <c r="D50" s="6">
        <v>6.866718819E9</v>
      </c>
      <c r="E50" s="6">
        <v>5.9233508E7</v>
      </c>
      <c r="F50" s="6">
        <f t="shared" si="13"/>
        <v>6807485311</v>
      </c>
      <c r="G50" s="6">
        <v>3.726227817E9</v>
      </c>
      <c r="H50" s="20">
        <v>53988.0</v>
      </c>
      <c r="I50" s="6">
        <v>7958539.0</v>
      </c>
      <c r="J50" s="4">
        <v>9.70159E7</v>
      </c>
      <c r="K50" s="4">
        <f t="shared" si="14"/>
        <v>-89057361</v>
      </c>
      <c r="L50" s="4">
        <f>I50+Aug!L50</f>
        <v>79832469.15</v>
      </c>
      <c r="M50" s="4">
        <f>J50+Aug!M50</f>
        <v>512817580.2</v>
      </c>
      <c r="N50" s="4">
        <f t="shared" si="15"/>
        <v>-432985111.1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v>35.0</v>
      </c>
      <c r="C51" s="3" t="s">
        <v>61</v>
      </c>
      <c r="D51" s="6">
        <v>1.056421344E9</v>
      </c>
      <c r="E51" s="6">
        <v>9605292.0</v>
      </c>
      <c r="F51" s="6">
        <f t="shared" si="13"/>
        <v>1046816052</v>
      </c>
      <c r="G51" s="6">
        <v>6.18761084E8</v>
      </c>
      <c r="H51" s="20">
        <v>4999.0</v>
      </c>
      <c r="I51" s="6">
        <v>0.0</v>
      </c>
      <c r="J51" s="4">
        <v>1.2780725E7</v>
      </c>
      <c r="K51" s="4">
        <f t="shared" si="14"/>
        <v>-12780725</v>
      </c>
      <c r="L51" s="4">
        <f>I51+Aug!L51</f>
        <v>0</v>
      </c>
      <c r="M51" s="4">
        <f>J51+Aug!M51</f>
        <v>111625685.8</v>
      </c>
      <c r="N51" s="4">
        <f t="shared" si="15"/>
        <v>-111625685.8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18" t="s">
        <v>40</v>
      </c>
      <c r="B52" s="2"/>
      <c r="C52" s="3"/>
      <c r="D52" s="6"/>
      <c r="E52" s="6"/>
      <c r="F52" s="6"/>
      <c r="G52" s="6"/>
      <c r="H52" s="20"/>
      <c r="I52" s="6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v>36.0</v>
      </c>
      <c r="C53" s="3" t="s">
        <v>62</v>
      </c>
      <c r="D53" s="6">
        <v>7.6844768E7</v>
      </c>
      <c r="E53" s="6">
        <v>318905.0</v>
      </c>
      <c r="F53" s="6">
        <f t="shared" ref="F53:F55" si="16">D53-E53</f>
        <v>76525863</v>
      </c>
      <c r="G53" s="6">
        <v>2.2879988E7</v>
      </c>
      <c r="H53" s="20">
        <v>1134.0</v>
      </c>
      <c r="I53" s="6">
        <v>1146539.0</v>
      </c>
      <c r="J53" s="4">
        <v>334851.0</v>
      </c>
      <c r="K53" s="4">
        <f t="shared" ref="K53:K55" si="17">I53-J53</f>
        <v>811688</v>
      </c>
      <c r="L53" s="4">
        <f>I53+Aug!L53</f>
        <v>4595675.2</v>
      </c>
      <c r="M53" s="4">
        <f>J53+Aug!M53</f>
        <v>3082474.55</v>
      </c>
      <c r="N53" s="4">
        <f t="shared" ref="N53:N55" si="18">L53-M53</f>
        <v>1513200.65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v>37.0</v>
      </c>
      <c r="C54" s="3" t="s">
        <v>63</v>
      </c>
      <c r="D54" s="6">
        <v>5.4251076E7</v>
      </c>
      <c r="E54" s="6">
        <v>243123.0</v>
      </c>
      <c r="F54" s="6">
        <f t="shared" si="16"/>
        <v>54007953</v>
      </c>
      <c r="G54" s="6">
        <v>4.2047389E7</v>
      </c>
      <c r="H54" s="20">
        <v>448.0</v>
      </c>
      <c r="I54" s="6">
        <v>316500.0</v>
      </c>
      <c r="J54" s="4">
        <v>22385.0</v>
      </c>
      <c r="K54" s="4">
        <f t="shared" si="17"/>
        <v>294115</v>
      </c>
      <c r="L54" s="4">
        <f>I54+Aug!L54</f>
        <v>1659126</v>
      </c>
      <c r="M54" s="4">
        <f>J54+Aug!M54</f>
        <v>1919608.19</v>
      </c>
      <c r="N54" s="4">
        <f t="shared" si="18"/>
        <v>-260482.19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v>38.0</v>
      </c>
      <c r="C55" s="3" t="s">
        <v>64</v>
      </c>
      <c r="D55" s="6">
        <v>4.6076687E7</v>
      </c>
      <c r="E55" s="6">
        <v>318773.0</v>
      </c>
      <c r="F55" s="6">
        <f t="shared" si="16"/>
        <v>45757914</v>
      </c>
      <c r="G55" s="6">
        <v>3.8432086E7</v>
      </c>
      <c r="H55" s="20">
        <v>203.0</v>
      </c>
      <c r="I55" s="6">
        <v>58500.0</v>
      </c>
      <c r="J55" s="4">
        <v>104187.0</v>
      </c>
      <c r="K55" s="4">
        <f t="shared" si="17"/>
        <v>-45687</v>
      </c>
      <c r="L55" s="4">
        <f>I55+Aug!L55</f>
        <v>500638</v>
      </c>
      <c r="M55" s="4">
        <f>J55+Aug!M55</f>
        <v>230168.96</v>
      </c>
      <c r="N55" s="4">
        <f t="shared" si="18"/>
        <v>270469.04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4" t="s">
        <v>45</v>
      </c>
      <c r="B56" s="24"/>
      <c r="C56" s="1"/>
      <c r="D56" s="54">
        <f t="shared" ref="D56:N56" si="19">SUM(D42:D55)</f>
        <v>12930545214</v>
      </c>
      <c r="E56" s="54">
        <f t="shared" si="19"/>
        <v>152268711.1</v>
      </c>
      <c r="F56" s="54">
        <f t="shared" si="19"/>
        <v>12778276503</v>
      </c>
      <c r="G56" s="54">
        <f t="shared" si="19"/>
        <v>6949879870</v>
      </c>
      <c r="H56" s="27">
        <f t="shared" si="19"/>
        <v>86774</v>
      </c>
      <c r="I56" s="54">
        <f t="shared" si="19"/>
        <v>18762110.41</v>
      </c>
      <c r="J56" s="54">
        <f t="shared" si="19"/>
        <v>196313798.6</v>
      </c>
      <c r="K56" s="54">
        <f t="shared" si="19"/>
        <v>-177551688.2</v>
      </c>
      <c r="L56" s="54">
        <f t="shared" si="19"/>
        <v>172000975.5</v>
      </c>
      <c r="M56" s="54">
        <f t="shared" si="19"/>
        <v>1114789162</v>
      </c>
      <c r="N56" s="54">
        <f t="shared" si="19"/>
        <v>-942788186.5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0" customHeight="1">
      <c r="A57" s="18" t="s">
        <v>46</v>
      </c>
      <c r="B57" s="2"/>
      <c r="C57" s="3"/>
      <c r="D57" s="6"/>
      <c r="E57" s="6"/>
      <c r="F57" s="6"/>
      <c r="G57" s="6"/>
      <c r="H57" s="20"/>
      <c r="I57" s="6"/>
      <c r="J57" s="4"/>
      <c r="K57" s="4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18"/>
      <c r="B58" s="2">
        <v>39.0</v>
      </c>
      <c r="C58" s="3" t="s">
        <v>108</v>
      </c>
      <c r="D58" s="6">
        <v>7.117339462E7</v>
      </c>
      <c r="E58" s="6">
        <v>486328.32</v>
      </c>
      <c r="F58" s="6">
        <f t="shared" ref="F58:F61" si="20">D58-E58</f>
        <v>70687066.3</v>
      </c>
      <c r="G58" s="6">
        <v>0.0</v>
      </c>
      <c r="H58" s="20">
        <v>51.0</v>
      </c>
      <c r="I58" s="6">
        <v>0.0</v>
      </c>
      <c r="J58" s="6">
        <v>0.0</v>
      </c>
      <c r="K58" s="4">
        <f t="shared" ref="K58:K61" si="21">I58-J58</f>
        <v>0</v>
      </c>
      <c r="L58" s="4">
        <f>I58+Aug!L58</f>
        <v>0</v>
      </c>
      <c r="M58" s="4">
        <f>J58+Aug!M58</f>
        <v>447875.7492</v>
      </c>
      <c r="N58" s="4">
        <f t="shared" ref="N58:N61" si="22">L58-M58</f>
        <v>-447875.7492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v>40.0</v>
      </c>
      <c r="C59" s="3" t="s">
        <v>66</v>
      </c>
      <c r="D59" s="6">
        <v>3.33054141E8</v>
      </c>
      <c r="E59" s="6">
        <v>2.9729956E7</v>
      </c>
      <c r="F59" s="6">
        <f t="shared" si="20"/>
        <v>303324185</v>
      </c>
      <c r="G59" s="6">
        <v>1.60400314E8</v>
      </c>
      <c r="H59" s="20">
        <v>247.0</v>
      </c>
      <c r="I59" s="6">
        <v>0.0</v>
      </c>
      <c r="J59" s="6">
        <v>773079.0</v>
      </c>
      <c r="K59" s="4">
        <f t="shared" si="21"/>
        <v>-773079</v>
      </c>
      <c r="L59" s="4">
        <f>I59+Aug!L59</f>
        <v>5631.4684</v>
      </c>
      <c r="M59" s="4">
        <f>J59+Aug!M59</f>
        <v>15655273.77</v>
      </c>
      <c r="N59" s="4">
        <f t="shared" si="22"/>
        <v>-15649642.3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2">
        <v>41.0</v>
      </c>
      <c r="C60" s="3" t="s">
        <v>67</v>
      </c>
      <c r="D60" s="6">
        <v>1.533528592E9</v>
      </c>
      <c r="E60" s="6">
        <v>4.1373467E7</v>
      </c>
      <c r="F60" s="6">
        <f t="shared" si="20"/>
        <v>1492155125</v>
      </c>
      <c r="G60" s="6">
        <v>0.0</v>
      </c>
      <c r="H60" s="20">
        <v>4157.0</v>
      </c>
      <c r="I60" s="6">
        <v>262683.0</v>
      </c>
      <c r="J60" s="6">
        <v>9832389.0</v>
      </c>
      <c r="K60" s="4">
        <f t="shared" si="21"/>
        <v>-9569706</v>
      </c>
      <c r="L60" s="4">
        <f>I60+Aug!L60</f>
        <v>15659763.29</v>
      </c>
      <c r="M60" s="4">
        <f>J60+Aug!M60</f>
        <v>103066352.2</v>
      </c>
      <c r="N60" s="4">
        <f t="shared" si="22"/>
        <v>-87406588.95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v>42.0</v>
      </c>
      <c r="C61" s="3" t="s">
        <v>68</v>
      </c>
      <c r="D61" s="6">
        <v>2.54319663E8</v>
      </c>
      <c r="E61" s="6">
        <v>3609680.0</v>
      </c>
      <c r="F61" s="6">
        <f t="shared" si="20"/>
        <v>250709983</v>
      </c>
      <c r="G61" s="6">
        <v>0.0</v>
      </c>
      <c r="H61" s="20">
        <v>738.0</v>
      </c>
      <c r="I61" s="6">
        <v>11315.0</v>
      </c>
      <c r="J61" s="6">
        <v>141956.0</v>
      </c>
      <c r="K61" s="4">
        <f t="shared" si="21"/>
        <v>-130641</v>
      </c>
      <c r="L61" s="4">
        <f>I61+Aug!L61</f>
        <v>9491790.064</v>
      </c>
      <c r="M61" s="4">
        <f>J61+Aug!M61</f>
        <v>52961186.42</v>
      </c>
      <c r="N61" s="4">
        <f t="shared" si="22"/>
        <v>-43469396.35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4" t="s">
        <v>49</v>
      </c>
      <c r="B62" s="25"/>
      <c r="C62" s="1"/>
      <c r="D62" s="54">
        <f t="shared" ref="D62:N62" si="23">SUM(D58:D61)</f>
        <v>2192075791</v>
      </c>
      <c r="E62" s="54">
        <f t="shared" si="23"/>
        <v>75199431.32</v>
      </c>
      <c r="F62" s="54">
        <f t="shared" si="23"/>
        <v>2116876359</v>
      </c>
      <c r="G62" s="54">
        <f t="shared" si="23"/>
        <v>160400314</v>
      </c>
      <c r="H62" s="27">
        <f t="shared" si="23"/>
        <v>5193</v>
      </c>
      <c r="I62" s="54">
        <f t="shared" si="23"/>
        <v>273998</v>
      </c>
      <c r="J62" s="54">
        <f t="shared" si="23"/>
        <v>10747424</v>
      </c>
      <c r="K62" s="54">
        <f t="shared" si="23"/>
        <v>-10473426</v>
      </c>
      <c r="L62" s="54">
        <f t="shared" si="23"/>
        <v>25157184.82</v>
      </c>
      <c r="M62" s="54">
        <f t="shared" si="23"/>
        <v>172130688.2</v>
      </c>
      <c r="N62" s="54">
        <f t="shared" si="23"/>
        <v>-146973503.4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0" customHeight="1">
      <c r="A63" s="1" t="s">
        <v>69</v>
      </c>
      <c r="B63" s="25"/>
      <c r="C63" s="1"/>
      <c r="D63" s="54">
        <f t="shared" ref="D63:N63" si="24">D56+D62</f>
        <v>15122621004</v>
      </c>
      <c r="E63" s="54">
        <f t="shared" si="24"/>
        <v>227468142.4</v>
      </c>
      <c r="F63" s="54">
        <f t="shared" si="24"/>
        <v>14895152862</v>
      </c>
      <c r="G63" s="54">
        <f t="shared" si="24"/>
        <v>7110280184</v>
      </c>
      <c r="H63" s="27">
        <f t="shared" si="24"/>
        <v>91967</v>
      </c>
      <c r="I63" s="54">
        <f t="shared" si="24"/>
        <v>19036108.41</v>
      </c>
      <c r="J63" s="54">
        <f t="shared" si="24"/>
        <v>207061222.6</v>
      </c>
      <c r="K63" s="54">
        <f t="shared" si="24"/>
        <v>-188025114.2</v>
      </c>
      <c r="L63" s="54">
        <f t="shared" si="24"/>
        <v>197158160.3</v>
      </c>
      <c r="M63" s="54">
        <f t="shared" si="24"/>
        <v>1286919850</v>
      </c>
      <c r="N63" s="54">
        <f t="shared" si="24"/>
        <v>-1089761690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"/>
      <c r="C64" s="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18" t="s">
        <v>20</v>
      </c>
      <c r="B65" s="2"/>
      <c r="C65" s="3"/>
      <c r="D65" s="6"/>
      <c r="E65" s="6"/>
      <c r="F65" s="6"/>
      <c r="G65" s="6"/>
      <c r="H65" s="20"/>
      <c r="I65" s="6"/>
      <c r="J65" s="4"/>
      <c r="K65" s="4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2">
        <v>43.0</v>
      </c>
      <c r="C66" s="3" t="s">
        <v>71</v>
      </c>
      <c r="D66" s="6">
        <v>3.7707316536E10</v>
      </c>
      <c r="E66" s="6">
        <v>2.07219098E8</v>
      </c>
      <c r="F66" s="6">
        <f t="shared" ref="F66:F76" si="25">D66-E66</f>
        <v>37500097438</v>
      </c>
      <c r="G66" s="6">
        <v>9.341189E8</v>
      </c>
      <c r="H66" s="20">
        <v>23913.0</v>
      </c>
      <c r="I66" s="6">
        <v>1.38798074E8</v>
      </c>
      <c r="J66" s="4">
        <v>6.10599874E8</v>
      </c>
      <c r="K66" s="4">
        <f t="shared" ref="K66:K76" si="26">I66-J66</f>
        <v>-471801800</v>
      </c>
      <c r="L66" s="4">
        <f>I66+Aug!L66</f>
        <v>2078132263</v>
      </c>
      <c r="M66" s="4">
        <f>J66+Aug!M66</f>
        <v>5228998965</v>
      </c>
      <c r="N66" s="4">
        <f t="shared" ref="N66:N76" si="27">L66-M66</f>
        <v>-3150866702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v>44.0</v>
      </c>
      <c r="C67" s="3" t="s">
        <v>72</v>
      </c>
      <c r="D67" s="6">
        <v>4.5524331867E8</v>
      </c>
      <c r="E67" s="6">
        <v>1948285.09</v>
      </c>
      <c r="F67" s="6">
        <f t="shared" si="25"/>
        <v>453295033.6</v>
      </c>
      <c r="G67" s="6">
        <v>0.0</v>
      </c>
      <c r="H67" s="20">
        <v>1058.0</v>
      </c>
      <c r="I67" s="6">
        <v>2955282.95</v>
      </c>
      <c r="J67" s="4">
        <v>3.398611836E7</v>
      </c>
      <c r="K67" s="4">
        <f t="shared" si="26"/>
        <v>-31030835.41</v>
      </c>
      <c r="L67" s="4">
        <f>I67+Aug!L67</f>
        <v>81400080.21</v>
      </c>
      <c r="M67" s="4">
        <f>J67+Aug!M67</f>
        <v>100636711.6</v>
      </c>
      <c r="N67" s="4">
        <f t="shared" si="27"/>
        <v>-19236631.38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v>45.0</v>
      </c>
      <c r="C68" s="3" t="s">
        <v>73</v>
      </c>
      <c r="D68" s="6">
        <v>9.4617226633E8</v>
      </c>
      <c r="E68" s="6">
        <v>1.694475998E7</v>
      </c>
      <c r="F68" s="6">
        <f t="shared" si="25"/>
        <v>929227506.4</v>
      </c>
      <c r="G68" s="6">
        <v>0.0</v>
      </c>
      <c r="H68" s="20">
        <v>1891.0</v>
      </c>
      <c r="I68" s="6">
        <v>3867377.57</v>
      </c>
      <c r="J68" s="4">
        <v>4462176.08</v>
      </c>
      <c r="K68" s="4">
        <f t="shared" si="26"/>
        <v>-594798.51</v>
      </c>
      <c r="L68" s="4">
        <f>I68+Aug!L68</f>
        <v>42090127.89</v>
      </c>
      <c r="M68" s="4">
        <f>J68+Aug!M68</f>
        <v>126634594.5</v>
      </c>
      <c r="N68" s="4">
        <f t="shared" si="27"/>
        <v>-84544466.64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1"/>
      <c r="B69" s="2">
        <v>46.0</v>
      </c>
      <c r="C69" s="3" t="s">
        <v>74</v>
      </c>
      <c r="D69" s="6">
        <v>1.97545491E8</v>
      </c>
      <c r="E69" s="6">
        <v>183816.0</v>
      </c>
      <c r="F69" s="6">
        <f t="shared" si="25"/>
        <v>197361675</v>
      </c>
      <c r="G69" s="6">
        <v>4997500.0</v>
      </c>
      <c r="H69" s="20">
        <v>191.0</v>
      </c>
      <c r="I69" s="6">
        <v>0.0</v>
      </c>
      <c r="J69" s="4">
        <v>323115.0</v>
      </c>
      <c r="K69" s="4">
        <f t="shared" si="26"/>
        <v>-323115</v>
      </c>
      <c r="L69" s="4">
        <f>I69+Aug!L69</f>
        <v>5411183.85</v>
      </c>
      <c r="M69" s="4">
        <f>J69+Aug!M69</f>
        <v>6230724.64</v>
      </c>
      <c r="N69" s="4">
        <f t="shared" si="27"/>
        <v>-819540.79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v>47.0</v>
      </c>
      <c r="C70" s="3" t="s">
        <v>75</v>
      </c>
      <c r="D70" s="6">
        <v>1.331828545E9</v>
      </c>
      <c r="E70" s="6">
        <v>2599245.0</v>
      </c>
      <c r="F70" s="6">
        <f t="shared" si="25"/>
        <v>1329229300</v>
      </c>
      <c r="G70" s="6">
        <v>0.0</v>
      </c>
      <c r="H70" s="20">
        <v>1825.0</v>
      </c>
      <c r="I70" s="6">
        <v>3981454.0</v>
      </c>
      <c r="J70" s="4">
        <v>5.136017E7</v>
      </c>
      <c r="K70" s="4">
        <f t="shared" si="26"/>
        <v>-47378716</v>
      </c>
      <c r="L70" s="4">
        <f>I70+Aug!L70</f>
        <v>284942365.1</v>
      </c>
      <c r="M70" s="4">
        <f>J70+Aug!M70</f>
        <v>253760132.7</v>
      </c>
      <c r="N70" s="4">
        <f t="shared" si="27"/>
        <v>31182232.46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v>48.0</v>
      </c>
      <c r="C71" s="3" t="s">
        <v>76</v>
      </c>
      <c r="D71" s="6">
        <v>7.36036057E8</v>
      </c>
      <c r="E71" s="6">
        <v>1.4280707E7</v>
      </c>
      <c r="F71" s="6">
        <f t="shared" si="25"/>
        <v>721755350</v>
      </c>
      <c r="G71" s="6">
        <v>0.0</v>
      </c>
      <c r="H71" s="20">
        <v>471.0</v>
      </c>
      <c r="I71" s="6">
        <v>1218537.0</v>
      </c>
      <c r="J71" s="4">
        <v>3817251.0</v>
      </c>
      <c r="K71" s="4">
        <f t="shared" si="26"/>
        <v>-2598714</v>
      </c>
      <c r="L71" s="4">
        <f>I71+Aug!L71</f>
        <v>15204903.49</v>
      </c>
      <c r="M71" s="4">
        <f>J71+Aug!M71</f>
        <v>127401826.8</v>
      </c>
      <c r="N71" s="4">
        <f t="shared" si="27"/>
        <v>-112196923.3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v>49.0</v>
      </c>
      <c r="C72" s="3" t="s">
        <v>77</v>
      </c>
      <c r="D72" s="6">
        <v>1.686760265E9</v>
      </c>
      <c r="E72" s="6">
        <v>2.9023023E7</v>
      </c>
      <c r="F72" s="6">
        <f t="shared" si="25"/>
        <v>1657737242</v>
      </c>
      <c r="G72" s="6">
        <v>0.0</v>
      </c>
      <c r="H72" s="20">
        <v>4923.0</v>
      </c>
      <c r="I72" s="6">
        <v>2579802.0</v>
      </c>
      <c r="J72" s="4">
        <v>4972562.0</v>
      </c>
      <c r="K72" s="4">
        <f t="shared" si="26"/>
        <v>-2392760</v>
      </c>
      <c r="L72" s="4">
        <f>I72+Aug!L72</f>
        <v>32020096.15</v>
      </c>
      <c r="M72" s="4">
        <f>J72+Aug!M72</f>
        <v>86923824.64</v>
      </c>
      <c r="N72" s="4">
        <f t="shared" si="27"/>
        <v>-54903728.49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v>50.0</v>
      </c>
      <c r="C73" s="3" t="s">
        <v>78</v>
      </c>
      <c r="D73" s="6">
        <v>3.2566621793E8</v>
      </c>
      <c r="E73" s="6">
        <v>565307.18</v>
      </c>
      <c r="F73" s="6">
        <f t="shared" si="25"/>
        <v>325100910.8</v>
      </c>
      <c r="G73" s="6">
        <v>0.0</v>
      </c>
      <c r="H73" s="20">
        <v>4045.0</v>
      </c>
      <c r="I73" s="6">
        <v>670888.69</v>
      </c>
      <c r="J73" s="4">
        <v>1185892.88</v>
      </c>
      <c r="K73" s="4">
        <f t="shared" si="26"/>
        <v>-515004.19</v>
      </c>
      <c r="L73" s="4">
        <f>I73+Aug!L73</f>
        <v>41996899.02</v>
      </c>
      <c r="M73" s="4">
        <f>J73+Aug!M73</f>
        <v>28537745.18</v>
      </c>
      <c r="N73" s="4">
        <f t="shared" si="27"/>
        <v>13459153.84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v>51.0</v>
      </c>
      <c r="C74" s="3" t="s">
        <v>79</v>
      </c>
      <c r="D74" s="6">
        <v>1.45280866797E9</v>
      </c>
      <c r="E74" s="6">
        <v>226374.55</v>
      </c>
      <c r="F74" s="6">
        <f t="shared" si="25"/>
        <v>1452582293</v>
      </c>
      <c r="G74" s="6">
        <v>0.0</v>
      </c>
      <c r="H74" s="20">
        <v>894.0</v>
      </c>
      <c r="I74" s="6">
        <v>5.00253048E7</v>
      </c>
      <c r="J74" s="4">
        <v>109373.53</v>
      </c>
      <c r="K74" s="4">
        <f t="shared" si="26"/>
        <v>49915931.27</v>
      </c>
      <c r="L74" s="4">
        <f>I74+Aug!L74</f>
        <v>231561443.4</v>
      </c>
      <c r="M74" s="4">
        <f>J74+Aug!M74</f>
        <v>5716425.84</v>
      </c>
      <c r="N74" s="4">
        <f t="shared" si="27"/>
        <v>225845017.6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v>52.0</v>
      </c>
      <c r="C75" s="3" t="s">
        <v>80</v>
      </c>
      <c r="D75" s="6">
        <v>5.549126658E9</v>
      </c>
      <c r="E75" s="6">
        <v>9621035.0</v>
      </c>
      <c r="F75" s="6">
        <f t="shared" si="25"/>
        <v>5539505623</v>
      </c>
      <c r="G75" s="6">
        <v>0.0</v>
      </c>
      <c r="H75" s="20">
        <v>17779.0</v>
      </c>
      <c r="I75" s="6">
        <v>1.14090927E8</v>
      </c>
      <c r="J75" s="4">
        <v>4.8887686E7</v>
      </c>
      <c r="K75" s="4">
        <f t="shared" si="26"/>
        <v>65203241</v>
      </c>
      <c r="L75" s="4">
        <f>I75+Aug!L75</f>
        <v>1642852485</v>
      </c>
      <c r="M75" s="4">
        <f>J75+Aug!M75</f>
        <v>700625193</v>
      </c>
      <c r="N75" s="4">
        <f t="shared" si="27"/>
        <v>942227292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v>53.0</v>
      </c>
      <c r="C76" s="3" t="s">
        <v>81</v>
      </c>
      <c r="D76" s="6">
        <v>1.28116102E8</v>
      </c>
      <c r="E76" s="6">
        <v>342229.0</v>
      </c>
      <c r="F76" s="6">
        <f t="shared" si="25"/>
        <v>127773873</v>
      </c>
      <c r="G76" s="6">
        <v>0.0</v>
      </c>
      <c r="H76" s="20">
        <v>2722.0</v>
      </c>
      <c r="I76" s="6">
        <v>1535145.0</v>
      </c>
      <c r="J76" s="4">
        <v>440859.0</v>
      </c>
      <c r="K76" s="4">
        <f t="shared" si="26"/>
        <v>1094286</v>
      </c>
      <c r="L76" s="4">
        <f>I76+Aug!L76</f>
        <v>10276423.44</v>
      </c>
      <c r="M76" s="4">
        <f>J76+Aug!M76</f>
        <v>23342143.71</v>
      </c>
      <c r="N76" s="4">
        <f t="shared" si="27"/>
        <v>-13065720.27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24" t="s">
        <v>45</v>
      </c>
      <c r="B77" s="1"/>
      <c r="C77" s="1"/>
      <c r="D77" s="54">
        <f t="shared" ref="D77:N77" si="28">SUM(D66:D76)</f>
        <v>50516620125</v>
      </c>
      <c r="E77" s="54">
        <f t="shared" si="28"/>
        <v>282953879.8</v>
      </c>
      <c r="F77" s="54">
        <f t="shared" si="28"/>
        <v>50233666245</v>
      </c>
      <c r="G77" s="54">
        <f t="shared" si="28"/>
        <v>939116400</v>
      </c>
      <c r="H77" s="27">
        <f t="shared" si="28"/>
        <v>59712</v>
      </c>
      <c r="I77" s="54">
        <f t="shared" si="28"/>
        <v>319722793</v>
      </c>
      <c r="J77" s="54">
        <f t="shared" si="28"/>
        <v>760145077.9</v>
      </c>
      <c r="K77" s="54">
        <f t="shared" si="28"/>
        <v>-440422284.8</v>
      </c>
      <c r="L77" s="54">
        <f t="shared" si="28"/>
        <v>4465888271</v>
      </c>
      <c r="M77" s="54">
        <f t="shared" si="28"/>
        <v>6688808287</v>
      </c>
      <c r="N77" s="54">
        <f t="shared" si="28"/>
        <v>-2222920017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46</v>
      </c>
      <c r="B78" s="2"/>
      <c r="C78" s="3"/>
      <c r="D78" s="6"/>
      <c r="E78" s="6"/>
      <c r="F78" s="6"/>
      <c r="G78" s="6"/>
      <c r="H78" s="6"/>
      <c r="I78" s="6"/>
      <c r="J78" s="6"/>
      <c r="K78" s="6"/>
      <c r="L78" s="6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v>54.0</v>
      </c>
      <c r="C79" s="3" t="s">
        <v>82</v>
      </c>
      <c r="D79" s="6">
        <v>1.3436826198E10</v>
      </c>
      <c r="E79" s="6">
        <v>1.09894449E8</v>
      </c>
      <c r="F79" s="6">
        <f t="shared" ref="F79:F85" si="29">D79-E79</f>
        <v>13326931749</v>
      </c>
      <c r="G79" s="6">
        <v>0.0</v>
      </c>
      <c r="H79" s="20">
        <v>8131.0</v>
      </c>
      <c r="I79" s="6">
        <v>1.7486278E7</v>
      </c>
      <c r="J79" s="4">
        <v>2.03021669E8</v>
      </c>
      <c r="K79" s="4">
        <f t="shared" ref="K79:K85" si="30">I79-J79</f>
        <v>-185535391</v>
      </c>
      <c r="L79" s="4">
        <f>I79+Aug!L79</f>
        <v>422034099.4</v>
      </c>
      <c r="M79" s="4">
        <f>J79+Aug!M79</f>
        <v>1360892335</v>
      </c>
      <c r="N79" s="4">
        <f t="shared" ref="N79:N85" si="31">L79-M79</f>
        <v>-938858235.9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v>55.0</v>
      </c>
      <c r="C80" s="3" t="s">
        <v>83</v>
      </c>
      <c r="D80" s="6">
        <v>2.5579447388E8</v>
      </c>
      <c r="E80" s="6">
        <v>2286691.35</v>
      </c>
      <c r="F80" s="6">
        <f t="shared" si="29"/>
        <v>253507782.5</v>
      </c>
      <c r="G80" s="6">
        <v>0.0</v>
      </c>
      <c r="H80" s="20">
        <v>154.0</v>
      </c>
      <c r="I80" s="6">
        <v>0.0</v>
      </c>
      <c r="J80" s="4">
        <v>11220.83</v>
      </c>
      <c r="K80" s="4">
        <f t="shared" si="30"/>
        <v>-11220.83</v>
      </c>
      <c r="L80" s="4">
        <f>I80+Aug!L80</f>
        <v>1340295.068</v>
      </c>
      <c r="M80" s="4">
        <f>J80+Aug!M80</f>
        <v>6390577.348</v>
      </c>
      <c r="N80" s="4">
        <f t="shared" si="31"/>
        <v>-5050282.28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v>56.0</v>
      </c>
      <c r="C81" s="3" t="s">
        <v>84</v>
      </c>
      <c r="D81" s="6">
        <v>4.54815207E8</v>
      </c>
      <c r="E81" s="6">
        <v>3338424.0</v>
      </c>
      <c r="F81" s="6">
        <f t="shared" si="29"/>
        <v>451476783</v>
      </c>
      <c r="G81" s="6">
        <v>0.0</v>
      </c>
      <c r="H81" s="20">
        <v>166.0</v>
      </c>
      <c r="I81" s="6">
        <v>1495119.0</v>
      </c>
      <c r="J81" s="4">
        <v>1160595.0</v>
      </c>
      <c r="K81" s="4">
        <f t="shared" si="30"/>
        <v>334524</v>
      </c>
      <c r="L81" s="4">
        <f>I81+Aug!L81</f>
        <v>19496964.46</v>
      </c>
      <c r="M81" s="4">
        <f>J81+Aug!M81</f>
        <v>10226072.96</v>
      </c>
      <c r="N81" s="4">
        <f t="shared" si="31"/>
        <v>9270891.5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1.25" customHeight="1">
      <c r="A82" s="18"/>
      <c r="B82" s="2">
        <v>57.0</v>
      </c>
      <c r="C82" s="3" t="s">
        <v>109</v>
      </c>
      <c r="D82" s="6">
        <v>6.482401E7</v>
      </c>
      <c r="E82" s="6">
        <v>1.5234326E7</v>
      </c>
      <c r="F82" s="6">
        <f t="shared" si="29"/>
        <v>49589684</v>
      </c>
      <c r="G82" s="6">
        <v>0.0</v>
      </c>
      <c r="H82" s="20">
        <v>27.0</v>
      </c>
      <c r="I82" s="6">
        <v>0.0</v>
      </c>
      <c r="J82" s="4">
        <v>0.0</v>
      </c>
      <c r="K82" s="4">
        <f t="shared" si="30"/>
        <v>0</v>
      </c>
      <c r="L82" s="4">
        <f>I82+Aug!L82</f>
        <v>0</v>
      </c>
      <c r="M82" s="4">
        <f>J82+Aug!M82</f>
        <v>0</v>
      </c>
      <c r="N82" s="4">
        <f t="shared" si="31"/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v>58.0</v>
      </c>
      <c r="C83" s="3" t="s">
        <v>86</v>
      </c>
      <c r="D83" s="6">
        <v>1.911287465E9</v>
      </c>
      <c r="E83" s="6">
        <v>2.2718533E7</v>
      </c>
      <c r="F83" s="6">
        <f t="shared" si="29"/>
        <v>1888568932</v>
      </c>
      <c r="G83" s="6">
        <v>0.0</v>
      </c>
      <c r="H83" s="20">
        <v>1829.0</v>
      </c>
      <c r="I83" s="6">
        <v>213128.0</v>
      </c>
      <c r="J83" s="4">
        <v>3.4260781E7</v>
      </c>
      <c r="K83" s="4">
        <f t="shared" si="30"/>
        <v>-34047653</v>
      </c>
      <c r="L83" s="4">
        <f>I83+Aug!L83</f>
        <v>1544374.851</v>
      </c>
      <c r="M83" s="4">
        <f>J83+Aug!M83</f>
        <v>139938961.9</v>
      </c>
      <c r="N83" s="4">
        <f t="shared" si="31"/>
        <v>-138394587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v>59.0</v>
      </c>
      <c r="C84" s="3" t="s">
        <v>87</v>
      </c>
      <c r="D84" s="6">
        <v>2.3794951069E8</v>
      </c>
      <c r="E84" s="6">
        <v>1194138.95</v>
      </c>
      <c r="F84" s="6">
        <f t="shared" si="29"/>
        <v>236755371.7</v>
      </c>
      <c r="G84" s="6">
        <v>0.0</v>
      </c>
      <c r="H84" s="20">
        <v>118.0</v>
      </c>
      <c r="I84" s="6">
        <v>181040.0</v>
      </c>
      <c r="J84" s="4">
        <v>166650.15</v>
      </c>
      <c r="K84" s="4">
        <f t="shared" si="30"/>
        <v>14389.85</v>
      </c>
      <c r="L84" s="4">
        <f>I84+Aug!L84</f>
        <v>1631125</v>
      </c>
      <c r="M84" s="4">
        <f>J84+Aug!M84</f>
        <v>4146641.657</v>
      </c>
      <c r="N84" s="4">
        <f t="shared" si="31"/>
        <v>-2515516.657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v>60.0</v>
      </c>
      <c r="C85" s="3" t="s">
        <v>88</v>
      </c>
      <c r="D85" s="6">
        <v>6.08022219E8</v>
      </c>
      <c r="E85" s="6">
        <v>4.0440032E7</v>
      </c>
      <c r="F85" s="6">
        <f t="shared" si="29"/>
        <v>567582187</v>
      </c>
      <c r="G85" s="6">
        <v>0.0</v>
      </c>
      <c r="H85" s="20">
        <v>2569.0</v>
      </c>
      <c r="I85" s="6">
        <v>2213010.0</v>
      </c>
      <c r="J85" s="4">
        <v>3.3251523E7</v>
      </c>
      <c r="K85" s="4">
        <f t="shared" si="30"/>
        <v>-31038513</v>
      </c>
      <c r="L85" s="4">
        <f>I85+Aug!L85</f>
        <v>227250164.2</v>
      </c>
      <c r="M85" s="4">
        <f>J85+Aug!M85</f>
        <v>85022679.9</v>
      </c>
      <c r="N85" s="4">
        <f t="shared" si="31"/>
        <v>142227484.3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24" t="s">
        <v>89</v>
      </c>
      <c r="B86" s="25"/>
      <c r="C86" s="29"/>
      <c r="D86" s="54">
        <f t="shared" ref="D86:N86" si="32">SUM(D79:D85)</f>
        <v>16969519084</v>
      </c>
      <c r="E86" s="54">
        <f t="shared" si="32"/>
        <v>195106594.3</v>
      </c>
      <c r="F86" s="54">
        <f t="shared" si="32"/>
        <v>16774412489</v>
      </c>
      <c r="G86" s="54">
        <f t="shared" si="32"/>
        <v>0</v>
      </c>
      <c r="H86" s="54">
        <f t="shared" si="32"/>
        <v>12994</v>
      </c>
      <c r="I86" s="54">
        <f t="shared" si="32"/>
        <v>21588575</v>
      </c>
      <c r="J86" s="54">
        <f t="shared" si="32"/>
        <v>271872439</v>
      </c>
      <c r="K86" s="54">
        <f t="shared" si="32"/>
        <v>-250283864</v>
      </c>
      <c r="L86" s="54">
        <f t="shared" si="32"/>
        <v>673297022.9</v>
      </c>
      <c r="M86" s="54">
        <f t="shared" si="32"/>
        <v>1606617269</v>
      </c>
      <c r="N86" s="54">
        <f t="shared" si="32"/>
        <v>-933320246.1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v>61.0</v>
      </c>
      <c r="C87" s="3" t="s">
        <v>90</v>
      </c>
      <c r="D87" s="6">
        <v>9.31778284E8</v>
      </c>
      <c r="E87" s="6">
        <v>7068530.0</v>
      </c>
      <c r="F87" s="6">
        <f>D87-E87</f>
        <v>924709754</v>
      </c>
      <c r="G87" s="6">
        <v>0.0</v>
      </c>
      <c r="H87" s="20">
        <v>622.0</v>
      </c>
      <c r="I87" s="6">
        <v>2257224.0</v>
      </c>
      <c r="J87" s="4">
        <v>1622462.0</v>
      </c>
      <c r="K87" s="4">
        <f>I87-J87</f>
        <v>634762</v>
      </c>
      <c r="L87" s="4">
        <f>I87+Aug!L87</f>
        <v>39078672.16</v>
      </c>
      <c r="M87" s="4">
        <f>J87+Aug!M87</f>
        <v>42159858.84</v>
      </c>
      <c r="N87" s="4">
        <f>L87-M87</f>
        <v>-3081186.687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24" t="s">
        <v>91</v>
      </c>
      <c r="B88" s="29"/>
      <c r="C88" s="1"/>
      <c r="D88" s="54">
        <f t="shared" ref="D88:N88" si="33">SUM(D87)</f>
        <v>931778284</v>
      </c>
      <c r="E88" s="54">
        <f t="shared" si="33"/>
        <v>7068530</v>
      </c>
      <c r="F88" s="54">
        <f t="shared" si="33"/>
        <v>924709754</v>
      </c>
      <c r="G88" s="54">
        <f t="shared" si="33"/>
        <v>0</v>
      </c>
      <c r="H88" s="27">
        <f t="shared" si="33"/>
        <v>622</v>
      </c>
      <c r="I88" s="54">
        <f t="shared" si="33"/>
        <v>2257224</v>
      </c>
      <c r="J88" s="54">
        <f t="shared" si="33"/>
        <v>1622462</v>
      </c>
      <c r="K88" s="54">
        <f t="shared" si="33"/>
        <v>634762</v>
      </c>
      <c r="L88" s="54">
        <f t="shared" si="33"/>
        <v>39078672.16</v>
      </c>
      <c r="M88" s="54">
        <f t="shared" si="33"/>
        <v>42159858.84</v>
      </c>
      <c r="N88" s="54">
        <f t="shared" si="33"/>
        <v>-3081186.687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1" t="s">
        <v>92</v>
      </c>
      <c r="B89" s="25"/>
      <c r="C89" s="29"/>
      <c r="D89" s="54">
        <f t="shared" ref="D89:N89" si="34">D77+D86+D88</f>
        <v>68417917492</v>
      </c>
      <c r="E89" s="54">
        <f t="shared" si="34"/>
        <v>485129004.1</v>
      </c>
      <c r="F89" s="54">
        <f t="shared" si="34"/>
        <v>67932788488</v>
      </c>
      <c r="G89" s="54">
        <f t="shared" si="34"/>
        <v>939116400</v>
      </c>
      <c r="H89" s="27">
        <f t="shared" si="34"/>
        <v>73328</v>
      </c>
      <c r="I89" s="54">
        <f t="shared" si="34"/>
        <v>343568592</v>
      </c>
      <c r="J89" s="54">
        <f t="shared" si="34"/>
        <v>1033639979</v>
      </c>
      <c r="K89" s="54">
        <f t="shared" si="34"/>
        <v>-690071386.8</v>
      </c>
      <c r="L89" s="54">
        <f t="shared" si="34"/>
        <v>5178263966</v>
      </c>
      <c r="M89" s="54">
        <f t="shared" si="34"/>
        <v>8337585415</v>
      </c>
      <c r="N89" s="54">
        <f t="shared" si="34"/>
        <v>-3159321450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93</v>
      </c>
      <c r="B90" s="2"/>
      <c r="C90" s="30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8" t="s">
        <v>20</v>
      </c>
      <c r="B91" s="2"/>
      <c r="C91" s="30"/>
      <c r="D91" s="6"/>
      <c r="E91" s="6"/>
      <c r="F91" s="6"/>
      <c r="G91" s="6"/>
      <c r="H91" s="20"/>
      <c r="I91" s="6"/>
      <c r="J91" s="4"/>
      <c r="K91" s="4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/>
      <c r="B92" s="2">
        <v>62.0</v>
      </c>
      <c r="C92" s="3" t="s">
        <v>94</v>
      </c>
      <c r="D92" s="6">
        <v>2.90300214E10</v>
      </c>
      <c r="E92" s="6">
        <v>2.2472875E7</v>
      </c>
      <c r="F92" s="6">
        <f t="shared" ref="F92:F94" si="35">D92-E92</f>
        <v>29007548525</v>
      </c>
      <c r="G92" s="6">
        <v>0.0</v>
      </c>
      <c r="H92" s="20">
        <v>26769.0</v>
      </c>
      <c r="I92" s="6">
        <v>345398.0</v>
      </c>
      <c r="J92" s="4">
        <v>1.217722083E9</v>
      </c>
      <c r="K92" s="4">
        <f t="shared" ref="K92:K94" si="36">I92-J92</f>
        <v>-1217376685</v>
      </c>
      <c r="L92" s="4">
        <f>I92+Aug!L92</f>
        <v>9184485267</v>
      </c>
      <c r="M92" s="4">
        <f>J92+Aug!M92</f>
        <v>15457008479</v>
      </c>
      <c r="N92" s="4">
        <f t="shared" ref="N92:N94" si="37">L92-M92</f>
        <v>-6272523212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v>63.0</v>
      </c>
      <c r="C93" s="3" t="s">
        <v>95</v>
      </c>
      <c r="D93" s="6">
        <v>2.588334923E9</v>
      </c>
      <c r="E93" s="6">
        <v>3478407.0</v>
      </c>
      <c r="F93" s="6">
        <f t="shared" si="35"/>
        <v>2584856516</v>
      </c>
      <c r="G93" s="6">
        <v>0.0</v>
      </c>
      <c r="H93" s="20">
        <v>879.0</v>
      </c>
      <c r="I93" s="6">
        <v>2.09829775E8</v>
      </c>
      <c r="J93" s="4">
        <v>1.13799842E8</v>
      </c>
      <c r="K93" s="4">
        <f t="shared" si="36"/>
        <v>96029933</v>
      </c>
      <c r="L93" s="4">
        <f>I93+Aug!L93</f>
        <v>1112450674</v>
      </c>
      <c r="M93" s="4">
        <f>J93+Aug!M93</f>
        <v>1412012005</v>
      </c>
      <c r="N93" s="4">
        <f t="shared" si="37"/>
        <v>-299561331.1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/>
      <c r="B94" s="2">
        <v>64.0</v>
      </c>
      <c r="C94" s="3" t="s">
        <v>96</v>
      </c>
      <c r="D94" s="6">
        <v>2.4985223475E10</v>
      </c>
      <c r="E94" s="6">
        <v>3.48001398E8</v>
      </c>
      <c r="F94" s="6">
        <f t="shared" si="35"/>
        <v>24637222077</v>
      </c>
      <c r="G94" s="6">
        <v>0.0</v>
      </c>
      <c r="H94" s="20">
        <v>68858.0</v>
      </c>
      <c r="I94" s="6">
        <v>6.82447399E8</v>
      </c>
      <c r="J94" s="4">
        <v>4.164373889E9</v>
      </c>
      <c r="K94" s="4">
        <f t="shared" si="36"/>
        <v>-3481926490</v>
      </c>
      <c r="L94" s="4">
        <f>I94+Aug!L94</f>
        <v>18733001048</v>
      </c>
      <c r="M94" s="4">
        <f>J94+Aug!M94</f>
        <v>47080838540</v>
      </c>
      <c r="N94" s="4">
        <f t="shared" si="37"/>
        <v>-28347837492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 t="s">
        <v>40</v>
      </c>
      <c r="B95" s="2"/>
      <c r="C95" s="3"/>
      <c r="D95" s="6"/>
      <c r="E95" s="6"/>
      <c r="F95" s="6"/>
      <c r="G95" s="6"/>
      <c r="H95" s="20"/>
      <c r="I95" s="6"/>
      <c r="J95" s="4"/>
      <c r="K95" s="4"/>
      <c r="L95" s="4">
        <f>I95+Aug!L95</f>
        <v>0</v>
      </c>
      <c r="M95" s="4">
        <f>J95+Aug!M95</f>
        <v>0</v>
      </c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/>
      <c r="B96" s="2">
        <v>65.0</v>
      </c>
      <c r="C96" s="3" t="s">
        <v>94</v>
      </c>
      <c r="D96" s="6">
        <v>7.644889545E9</v>
      </c>
      <c r="E96" s="6">
        <v>9741347.0</v>
      </c>
      <c r="F96" s="6">
        <f>D96-E96</f>
        <v>7635148198</v>
      </c>
      <c r="G96" s="6">
        <v>0.0</v>
      </c>
      <c r="H96" s="20">
        <v>7610.0</v>
      </c>
      <c r="I96" s="6">
        <v>1.371692419E9</v>
      </c>
      <c r="J96" s="4">
        <v>5.2218169E8</v>
      </c>
      <c r="K96" s="4">
        <f>I96-J96</f>
        <v>849510729</v>
      </c>
      <c r="L96" s="4">
        <f>I96+Aug!L96</f>
        <v>11498940432</v>
      </c>
      <c r="M96" s="4">
        <f>J96+Aug!M96</f>
        <v>7554280289</v>
      </c>
      <c r="N96" s="4">
        <f>L96-M96</f>
        <v>3944660142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4" t="s">
        <v>45</v>
      </c>
      <c r="B97" s="2"/>
      <c r="C97" s="3"/>
      <c r="D97" s="54">
        <f t="shared" ref="D97:N97" si="38">SUM(D92:D94)+D96</f>
        <v>64248469343</v>
      </c>
      <c r="E97" s="54">
        <f t="shared" si="38"/>
        <v>383694027</v>
      </c>
      <c r="F97" s="54">
        <f t="shared" si="38"/>
        <v>63864775316</v>
      </c>
      <c r="G97" s="54">
        <f t="shared" si="38"/>
        <v>0</v>
      </c>
      <c r="H97" s="27">
        <f t="shared" si="38"/>
        <v>104116</v>
      </c>
      <c r="I97" s="54">
        <f t="shared" si="38"/>
        <v>2264314991</v>
      </c>
      <c r="J97" s="54">
        <f t="shared" si="38"/>
        <v>6018077504</v>
      </c>
      <c r="K97" s="54">
        <f t="shared" si="38"/>
        <v>-3753762513</v>
      </c>
      <c r="L97" s="54">
        <f t="shared" si="38"/>
        <v>40528877420</v>
      </c>
      <c r="M97" s="54">
        <f t="shared" si="38"/>
        <v>71504139313</v>
      </c>
      <c r="N97" s="54">
        <f t="shared" si="38"/>
        <v>-30975261893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46</v>
      </c>
      <c r="B98" s="2"/>
      <c r="C98" s="3"/>
      <c r="D98" s="6"/>
      <c r="E98" s="6"/>
      <c r="F98" s="6"/>
      <c r="G98" s="6"/>
      <c r="H98" s="20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v>66.0</v>
      </c>
      <c r="C99" s="3" t="s">
        <v>97</v>
      </c>
      <c r="D99" s="6">
        <v>2.804825923E9</v>
      </c>
      <c r="E99" s="6">
        <v>4.2062325E7</v>
      </c>
      <c r="F99" s="6">
        <f>D99-E99</f>
        <v>2762763598</v>
      </c>
      <c r="G99" s="6">
        <v>0.0</v>
      </c>
      <c r="H99" s="20">
        <v>3578.0</v>
      </c>
      <c r="I99" s="6">
        <v>6.3630077E7</v>
      </c>
      <c r="J99" s="6">
        <v>2.98934261E8</v>
      </c>
      <c r="K99" s="4">
        <f>I99-J99</f>
        <v>-235304184</v>
      </c>
      <c r="L99" s="4">
        <f>I99+Aug!L99</f>
        <v>5023365015</v>
      </c>
      <c r="M99" s="4">
        <f>J99+Aug!M99</f>
        <v>8996520517</v>
      </c>
      <c r="N99" s="4">
        <f>L99-M99</f>
        <v>-3973155502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89</v>
      </c>
      <c r="B100" s="2"/>
      <c r="C100" s="3"/>
      <c r="D100" s="54">
        <f t="shared" ref="D100:N100" si="39">SUM(D99)</f>
        <v>2804825923</v>
      </c>
      <c r="E100" s="54">
        <f t="shared" si="39"/>
        <v>42062325</v>
      </c>
      <c r="F100" s="54">
        <f t="shared" si="39"/>
        <v>2762763598</v>
      </c>
      <c r="G100" s="54">
        <f t="shared" si="39"/>
        <v>0</v>
      </c>
      <c r="H100" s="27">
        <f t="shared" si="39"/>
        <v>3578</v>
      </c>
      <c r="I100" s="54">
        <f t="shared" si="39"/>
        <v>63630077</v>
      </c>
      <c r="J100" s="54">
        <f t="shared" si="39"/>
        <v>298934261</v>
      </c>
      <c r="K100" s="54">
        <f t="shared" si="39"/>
        <v>-235304184</v>
      </c>
      <c r="L100" s="54">
        <f t="shared" si="39"/>
        <v>5023365015</v>
      </c>
      <c r="M100" s="54">
        <f t="shared" si="39"/>
        <v>8996520517</v>
      </c>
      <c r="N100" s="54">
        <f t="shared" si="39"/>
        <v>-3973155502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 t="s">
        <v>98</v>
      </c>
      <c r="B101" s="2"/>
      <c r="C101" s="3"/>
      <c r="D101" s="54">
        <f t="shared" ref="D101:N101" si="40">D97+D100</f>
        <v>67053295266</v>
      </c>
      <c r="E101" s="54">
        <f t="shared" si="40"/>
        <v>425756352</v>
      </c>
      <c r="F101" s="54">
        <f t="shared" si="40"/>
        <v>66627538914</v>
      </c>
      <c r="G101" s="54">
        <f t="shared" si="40"/>
        <v>0</v>
      </c>
      <c r="H101" s="27">
        <f t="shared" si="40"/>
        <v>107694</v>
      </c>
      <c r="I101" s="54">
        <f t="shared" si="40"/>
        <v>2327945068</v>
      </c>
      <c r="J101" s="54">
        <f t="shared" si="40"/>
        <v>6317011765</v>
      </c>
      <c r="K101" s="54">
        <f t="shared" si="40"/>
        <v>-3989066697</v>
      </c>
      <c r="L101" s="54">
        <f t="shared" si="40"/>
        <v>45552242435</v>
      </c>
      <c r="M101" s="54">
        <f t="shared" si="40"/>
        <v>80500659830</v>
      </c>
      <c r="N101" s="54">
        <f t="shared" si="40"/>
        <v>-34948417395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99</v>
      </c>
      <c r="B102" s="2"/>
      <c r="C102" s="3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8" t="s">
        <v>100</v>
      </c>
      <c r="B103" s="2"/>
      <c r="C103" s="3"/>
      <c r="D103" s="6"/>
      <c r="E103" s="6"/>
      <c r="F103" s="6"/>
      <c r="G103" s="6"/>
      <c r="H103" s="20"/>
      <c r="I103" s="6"/>
      <c r="J103" s="6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/>
      <c r="B104" s="2">
        <v>67.0</v>
      </c>
      <c r="C104" s="3" t="s">
        <v>104</v>
      </c>
      <c r="D104" s="6">
        <v>8.890754639E9</v>
      </c>
      <c r="E104" s="6">
        <v>9.8994842E7</v>
      </c>
      <c r="F104" s="6">
        <f t="shared" ref="F104:F106" si="41">D104-E104</f>
        <v>8791759797</v>
      </c>
      <c r="G104" s="6">
        <v>0.0</v>
      </c>
      <c r="H104" s="20">
        <v>73294.0</v>
      </c>
      <c r="I104" s="6">
        <v>6.4954933E7</v>
      </c>
      <c r="J104" s="6">
        <v>1.73683039E8</v>
      </c>
      <c r="K104" s="4">
        <f t="shared" ref="K104:K106" si="42">I104-J104</f>
        <v>-108728106</v>
      </c>
      <c r="L104" s="4">
        <f>I104+Aug!L104</f>
        <v>746914848.9</v>
      </c>
      <c r="M104" s="4">
        <f>J104+Aug!M104</f>
        <v>1191194407</v>
      </c>
      <c r="N104" s="4">
        <f t="shared" ref="N104:N106" si="43">L104-M104</f>
        <v>-444279558.5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/>
      <c r="B105" s="2">
        <v>68.0</v>
      </c>
      <c r="C105" s="3" t="s">
        <v>102</v>
      </c>
      <c r="D105" s="6">
        <v>3.101043161E9</v>
      </c>
      <c r="E105" s="6">
        <v>2.2011849E7</v>
      </c>
      <c r="F105" s="6">
        <f t="shared" si="41"/>
        <v>3079031312</v>
      </c>
      <c r="G105" s="6">
        <v>0.0</v>
      </c>
      <c r="H105" s="20">
        <v>6479.0</v>
      </c>
      <c r="I105" s="6">
        <v>5.2938052E7</v>
      </c>
      <c r="J105" s="6">
        <v>1.68449003E8</v>
      </c>
      <c r="K105" s="4">
        <f t="shared" si="42"/>
        <v>-115510951</v>
      </c>
      <c r="L105" s="4">
        <f>I105+Aug!L105</f>
        <v>357480828.1</v>
      </c>
      <c r="M105" s="4">
        <f>J105+Aug!M105</f>
        <v>881831179.7</v>
      </c>
      <c r="N105" s="4">
        <f t="shared" si="43"/>
        <v>-524350351.6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/>
      <c r="B106" s="2">
        <v>69.0</v>
      </c>
      <c r="C106" s="3" t="s">
        <v>124</v>
      </c>
      <c r="D106" s="6">
        <v>2.11127569E8</v>
      </c>
      <c r="E106" s="6">
        <v>1.634194E7</v>
      </c>
      <c r="F106" s="6">
        <f t="shared" si="41"/>
        <v>194785629</v>
      </c>
      <c r="G106" s="6">
        <v>0.0</v>
      </c>
      <c r="H106" s="20">
        <v>359.0</v>
      </c>
      <c r="I106" s="6">
        <v>2.00948157E8</v>
      </c>
      <c r="J106" s="6">
        <v>0.0</v>
      </c>
      <c r="K106" s="4">
        <f t="shared" si="42"/>
        <v>200948157</v>
      </c>
      <c r="L106" s="4">
        <f t="shared" ref="L106:M106" si="44">I106</f>
        <v>200948157</v>
      </c>
      <c r="M106" s="4">
        <f t="shared" si="44"/>
        <v>0</v>
      </c>
      <c r="N106" s="4">
        <f t="shared" si="43"/>
        <v>200948157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4" t="s">
        <v>45</v>
      </c>
      <c r="B107" s="2"/>
      <c r="C107" s="3"/>
      <c r="D107" s="54">
        <f t="shared" ref="D107:N107" si="45">D104+D105+D106</f>
        <v>12202925369</v>
      </c>
      <c r="E107" s="54">
        <f t="shared" si="45"/>
        <v>137348631</v>
      </c>
      <c r="F107" s="54">
        <f t="shared" si="45"/>
        <v>12065576738</v>
      </c>
      <c r="G107" s="54">
        <f t="shared" si="45"/>
        <v>0</v>
      </c>
      <c r="H107" s="26">
        <f t="shared" si="45"/>
        <v>80132</v>
      </c>
      <c r="I107" s="54">
        <f t="shared" si="45"/>
        <v>318841142</v>
      </c>
      <c r="J107" s="54">
        <f t="shared" si="45"/>
        <v>342132042</v>
      </c>
      <c r="K107" s="54">
        <f t="shared" si="45"/>
        <v>-23290900</v>
      </c>
      <c r="L107" s="54">
        <f t="shared" si="45"/>
        <v>1305343834</v>
      </c>
      <c r="M107" s="54">
        <f t="shared" si="45"/>
        <v>2073025587</v>
      </c>
      <c r="N107" s="54">
        <f t="shared" si="45"/>
        <v>-767681753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 t="s">
        <v>103</v>
      </c>
      <c r="B108" s="2"/>
      <c r="C108" s="3"/>
      <c r="D108" s="6"/>
      <c r="E108" s="6"/>
      <c r="F108" s="6"/>
      <c r="G108" s="6"/>
      <c r="H108" s="20"/>
      <c r="I108" s="6"/>
      <c r="J108" s="6"/>
      <c r="K108" s="4"/>
      <c r="L108" s="4"/>
      <c r="M108" s="4"/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v>70.0</v>
      </c>
      <c r="C109" s="3" t="s">
        <v>104</v>
      </c>
      <c r="D109" s="6">
        <v>9.672581721E9</v>
      </c>
      <c r="E109" s="6">
        <v>5.473201E7</v>
      </c>
      <c r="F109" s="6">
        <f>D109-E109</f>
        <v>9617849711</v>
      </c>
      <c r="G109" s="6">
        <v>0.0</v>
      </c>
      <c r="H109" s="20">
        <v>7983.0</v>
      </c>
      <c r="I109" s="6">
        <v>4.3591587E7</v>
      </c>
      <c r="J109" s="6">
        <v>1.12522291E8</v>
      </c>
      <c r="K109" s="4">
        <f>I109-J109</f>
        <v>-68930704</v>
      </c>
      <c r="L109" s="4">
        <f>I109+Aug!L108</f>
        <v>480874506.8</v>
      </c>
      <c r="M109" s="4">
        <f>J109+Aug!M108</f>
        <v>832399641.7</v>
      </c>
      <c r="N109" s="4">
        <f>L109-M109</f>
        <v>-351525134.9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24" t="s">
        <v>89</v>
      </c>
      <c r="B110" s="25"/>
      <c r="C110" s="1"/>
      <c r="D110" s="54">
        <f t="shared" ref="D110:N110" si="46">SUM(D109)</f>
        <v>9672581721</v>
      </c>
      <c r="E110" s="54">
        <f t="shared" si="46"/>
        <v>54732010</v>
      </c>
      <c r="F110" s="54">
        <f t="shared" si="46"/>
        <v>9617849711</v>
      </c>
      <c r="G110" s="54">
        <f t="shared" si="46"/>
        <v>0</v>
      </c>
      <c r="H110" s="27">
        <f t="shared" si="46"/>
        <v>7983</v>
      </c>
      <c r="I110" s="54">
        <f t="shared" si="46"/>
        <v>43591587</v>
      </c>
      <c r="J110" s="54">
        <f t="shared" si="46"/>
        <v>112522291</v>
      </c>
      <c r="K110" s="54">
        <f t="shared" si="46"/>
        <v>-68930704</v>
      </c>
      <c r="L110" s="54">
        <f t="shared" si="46"/>
        <v>480874506.8</v>
      </c>
      <c r="M110" s="54">
        <f t="shared" si="46"/>
        <v>832399641.7</v>
      </c>
      <c r="N110" s="54">
        <f t="shared" si="46"/>
        <v>-351525134.9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1" t="s">
        <v>105</v>
      </c>
      <c r="B111" s="31"/>
      <c r="C111" s="29"/>
      <c r="D111" s="54">
        <f t="shared" ref="D111:N111" si="47">SUM(D107+D110)</f>
        <v>21875507090</v>
      </c>
      <c r="E111" s="54">
        <f t="shared" si="47"/>
        <v>192080641</v>
      </c>
      <c r="F111" s="54">
        <f t="shared" si="47"/>
        <v>21683426449</v>
      </c>
      <c r="G111" s="54">
        <f t="shared" si="47"/>
        <v>0</v>
      </c>
      <c r="H111" s="27">
        <f t="shared" si="47"/>
        <v>88115</v>
      </c>
      <c r="I111" s="54">
        <f t="shared" si="47"/>
        <v>362432729</v>
      </c>
      <c r="J111" s="54">
        <f t="shared" si="47"/>
        <v>454654333</v>
      </c>
      <c r="K111" s="54">
        <f t="shared" si="47"/>
        <v>-92221604</v>
      </c>
      <c r="L111" s="54">
        <f t="shared" si="47"/>
        <v>1786218341</v>
      </c>
      <c r="M111" s="54">
        <f t="shared" si="47"/>
        <v>2905425229</v>
      </c>
      <c r="N111" s="54">
        <f t="shared" si="47"/>
        <v>-1119206888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2" t="s">
        <v>106</v>
      </c>
      <c r="B112" s="33"/>
      <c r="C112" s="34"/>
      <c r="D112" s="55">
        <f t="shared" ref="D112:N112" si="48">D39+D63+D89+D101+D111</f>
        <v>239514850973</v>
      </c>
      <c r="E112" s="55">
        <f t="shared" si="48"/>
        <v>2085392026</v>
      </c>
      <c r="F112" s="55">
        <f t="shared" si="48"/>
        <v>237429458947</v>
      </c>
      <c r="G112" s="55">
        <f t="shared" si="48"/>
        <v>69295375300</v>
      </c>
      <c r="H112" s="36">
        <f t="shared" si="48"/>
        <v>1209155</v>
      </c>
      <c r="I112" s="55">
        <f t="shared" si="48"/>
        <v>3349498187</v>
      </c>
      <c r="J112" s="55">
        <f t="shared" si="48"/>
        <v>8746301934</v>
      </c>
      <c r="K112" s="55">
        <f t="shared" si="48"/>
        <v>-5396803747</v>
      </c>
      <c r="L112" s="55">
        <f t="shared" si="48"/>
        <v>56909871702</v>
      </c>
      <c r="M112" s="55">
        <f t="shared" si="48"/>
        <v>99789739015</v>
      </c>
      <c r="N112" s="55">
        <f t="shared" si="48"/>
        <v>-42879867313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2.0" customHeight="1">
      <c r="A113" s="3"/>
      <c r="B113" s="2"/>
      <c r="C113" s="37"/>
      <c r="D113" s="4"/>
      <c r="E113" s="4"/>
      <c r="F113" s="4"/>
      <c r="G113" s="4"/>
      <c r="H113" s="5"/>
      <c r="I113" s="6"/>
      <c r="J113" s="4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59" t="s">
        <v>111</v>
      </c>
      <c r="B114" s="37"/>
      <c r="C114" s="3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0" t="s">
        <v>125</v>
      </c>
      <c r="B115" s="37"/>
      <c r="C115" s="3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/>
      <c r="B116" s="37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6.25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6.75"/>
    <col customWidth="1" min="9" max="9" width="19.25"/>
    <col customWidth="1" min="10" max="10" width="14.75"/>
    <col customWidth="1" min="11" max="27" width="9.13"/>
  </cols>
  <sheetData>
    <row r="1" ht="12.0" customHeight="1">
      <c r="A1" s="1" t="s">
        <v>0</v>
      </c>
      <c r="B1" s="2"/>
      <c r="C1" s="3"/>
      <c r="D1" s="41"/>
      <c r="E1" s="42"/>
      <c r="F1" s="41"/>
      <c r="G1" s="4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1"/>
      <c r="E2" s="42"/>
      <c r="F2" s="44"/>
      <c r="G2" s="4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126</v>
      </c>
      <c r="B3" s="2"/>
      <c r="C3" s="1"/>
      <c r="D3" s="46"/>
      <c r="E3" s="47"/>
      <c r="F3" s="48"/>
      <c r="G3" s="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3</v>
      </c>
      <c r="B4" s="2"/>
      <c r="C4" s="1"/>
      <c r="D4" s="46"/>
      <c r="E4" s="47"/>
      <c r="F4" s="48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1"/>
      <c r="E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9" t="s">
        <v>6</v>
      </c>
      <c r="B6" s="50"/>
      <c r="C6" s="51" t="s">
        <v>7</v>
      </c>
      <c r="D6" s="52" t="s">
        <v>10</v>
      </c>
      <c r="E6" s="52" t="s">
        <v>16</v>
      </c>
      <c r="F6" s="52" t="s">
        <v>17</v>
      </c>
      <c r="G6" s="53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Sep!F9</f>
        <v>4278620767</v>
      </c>
      <c r="E9" s="4">
        <f>July!I9+Aug!I9+Sep!I9</f>
        <v>24776187</v>
      </c>
      <c r="F9" s="4">
        <f>July!J9+Aug!J9+Sep!J9</f>
        <v>185324886</v>
      </c>
      <c r="G9" s="4">
        <f t="shared" ref="G9:G27" si="1">E9-F9</f>
        <v>-160548699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v>2.0</v>
      </c>
      <c r="C10" s="3" t="s">
        <v>22</v>
      </c>
      <c r="D10" s="6">
        <f>Sep!F10</f>
        <v>773325811.8</v>
      </c>
      <c r="E10" s="4">
        <f>July!I10+Aug!I10+Sep!I10</f>
        <v>11979610.68</v>
      </c>
      <c r="F10" s="4">
        <f>July!J10+Aug!J10+Sep!J10</f>
        <v>20950998.7</v>
      </c>
      <c r="G10" s="4">
        <f t="shared" si="1"/>
        <v>-8971388.02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v>3.0</v>
      </c>
      <c r="C11" s="3" t="s">
        <v>23</v>
      </c>
      <c r="D11" s="6">
        <f>Sep!F11</f>
        <v>1300027101</v>
      </c>
      <c r="E11" s="4">
        <f>July!I11+Aug!I11+Sep!I11</f>
        <v>91747929.71</v>
      </c>
      <c r="F11" s="4">
        <f>July!J11+Aug!J11+Sep!J11</f>
        <v>80754150.25</v>
      </c>
      <c r="G11" s="4">
        <f t="shared" si="1"/>
        <v>10993779.46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v>4.0</v>
      </c>
      <c r="C12" s="3" t="s">
        <v>24</v>
      </c>
      <c r="D12" s="6">
        <f>Sep!F12</f>
        <v>336492491.5</v>
      </c>
      <c r="E12" s="4">
        <f>July!I12+Aug!I12+Sep!I12</f>
        <v>3709964.27</v>
      </c>
      <c r="F12" s="4">
        <f>July!J12+Aug!J12+Sep!J12</f>
        <v>2394412.26</v>
      </c>
      <c r="G12" s="4">
        <f t="shared" si="1"/>
        <v>1315552.01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v>5.0</v>
      </c>
      <c r="C13" s="3" t="s">
        <v>115</v>
      </c>
      <c r="D13" s="6">
        <f>Sep!F13</f>
        <v>475462177</v>
      </c>
      <c r="E13" s="4">
        <f>July!I13+Aug!I13+Sep!I13</f>
        <v>2463427</v>
      </c>
      <c r="F13" s="4">
        <f>July!J13+Aug!J13+Sep!J13</f>
        <v>17863020</v>
      </c>
      <c r="G13" s="4">
        <f t="shared" si="1"/>
        <v>-15399593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v>6.0</v>
      </c>
      <c r="C14" s="3" t="s">
        <v>26</v>
      </c>
      <c r="D14" s="6">
        <f>Sep!F14</f>
        <v>4018952827</v>
      </c>
      <c r="E14" s="4">
        <f>July!I14+Aug!I14+Sep!I14</f>
        <v>124083250</v>
      </c>
      <c r="F14" s="4">
        <f>July!J14+Aug!J14+Sep!J14</f>
        <v>69025578</v>
      </c>
      <c r="G14" s="4">
        <f t="shared" si="1"/>
        <v>55057672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v>7.0</v>
      </c>
      <c r="C15" s="3" t="s">
        <v>27</v>
      </c>
      <c r="D15" s="6">
        <f>Sep!F15</f>
        <v>99597987</v>
      </c>
      <c r="E15" s="4">
        <f>July!I15+Aug!I15+Sep!I15</f>
        <v>5285046</v>
      </c>
      <c r="F15" s="4">
        <f>July!J15+Aug!J15+Sep!J15</f>
        <v>1135821</v>
      </c>
      <c r="G15" s="4">
        <f t="shared" si="1"/>
        <v>4149225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v>8.0</v>
      </c>
      <c r="C16" s="3" t="s">
        <v>28</v>
      </c>
      <c r="D16" s="6">
        <f>Sep!F16</f>
        <v>130790355</v>
      </c>
      <c r="E16" s="4">
        <f>July!I16+Aug!I16+Sep!I16</f>
        <v>0</v>
      </c>
      <c r="F16" s="4">
        <f>July!J16+Aug!J16+Sep!J16</f>
        <v>0</v>
      </c>
      <c r="G16" s="4">
        <f t="shared" si="1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v>9.0</v>
      </c>
      <c r="C17" s="3" t="s">
        <v>29</v>
      </c>
      <c r="D17" s="6">
        <f>Sep!F17</f>
        <v>1176335911</v>
      </c>
      <c r="E17" s="4">
        <f>July!I17+Aug!I17+Sep!I17</f>
        <v>0</v>
      </c>
      <c r="F17" s="4">
        <f>July!J17+Aug!J17+Sep!J17</f>
        <v>33819419</v>
      </c>
      <c r="G17" s="4">
        <f t="shared" si="1"/>
        <v>-33819419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v>10.0</v>
      </c>
      <c r="C18" s="3" t="s">
        <v>30</v>
      </c>
      <c r="D18" s="6">
        <f>Sep!F18</f>
        <v>3463728650</v>
      </c>
      <c r="E18" s="4">
        <f>July!I18+Aug!I18+Sep!I18</f>
        <v>6785133</v>
      </c>
      <c r="F18" s="4">
        <f>July!J18+Aug!J18+Sep!J18</f>
        <v>108367460</v>
      </c>
      <c r="G18" s="4">
        <f t="shared" si="1"/>
        <v>-101582327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v>11.0</v>
      </c>
      <c r="C19" s="3" t="s">
        <v>31</v>
      </c>
      <c r="D19" s="6">
        <f>Sep!F19</f>
        <v>2163035928</v>
      </c>
      <c r="E19" s="4">
        <f>July!I19+Aug!I19+Sep!I19</f>
        <v>4502557.64</v>
      </c>
      <c r="F19" s="4">
        <f>July!J19+Aug!J19+Sep!J19</f>
        <v>31379193.86</v>
      </c>
      <c r="G19" s="4">
        <f t="shared" si="1"/>
        <v>-26876636.22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v>12.0</v>
      </c>
      <c r="C20" s="3" t="s">
        <v>32</v>
      </c>
      <c r="D20" s="6">
        <f>Sep!F20</f>
        <v>9236771359</v>
      </c>
      <c r="E20" s="4">
        <f>July!I20+Aug!I20+Sep!I20</f>
        <v>40886287.19</v>
      </c>
      <c r="F20" s="4">
        <f>July!J20+Aug!J20+Sep!J20</f>
        <v>199945329.3</v>
      </c>
      <c r="G20" s="4">
        <f t="shared" si="1"/>
        <v>-159059042.1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v>13.0</v>
      </c>
      <c r="C21" s="3" t="s">
        <v>116</v>
      </c>
      <c r="D21" s="6">
        <f>Sep!F21</f>
        <v>301270493.9</v>
      </c>
      <c r="E21" s="4">
        <f>July!I21+Aug!I21+Sep!I21</f>
        <v>1241891.92</v>
      </c>
      <c r="F21" s="4">
        <f>July!J21+Aug!J21+Sep!J21</f>
        <v>4898292.4</v>
      </c>
      <c r="G21" s="4">
        <f t="shared" si="1"/>
        <v>-3656400.48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v>14.0</v>
      </c>
      <c r="C22" s="3" t="s">
        <v>34</v>
      </c>
      <c r="D22" s="6">
        <f>Sep!F22</f>
        <v>3716121923</v>
      </c>
      <c r="E22" s="4">
        <f>July!I22+Aug!I22+Sep!I22</f>
        <v>30895410.74</v>
      </c>
      <c r="F22" s="4">
        <f>July!J22+Aug!J22+Sep!J22</f>
        <v>63453197.35</v>
      </c>
      <c r="G22" s="4">
        <f t="shared" si="1"/>
        <v>-32557786.61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v>15.0</v>
      </c>
      <c r="C23" s="3" t="s">
        <v>35</v>
      </c>
      <c r="D23" s="6">
        <f>Sep!F23</f>
        <v>8137427800</v>
      </c>
      <c r="E23" s="4">
        <f>July!I23+Aug!I23+Sep!I23</f>
        <v>6547840</v>
      </c>
      <c r="F23" s="4">
        <f>July!J23+Aug!J23+Sep!J23</f>
        <v>276548241</v>
      </c>
      <c r="G23" s="4">
        <f t="shared" si="1"/>
        <v>-270000401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v>16.0</v>
      </c>
      <c r="C24" s="21" t="s">
        <v>36</v>
      </c>
      <c r="D24" s="6">
        <f>Sep!F24</f>
        <v>3395939005</v>
      </c>
      <c r="E24" s="4">
        <f>July!I24+Aug!I24+Sep!I24</f>
        <v>160845091.7</v>
      </c>
      <c r="F24" s="4">
        <f>July!J24+Aug!J24+Sep!J24</f>
        <v>8856060.67</v>
      </c>
      <c r="G24" s="4">
        <f t="shared" si="1"/>
        <v>151989031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2"/>
      <c r="B25" s="2">
        <v>17.0</v>
      </c>
      <c r="C25" s="23" t="s">
        <v>37</v>
      </c>
      <c r="D25" s="6">
        <f>Sep!F25</f>
        <v>6585638473</v>
      </c>
      <c r="E25" s="4">
        <f>July!I25+Aug!I25+Sep!I25</f>
        <v>71860534</v>
      </c>
      <c r="F25" s="4">
        <f>July!J25+Aug!J25+Sep!J25</f>
        <v>230900234</v>
      </c>
      <c r="G25" s="4">
        <f t="shared" si="1"/>
        <v>-159039700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2"/>
      <c r="B26" s="2">
        <v>18.0</v>
      </c>
      <c r="C26" s="23" t="s">
        <v>38</v>
      </c>
      <c r="D26" s="6">
        <f>Sep!F26</f>
        <v>11066904922</v>
      </c>
      <c r="E26" s="4">
        <f>July!I26+Aug!I26+Sep!I26</f>
        <v>259859160</v>
      </c>
      <c r="F26" s="4">
        <f>July!J26+Aug!J26+Sep!J26</f>
        <v>726623124</v>
      </c>
      <c r="G26" s="4">
        <f t="shared" si="1"/>
        <v>-466763964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v>19.0</v>
      </c>
      <c r="C27" s="3" t="s">
        <v>39</v>
      </c>
      <c r="D27" s="6">
        <f>Sep!F27</f>
        <v>576048260.8</v>
      </c>
      <c r="E27" s="4">
        <f>July!I27+Aug!I27+Sep!I27</f>
        <v>789836.09</v>
      </c>
      <c r="F27" s="4">
        <f>July!J27+Aug!J27+Sep!J27</f>
        <v>1808765.91</v>
      </c>
      <c r="G27" s="4">
        <f t="shared" si="1"/>
        <v>-1018929.82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18"/>
      <c r="B29" s="2">
        <v>20.0</v>
      </c>
      <c r="C29" s="3" t="s">
        <v>41</v>
      </c>
      <c r="D29" s="6">
        <f>Sep!F29</f>
        <v>210627991.5</v>
      </c>
      <c r="E29" s="4">
        <f>July!I29+Aug!I29+Sep!I29</f>
        <v>17863459.91</v>
      </c>
      <c r="F29" s="4">
        <f>July!J29+Aug!J29+Sep!J29</f>
        <v>3715906.43</v>
      </c>
      <c r="G29" s="4">
        <f t="shared" ref="G29:G31" si="2">E29-F29</f>
        <v>14147553.48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2">
        <v>21.0</v>
      </c>
      <c r="C30" s="3" t="s">
        <v>42</v>
      </c>
      <c r="D30" s="6">
        <f>Sep!F30</f>
        <v>319366908.5</v>
      </c>
      <c r="E30" s="4">
        <f>July!I30+Aug!I30+Sep!I30</f>
        <v>3189374.15</v>
      </c>
      <c r="F30" s="4">
        <f>July!J30+Aug!J30+Sep!J30</f>
        <v>4043081.65</v>
      </c>
      <c r="G30" s="4">
        <f t="shared" si="2"/>
        <v>-853707.5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v>22.0</v>
      </c>
      <c r="C31" s="3" t="s">
        <v>35</v>
      </c>
      <c r="D31" s="6">
        <f>Sep!F31</f>
        <v>564232996</v>
      </c>
      <c r="E31" s="4">
        <f>July!I31+Aug!I31+Sep!I31</f>
        <v>96089943</v>
      </c>
      <c r="F31" s="4">
        <f>July!J31+Aug!J31+Sep!J31</f>
        <v>45367989</v>
      </c>
      <c r="G31" s="4">
        <f t="shared" si="2"/>
        <v>50721954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18" t="s">
        <v>43</v>
      </c>
      <c r="B32" s="2"/>
      <c r="C32" s="3"/>
      <c r="D32" s="6"/>
      <c r="E32" s="4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1.25" customHeight="1">
      <c r="A33" s="3"/>
      <c r="B33" s="2">
        <v>23.0</v>
      </c>
      <c r="C33" s="3" t="s">
        <v>44</v>
      </c>
      <c r="D33" s="6">
        <f>Sep!F33</f>
        <v>2092054272</v>
      </c>
      <c r="E33" s="4">
        <f>July!I33+Aug!I33+Sep!I33</f>
        <v>32135322</v>
      </c>
      <c r="F33" s="4">
        <f>July!J33+Aug!J33+Sep!J33</f>
        <v>46081839</v>
      </c>
      <c r="G33" s="4">
        <f>E33-F33</f>
        <v>-13946517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24" t="s">
        <v>45</v>
      </c>
      <c r="B34" s="25"/>
      <c r="C34" s="1"/>
      <c r="D34" s="54">
        <f t="shared" ref="D34:G34" si="3">SUM(D9:D33)</f>
        <v>64418774410</v>
      </c>
      <c r="E34" s="54">
        <f t="shared" si="3"/>
        <v>997537256</v>
      </c>
      <c r="F34" s="54">
        <f t="shared" si="3"/>
        <v>2163257000</v>
      </c>
      <c r="G34" s="54">
        <f t="shared" si="3"/>
        <v>-1165719744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0" customHeight="1">
      <c r="A35" s="18" t="s">
        <v>46</v>
      </c>
      <c r="B35" s="2"/>
      <c r="C35" s="3"/>
      <c r="D35" s="6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2">
        <v>24.0</v>
      </c>
      <c r="C36" s="3" t="s">
        <v>47</v>
      </c>
      <c r="D36" s="6">
        <f>Sep!F36</f>
        <v>32641365.47</v>
      </c>
      <c r="E36" s="4">
        <f>July!I36+Aug!I36+Sep!I36</f>
        <v>64069.6313</v>
      </c>
      <c r="F36" s="4">
        <f>July!J36+Aug!J36+Sep!J36</f>
        <v>49368.38445</v>
      </c>
      <c r="G36" s="4">
        <f t="shared" ref="G36:G37" si="4">E36-F36</f>
        <v>14701.24685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v>25.0</v>
      </c>
      <c r="C37" s="3" t="s">
        <v>48</v>
      </c>
      <c r="D37" s="6">
        <f>Sep!F37</f>
        <v>1839136459</v>
      </c>
      <c r="E37" s="4">
        <f>July!I37+Aug!I37+Sep!I37</f>
        <v>29925015</v>
      </c>
      <c r="F37" s="4">
        <f>July!J37+Aug!J37+Sep!J37</f>
        <v>61554270</v>
      </c>
      <c r="G37" s="4">
        <f t="shared" si="4"/>
        <v>-31629255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24" t="s">
        <v>49</v>
      </c>
      <c r="B38" s="25"/>
      <c r="C38" s="1"/>
      <c r="D38" s="54">
        <f t="shared" ref="D38:G38" si="5">SUM(D36:D37)</f>
        <v>1871777824</v>
      </c>
      <c r="E38" s="54">
        <f t="shared" si="5"/>
        <v>29989084.63</v>
      </c>
      <c r="F38" s="54">
        <f t="shared" si="5"/>
        <v>61603638.38</v>
      </c>
      <c r="G38" s="54">
        <f t="shared" si="5"/>
        <v>-31614553.75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0" customHeight="1">
      <c r="A39" s="1" t="s">
        <v>50</v>
      </c>
      <c r="B39" s="25"/>
      <c r="C39" s="1"/>
      <c r="D39" s="54">
        <f t="shared" ref="D39:G39" si="6">D34+D38</f>
        <v>66290552234</v>
      </c>
      <c r="E39" s="54">
        <f t="shared" si="6"/>
        <v>1027526341</v>
      </c>
      <c r="F39" s="54">
        <f t="shared" si="6"/>
        <v>2224860638</v>
      </c>
      <c r="G39" s="54">
        <f t="shared" si="6"/>
        <v>-1197334298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"/>
      <c r="C40" s="3"/>
      <c r="D40" s="6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18" t="s">
        <v>20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18"/>
      <c r="B42" s="2">
        <v>26.0</v>
      </c>
      <c r="C42" s="3" t="s">
        <v>52</v>
      </c>
      <c r="D42" s="6">
        <f>Sep!F42</f>
        <v>114018478.4</v>
      </c>
      <c r="E42" s="4">
        <f>July!I42+Aug!I42+Sep!I42</f>
        <v>1585551.47</v>
      </c>
      <c r="F42" s="4">
        <f>July!J42+Aug!J42+Sep!J42</f>
        <v>2111983.73</v>
      </c>
      <c r="G42" s="4">
        <f t="shared" ref="G42:G51" si="7">E42-F42</f>
        <v>-526432.26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v>27.0</v>
      </c>
      <c r="C43" s="3" t="s">
        <v>53</v>
      </c>
      <c r="D43" s="6">
        <f>Sep!F43</f>
        <v>487996851.9</v>
      </c>
      <c r="E43" s="4">
        <f>July!I43+Aug!I43+Sep!I43</f>
        <v>2338123.93</v>
      </c>
      <c r="F43" s="4">
        <f>July!J43+Aug!J43+Sep!J43</f>
        <v>63987916.13</v>
      </c>
      <c r="G43" s="4">
        <f t="shared" si="7"/>
        <v>-61649792.2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v>28.0</v>
      </c>
      <c r="C44" s="3" t="s">
        <v>54</v>
      </c>
      <c r="D44" s="6">
        <f>Sep!F44</f>
        <v>955223029</v>
      </c>
      <c r="E44" s="4">
        <f>July!I44+Aug!I44+Sep!I44</f>
        <v>6558351</v>
      </c>
      <c r="F44" s="4">
        <f>July!J44+Aug!J44+Sep!J44</f>
        <v>53552083</v>
      </c>
      <c r="G44" s="4">
        <f t="shared" si="7"/>
        <v>-46993732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v>29.0</v>
      </c>
      <c r="C45" s="3" t="s">
        <v>55</v>
      </c>
      <c r="D45" s="6">
        <f>Sep!F45</f>
        <v>278862041</v>
      </c>
      <c r="E45" s="4">
        <f>July!I45+Aug!I45+Sep!I45</f>
        <v>4179249</v>
      </c>
      <c r="F45" s="4">
        <f>July!J45+Aug!J45+Sep!J45</f>
        <v>6230516</v>
      </c>
      <c r="G45" s="4">
        <f t="shared" si="7"/>
        <v>-2051267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v>30.0</v>
      </c>
      <c r="C46" s="3" t="s">
        <v>56</v>
      </c>
      <c r="D46" s="6">
        <f>Sep!F46</f>
        <v>335940242.3</v>
      </c>
      <c r="E46" s="4">
        <f>July!I46+Aug!I46+Sep!I46</f>
        <v>0</v>
      </c>
      <c r="F46" s="4">
        <f>July!J46+Aug!J46+Sep!J46</f>
        <v>1133258</v>
      </c>
      <c r="G46" s="4">
        <f t="shared" si="7"/>
        <v>-1133258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v>31.0</v>
      </c>
      <c r="C47" s="3" t="s">
        <v>57</v>
      </c>
      <c r="D47" s="6">
        <f>Sep!F47</f>
        <v>500011684</v>
      </c>
      <c r="E47" s="4">
        <f>July!I47+Aug!I47+Sep!I47</f>
        <v>768595</v>
      </c>
      <c r="F47" s="4">
        <f>July!J47+Aug!J47+Sep!J47</f>
        <v>27298461</v>
      </c>
      <c r="G47" s="4">
        <f t="shared" si="7"/>
        <v>-26529866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v>32.0</v>
      </c>
      <c r="C48" s="3" t="s">
        <v>58</v>
      </c>
      <c r="D48" s="6">
        <f>Sep!F48</f>
        <v>1957579223</v>
      </c>
      <c r="E48" s="4">
        <f>July!I48+Aug!I48+Sep!I48</f>
        <v>6189342</v>
      </c>
      <c r="F48" s="4">
        <f>July!J48+Aug!J48+Sep!J48</f>
        <v>35171757</v>
      </c>
      <c r="G48" s="4">
        <f t="shared" si="7"/>
        <v>-28982415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1.25" customHeight="1">
      <c r="A49" s="18"/>
      <c r="B49" s="2">
        <v>33.0</v>
      </c>
      <c r="C49" s="3" t="s">
        <v>59</v>
      </c>
      <c r="D49" s="6">
        <f>Sep!F49</f>
        <v>118051860</v>
      </c>
      <c r="E49" s="4">
        <f>July!I49+Aug!I49+Sep!I49</f>
        <v>0</v>
      </c>
      <c r="F49" s="4">
        <f>July!J49+Aug!J49+Sep!J49</f>
        <v>13664476</v>
      </c>
      <c r="G49" s="4">
        <f t="shared" si="7"/>
        <v>-13664476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2">
        <v>34.0</v>
      </c>
      <c r="C50" s="3" t="s">
        <v>60</v>
      </c>
      <c r="D50" s="6">
        <f>Sep!F50</f>
        <v>6807485311</v>
      </c>
      <c r="E50" s="4">
        <f>July!I50+Aug!I50+Sep!I50</f>
        <v>24586033</v>
      </c>
      <c r="F50" s="4">
        <f>July!J50+Aug!J50+Sep!J50</f>
        <v>209776657</v>
      </c>
      <c r="G50" s="4">
        <f t="shared" si="7"/>
        <v>-185190624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v>35.0</v>
      </c>
      <c r="C51" s="3" t="s">
        <v>61</v>
      </c>
      <c r="D51" s="6">
        <f>Sep!F51</f>
        <v>1046816052</v>
      </c>
      <c r="E51" s="4">
        <f>July!I51+Aug!I51+Sep!I51</f>
        <v>0</v>
      </c>
      <c r="F51" s="4">
        <f>July!J51+Aug!J51+Sep!J51</f>
        <v>56609595</v>
      </c>
      <c r="G51" s="4">
        <f t="shared" si="7"/>
        <v>-56609595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18" t="s">
        <v>40</v>
      </c>
      <c r="B52" s="2"/>
      <c r="C52" s="3"/>
      <c r="D52" s="6"/>
      <c r="E52" s="4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2">
        <v>36.0</v>
      </c>
      <c r="C53" s="3" t="s">
        <v>62</v>
      </c>
      <c r="D53" s="6">
        <f>Sep!F53</f>
        <v>76525863</v>
      </c>
      <c r="E53" s="4">
        <f>July!I53+Aug!I53+Sep!I53</f>
        <v>1767746</v>
      </c>
      <c r="F53" s="4">
        <f>July!J53+Aug!J53+Sep!J53</f>
        <v>1054455</v>
      </c>
      <c r="G53" s="4">
        <f t="shared" ref="G53:G55" si="8">E53-F53</f>
        <v>713291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v>37.0</v>
      </c>
      <c r="C54" s="3" t="s">
        <v>63</v>
      </c>
      <c r="D54" s="6">
        <f>Sep!F54</f>
        <v>54007953</v>
      </c>
      <c r="E54" s="4">
        <f>July!I54+Aug!I54+Sep!I54</f>
        <v>646812</v>
      </c>
      <c r="F54" s="4">
        <f>July!J54+Aug!J54+Sep!J54</f>
        <v>57188</v>
      </c>
      <c r="G54" s="4">
        <f t="shared" si="8"/>
        <v>589624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v>38.0</v>
      </c>
      <c r="C55" s="3" t="s">
        <v>64</v>
      </c>
      <c r="D55" s="6">
        <f>Sep!F55</f>
        <v>45757914</v>
      </c>
      <c r="E55" s="4">
        <f>July!I55+Aug!I55+Sep!I55</f>
        <v>163171</v>
      </c>
      <c r="F55" s="4">
        <f>July!J55+Aug!J55+Sep!J55</f>
        <v>104187</v>
      </c>
      <c r="G55" s="4">
        <f t="shared" si="8"/>
        <v>58984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24" t="s">
        <v>45</v>
      </c>
      <c r="B56" s="24"/>
      <c r="C56" s="1"/>
      <c r="D56" s="54">
        <f t="shared" ref="D56:G56" si="9">SUM(D42:D55)</f>
        <v>12778276503</v>
      </c>
      <c r="E56" s="54">
        <f t="shared" si="9"/>
        <v>48782974.4</v>
      </c>
      <c r="F56" s="54">
        <f t="shared" si="9"/>
        <v>470752532.9</v>
      </c>
      <c r="G56" s="54">
        <f t="shared" si="9"/>
        <v>-421969558.5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0" customHeight="1">
      <c r="A57" s="18" t="s">
        <v>46</v>
      </c>
      <c r="B57" s="2"/>
      <c r="C57" s="3"/>
      <c r="D57" s="6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18"/>
      <c r="B58" s="2">
        <v>39.0</v>
      </c>
      <c r="C58" s="3" t="s">
        <v>65</v>
      </c>
      <c r="D58" s="6">
        <f>Sep!F58</f>
        <v>70687066.3</v>
      </c>
      <c r="E58" s="4">
        <f>July!I58+Aug!I58+Sep!I58</f>
        <v>0</v>
      </c>
      <c r="F58" s="4">
        <f>July!J58+Aug!J58+Sep!J58</f>
        <v>0</v>
      </c>
      <c r="G58" s="4">
        <f t="shared" ref="G58:G61" si="10">E58-F58</f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18"/>
      <c r="B59" s="2">
        <v>40.0</v>
      </c>
      <c r="C59" s="3" t="s">
        <v>66</v>
      </c>
      <c r="D59" s="6">
        <f>Sep!F59</f>
        <v>303324185</v>
      </c>
      <c r="E59" s="4">
        <f>July!I59+Aug!I59+Sep!I59</f>
        <v>0</v>
      </c>
      <c r="F59" s="4">
        <f>July!J59+Aug!J59+Sep!J59</f>
        <v>2251875</v>
      </c>
      <c r="G59" s="4">
        <f t="shared" si="10"/>
        <v>-2251875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2">
        <v>41.0</v>
      </c>
      <c r="C60" s="3" t="s">
        <v>67</v>
      </c>
      <c r="D60" s="6">
        <f>Sep!F60</f>
        <v>1492155125</v>
      </c>
      <c r="E60" s="4">
        <f>July!I60+Aug!I60+Sep!I60</f>
        <v>3458950</v>
      </c>
      <c r="F60" s="4">
        <f>July!J60+Aug!J60+Sep!J60</f>
        <v>23205402</v>
      </c>
      <c r="G60" s="4">
        <f t="shared" si="10"/>
        <v>-19746452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v>42.0</v>
      </c>
      <c r="C61" s="3" t="s">
        <v>68</v>
      </c>
      <c r="D61" s="6">
        <f>Sep!F61</f>
        <v>250709983</v>
      </c>
      <c r="E61" s="4">
        <f>July!I61+Aug!I61+Sep!I61</f>
        <v>915653</v>
      </c>
      <c r="F61" s="4">
        <f>July!J61+Aug!J61+Sep!J61</f>
        <v>7507258</v>
      </c>
      <c r="G61" s="4">
        <f t="shared" si="10"/>
        <v>-6591605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24" t="s">
        <v>49</v>
      </c>
      <c r="B62" s="25"/>
      <c r="C62" s="1"/>
      <c r="D62" s="54">
        <f t="shared" ref="D62:G62" si="11">SUM(D58:D61)</f>
        <v>2116876359</v>
      </c>
      <c r="E62" s="54">
        <f t="shared" si="11"/>
        <v>4374603</v>
      </c>
      <c r="F62" s="54">
        <f t="shared" si="11"/>
        <v>32964535</v>
      </c>
      <c r="G62" s="54">
        <f t="shared" si="11"/>
        <v>-28589932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 t="s">
        <v>69</v>
      </c>
      <c r="B63" s="25"/>
      <c r="C63" s="1"/>
      <c r="D63" s="54">
        <f t="shared" ref="D63:G63" si="12">D56+D62</f>
        <v>14895152862</v>
      </c>
      <c r="E63" s="54">
        <f t="shared" si="12"/>
        <v>53157577.4</v>
      </c>
      <c r="F63" s="54">
        <f t="shared" si="12"/>
        <v>503717067.9</v>
      </c>
      <c r="G63" s="54">
        <f t="shared" si="12"/>
        <v>-450559490.5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"/>
      <c r="C64" s="3"/>
      <c r="D64" s="6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18" t="s">
        <v>20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2">
        <v>43.0</v>
      </c>
      <c r="C66" s="3" t="s">
        <v>71</v>
      </c>
      <c r="D66" s="6">
        <f>Sep!F66</f>
        <v>37500097438</v>
      </c>
      <c r="E66" s="4">
        <f>July!I66+Aug!I66+Sep!I66</f>
        <v>669037280</v>
      </c>
      <c r="F66" s="4">
        <f>July!J66+Aug!J66+Sep!J66</f>
        <v>1716299972</v>
      </c>
      <c r="G66" s="4">
        <f t="shared" ref="G66:G76" si="13">E66-F66</f>
        <v>-1047262692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v>44.0</v>
      </c>
      <c r="C67" s="3" t="s">
        <v>72</v>
      </c>
      <c r="D67" s="6">
        <f>Sep!F67</f>
        <v>453295033.6</v>
      </c>
      <c r="E67" s="4">
        <f>July!I67+Aug!I67+Sep!I67</f>
        <v>25759638.41</v>
      </c>
      <c r="F67" s="4">
        <f>July!J67+Aug!J67+Sep!J67</f>
        <v>43178516.78</v>
      </c>
      <c r="G67" s="4">
        <f t="shared" si="13"/>
        <v>-17418878.37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v>45.0</v>
      </c>
      <c r="C68" s="3" t="s">
        <v>73</v>
      </c>
      <c r="D68" s="6">
        <f>Sep!F68</f>
        <v>929227506.4</v>
      </c>
      <c r="E68" s="4">
        <f>July!I68+Aug!I68+Sep!I68</f>
        <v>13744707.81</v>
      </c>
      <c r="F68" s="4">
        <f>July!J68+Aug!J68+Sep!J68</f>
        <v>27277350.01</v>
      </c>
      <c r="G68" s="4">
        <f t="shared" si="13"/>
        <v>-13532642.2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1"/>
      <c r="B69" s="2">
        <v>46.0</v>
      </c>
      <c r="C69" s="3" t="s">
        <v>74</v>
      </c>
      <c r="D69" s="6">
        <f>Sep!F69</f>
        <v>197361675</v>
      </c>
      <c r="E69" s="4">
        <f>July!I69+Aug!I69+Sep!I69</f>
        <v>0</v>
      </c>
      <c r="F69" s="4">
        <f>July!J69+Aug!J69+Sep!J69</f>
        <v>1183539</v>
      </c>
      <c r="G69" s="4">
        <f t="shared" si="13"/>
        <v>-1183539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2">
        <v>47.0</v>
      </c>
      <c r="C70" s="3" t="s">
        <v>75</v>
      </c>
      <c r="D70" s="6">
        <f>Sep!F70</f>
        <v>1329229300</v>
      </c>
      <c r="E70" s="4">
        <f>July!I70+Aug!I70+Sep!I70</f>
        <v>15783879</v>
      </c>
      <c r="F70" s="4">
        <f>July!J70+Aug!J70+Sep!J70</f>
        <v>190349791</v>
      </c>
      <c r="G70" s="4">
        <f t="shared" si="13"/>
        <v>-174565912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v>48.0</v>
      </c>
      <c r="C71" s="3" t="s">
        <v>76</v>
      </c>
      <c r="D71" s="6">
        <f>Sep!F71</f>
        <v>721755350</v>
      </c>
      <c r="E71" s="4">
        <f>July!I71+Aug!I71+Sep!I71</f>
        <v>2984244</v>
      </c>
      <c r="F71" s="4">
        <f>July!J71+Aug!J71+Sep!J71</f>
        <v>10319533</v>
      </c>
      <c r="G71" s="4">
        <f t="shared" si="13"/>
        <v>-7335289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v>49.0</v>
      </c>
      <c r="C72" s="3" t="s">
        <v>77</v>
      </c>
      <c r="D72" s="6">
        <f>Sep!F72</f>
        <v>1657737242</v>
      </c>
      <c r="E72" s="4">
        <f>July!I72+Aug!I72+Sep!I72</f>
        <v>7997482</v>
      </c>
      <c r="F72" s="4">
        <f>July!J72+Aug!J72+Sep!J72</f>
        <v>23233131</v>
      </c>
      <c r="G72" s="4">
        <f t="shared" si="13"/>
        <v>-15235649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v>50.0</v>
      </c>
      <c r="C73" s="3" t="s">
        <v>78</v>
      </c>
      <c r="D73" s="6">
        <f>Sep!F73</f>
        <v>325100910.8</v>
      </c>
      <c r="E73" s="4">
        <f>July!I73+Aug!I73+Sep!I73</f>
        <v>22288682.34</v>
      </c>
      <c r="F73" s="4">
        <f>July!J73+Aug!J73+Sep!J73</f>
        <v>6061024.82</v>
      </c>
      <c r="G73" s="4">
        <f t="shared" si="13"/>
        <v>16227657.52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v>51.0</v>
      </c>
      <c r="C74" s="3" t="s">
        <v>79</v>
      </c>
      <c r="D74" s="6">
        <f>Sep!F74</f>
        <v>1452582293</v>
      </c>
      <c r="E74" s="4">
        <f>July!I74+Aug!I74+Sep!I74</f>
        <v>100244661.4</v>
      </c>
      <c r="F74" s="4">
        <f>July!J74+Aug!J74+Sep!J74</f>
        <v>1247821.93</v>
      </c>
      <c r="G74" s="4">
        <f t="shared" si="13"/>
        <v>98996839.45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v>52.0</v>
      </c>
      <c r="C75" s="3" t="s">
        <v>80</v>
      </c>
      <c r="D75" s="6">
        <f>Sep!F75</f>
        <v>5539505623</v>
      </c>
      <c r="E75" s="4">
        <f>July!I75+Aug!I75+Sep!I75</f>
        <v>331224831</v>
      </c>
      <c r="F75" s="4">
        <f>July!J75+Aug!J75+Sep!J75</f>
        <v>346741366</v>
      </c>
      <c r="G75" s="4">
        <f t="shared" si="13"/>
        <v>-15516535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v>53.0</v>
      </c>
      <c r="C76" s="3" t="s">
        <v>81</v>
      </c>
      <c r="D76" s="6">
        <f>Sep!F76</f>
        <v>127773873</v>
      </c>
      <c r="E76" s="4">
        <f>July!I76+Aug!I76+Sep!I76</f>
        <v>3070770</v>
      </c>
      <c r="F76" s="4">
        <f>July!J76+Aug!J76+Sep!J76</f>
        <v>14219841</v>
      </c>
      <c r="G76" s="4">
        <f t="shared" si="13"/>
        <v>-11149071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24" t="s">
        <v>45</v>
      </c>
      <c r="B77" s="1"/>
      <c r="C77" s="1"/>
      <c r="D77" s="54">
        <f t="shared" ref="D77:G77" si="14">SUM(D66:D76)</f>
        <v>50233666245</v>
      </c>
      <c r="E77" s="54">
        <f t="shared" si="14"/>
        <v>1192136176</v>
      </c>
      <c r="F77" s="54">
        <f t="shared" si="14"/>
        <v>2380111887</v>
      </c>
      <c r="G77" s="54">
        <f t="shared" si="14"/>
        <v>-1187975711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18" t="s">
        <v>46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v>54.0</v>
      </c>
      <c r="C79" s="3" t="s">
        <v>82</v>
      </c>
      <c r="D79" s="6">
        <f>Sep!F79</f>
        <v>13326931749</v>
      </c>
      <c r="E79" s="4">
        <f>July!I79+Aug!I79+Sep!I79</f>
        <v>86661888</v>
      </c>
      <c r="F79" s="4">
        <f>July!J79+Aug!J79+Sep!J79</f>
        <v>495621223</v>
      </c>
      <c r="G79" s="4">
        <f t="shared" ref="G79:G85" si="15">E79-F79</f>
        <v>-408959335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2">
        <v>55.0</v>
      </c>
      <c r="C80" s="3" t="s">
        <v>83</v>
      </c>
      <c r="D80" s="6">
        <f>Sep!F80</f>
        <v>253507782.5</v>
      </c>
      <c r="E80" s="4">
        <f>July!I80+Aug!I80+Sep!I80</f>
        <v>5613.0921</v>
      </c>
      <c r="F80" s="4">
        <f>July!J80+Aug!J80+Sep!J80</f>
        <v>532919.7964</v>
      </c>
      <c r="G80" s="4">
        <f t="shared" si="15"/>
        <v>-527306.7043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3"/>
      <c r="B81" s="2">
        <v>56.0</v>
      </c>
      <c r="C81" s="3" t="s">
        <v>84</v>
      </c>
      <c r="D81" s="6">
        <f>Sep!F81</f>
        <v>451476783</v>
      </c>
      <c r="E81" s="4">
        <f>July!I81+Aug!I81+Sep!I81</f>
        <v>3525796</v>
      </c>
      <c r="F81" s="4">
        <f>July!J81+Aug!J81+Sep!J81</f>
        <v>2659758</v>
      </c>
      <c r="G81" s="4">
        <f t="shared" si="15"/>
        <v>866038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1.25" customHeight="1">
      <c r="A82" s="18"/>
      <c r="B82" s="2">
        <v>57.0</v>
      </c>
      <c r="C82" s="3" t="s">
        <v>85</v>
      </c>
      <c r="D82" s="6">
        <f>Sep!F82</f>
        <v>49589684</v>
      </c>
      <c r="E82" s="4">
        <f>July!I82+Aug!I82+Sep!I82</f>
        <v>0</v>
      </c>
      <c r="F82" s="4">
        <f>July!J82+Aug!J82+Sep!J82</f>
        <v>0</v>
      </c>
      <c r="G82" s="4">
        <f t="shared" si="15"/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v>58.0</v>
      </c>
      <c r="C83" s="3" t="s">
        <v>86</v>
      </c>
      <c r="D83" s="6">
        <f>Sep!F83</f>
        <v>1888568932</v>
      </c>
      <c r="E83" s="4">
        <f>July!I83+Aug!I83+Sep!I83</f>
        <v>414845</v>
      </c>
      <c r="F83" s="4">
        <f>July!J83+Aug!J83+Sep!J83</f>
        <v>60380856</v>
      </c>
      <c r="G83" s="4">
        <f t="shared" si="15"/>
        <v>-59966011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v>59.0</v>
      </c>
      <c r="C84" s="3" t="s">
        <v>87</v>
      </c>
      <c r="D84" s="6">
        <f>Sep!F84</f>
        <v>236755371.7</v>
      </c>
      <c r="E84" s="4">
        <f>July!I84+Aug!I84+Sep!I84</f>
        <v>340536</v>
      </c>
      <c r="F84" s="4">
        <f>July!J84+Aug!J84+Sep!J84</f>
        <v>166650.15</v>
      </c>
      <c r="G84" s="4">
        <f t="shared" si="15"/>
        <v>173885.85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2">
        <v>60.0</v>
      </c>
      <c r="C85" s="3" t="s">
        <v>88</v>
      </c>
      <c r="D85" s="6">
        <f>Sep!F85</f>
        <v>567582187</v>
      </c>
      <c r="E85" s="4">
        <f>July!I85+Aug!I85+Sep!I85</f>
        <v>118400778</v>
      </c>
      <c r="F85" s="4">
        <f>July!J85+Aug!J85+Sep!J85</f>
        <v>54940801</v>
      </c>
      <c r="G85" s="4">
        <f t="shared" si="15"/>
        <v>63459977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24" t="s">
        <v>89</v>
      </c>
      <c r="B86" s="25"/>
      <c r="C86" s="29"/>
      <c r="D86" s="54">
        <f t="shared" ref="D86:G86" si="16">SUM(D79:D85)</f>
        <v>16774412489</v>
      </c>
      <c r="E86" s="54">
        <f t="shared" si="16"/>
        <v>209349456.1</v>
      </c>
      <c r="F86" s="54">
        <f t="shared" si="16"/>
        <v>614302207.9</v>
      </c>
      <c r="G86" s="54">
        <f t="shared" si="16"/>
        <v>-404952751.9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v>61.0</v>
      </c>
      <c r="C87" s="3" t="s">
        <v>90</v>
      </c>
      <c r="D87" s="6">
        <f>Sep!F87</f>
        <v>924709754</v>
      </c>
      <c r="E87" s="4">
        <f>July!I87+Aug!I87+Sep!I87</f>
        <v>5782610</v>
      </c>
      <c r="F87" s="4">
        <f>July!J87+Aug!J87+Sep!J87</f>
        <v>13142526</v>
      </c>
      <c r="G87" s="4">
        <f>E87-F87</f>
        <v>-7359916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24" t="s">
        <v>91</v>
      </c>
      <c r="B88" s="29"/>
      <c r="C88" s="1"/>
      <c r="D88" s="54">
        <f t="shared" ref="D88:G88" si="17">SUM(D87)</f>
        <v>924709754</v>
      </c>
      <c r="E88" s="54">
        <f t="shared" si="17"/>
        <v>5782610</v>
      </c>
      <c r="F88" s="54">
        <f t="shared" si="17"/>
        <v>13142526</v>
      </c>
      <c r="G88" s="54">
        <f t="shared" si="17"/>
        <v>-7359916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1" t="s">
        <v>92</v>
      </c>
      <c r="B89" s="25"/>
      <c r="C89" s="29"/>
      <c r="D89" s="54">
        <f t="shared" ref="D89:G89" si="18">D77+D86+D88</f>
        <v>67932788488</v>
      </c>
      <c r="E89" s="54">
        <f t="shared" si="18"/>
        <v>1407268242</v>
      </c>
      <c r="F89" s="54">
        <f t="shared" si="18"/>
        <v>3007556620</v>
      </c>
      <c r="G89" s="54">
        <f t="shared" si="18"/>
        <v>-1600288378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1" t="s">
        <v>93</v>
      </c>
      <c r="B90" s="2"/>
      <c r="C90" s="30"/>
      <c r="D90" s="6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18" t="s">
        <v>20</v>
      </c>
      <c r="B91" s="2"/>
      <c r="C91" s="30"/>
      <c r="D91" s="6"/>
      <c r="E91" s="4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8"/>
      <c r="B92" s="2">
        <v>62.0</v>
      </c>
      <c r="C92" s="3" t="s">
        <v>94</v>
      </c>
      <c r="D92" s="6">
        <f>Sep!F92</f>
        <v>29007548525</v>
      </c>
      <c r="E92" s="4">
        <f>July!I92+Aug!I92+Sep!I92</f>
        <v>1022413</v>
      </c>
      <c r="F92" s="4">
        <f>July!J92+Aug!J92+Sep!J92</f>
        <v>3369702283</v>
      </c>
      <c r="G92" s="4">
        <f t="shared" ref="G92:G94" si="19">E92-F92</f>
        <v>-3368679870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8"/>
      <c r="B93" s="2">
        <v>63.0</v>
      </c>
      <c r="C93" s="3" t="s">
        <v>95</v>
      </c>
      <c r="D93" s="6">
        <f>Sep!F93</f>
        <v>2584856516</v>
      </c>
      <c r="E93" s="4">
        <f>July!I93+Aug!I93+Sep!I93</f>
        <v>677086997</v>
      </c>
      <c r="F93" s="4">
        <f>July!J93+Aug!J93+Sep!J93</f>
        <v>355582722</v>
      </c>
      <c r="G93" s="4">
        <f t="shared" si="19"/>
        <v>321504275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"/>
      <c r="B94" s="2">
        <v>64.0</v>
      </c>
      <c r="C94" s="3" t="s">
        <v>96</v>
      </c>
      <c r="D94" s="6">
        <f>Sep!F94</f>
        <v>24637222077</v>
      </c>
      <c r="E94" s="4">
        <f>July!I94+Aug!I94+Sep!I94</f>
        <v>6214960105</v>
      </c>
      <c r="F94" s="4">
        <f>July!J94+Aug!J94+Sep!J94</f>
        <v>14706409000</v>
      </c>
      <c r="G94" s="4">
        <f t="shared" si="19"/>
        <v>-8491448895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 t="s">
        <v>40</v>
      </c>
      <c r="B95" s="2"/>
      <c r="C95" s="3"/>
      <c r="D95" s="6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"/>
      <c r="B96" s="2">
        <v>65.0</v>
      </c>
      <c r="C96" s="3" t="s">
        <v>94</v>
      </c>
      <c r="D96" s="6">
        <f>Sep!F96</f>
        <v>7635148198</v>
      </c>
      <c r="E96" s="4">
        <f>July!I96+Aug!I96+Sep!I96</f>
        <v>3126681532</v>
      </c>
      <c r="F96" s="4">
        <f>July!J96+Aug!J96+Sep!J96</f>
        <v>2026540480</v>
      </c>
      <c r="G96" s="4">
        <f>E96-F96</f>
        <v>1100141052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4" t="s">
        <v>45</v>
      </c>
      <c r="B97" s="2"/>
      <c r="C97" s="3"/>
      <c r="D97" s="54">
        <f t="shared" ref="D97:G97" si="20">SUM(D92:D96)</f>
        <v>63864775316</v>
      </c>
      <c r="E97" s="54">
        <f t="shared" si="20"/>
        <v>10019751047</v>
      </c>
      <c r="F97" s="54">
        <f t="shared" si="20"/>
        <v>20458234485</v>
      </c>
      <c r="G97" s="54">
        <f t="shared" si="20"/>
        <v>-10438483438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8" t="s">
        <v>46</v>
      </c>
      <c r="B98" s="2"/>
      <c r="C98" s="3"/>
      <c r="D98" s="6"/>
      <c r="E98" s="4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"/>
      <c r="B99" s="2">
        <v>66.0</v>
      </c>
      <c r="C99" s="3" t="s">
        <v>97</v>
      </c>
      <c r="D99" s="6">
        <f>Sep!F99</f>
        <v>2762763598</v>
      </c>
      <c r="E99" s="4">
        <f>July!I99+Aug!I99+Sep!I99</f>
        <v>1420958666</v>
      </c>
      <c r="F99" s="4">
        <f>July!J99+Aug!J99+Sep!J99</f>
        <v>2090652997</v>
      </c>
      <c r="G99" s="4">
        <f>E99-F99</f>
        <v>-669694331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24" t="s">
        <v>89</v>
      </c>
      <c r="B100" s="2"/>
      <c r="C100" s="3"/>
      <c r="D100" s="54">
        <f t="shared" ref="D100:G100" si="21">SUM(D99)</f>
        <v>2762763598</v>
      </c>
      <c r="E100" s="54">
        <f t="shared" si="21"/>
        <v>1420958666</v>
      </c>
      <c r="F100" s="54">
        <f t="shared" si="21"/>
        <v>2090652997</v>
      </c>
      <c r="G100" s="54">
        <f t="shared" si="21"/>
        <v>-669694331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1" t="s">
        <v>98</v>
      </c>
      <c r="B101" s="2"/>
      <c r="C101" s="3"/>
      <c r="D101" s="54">
        <f t="shared" ref="D101:G101" si="22">D97+D100</f>
        <v>66627538914</v>
      </c>
      <c r="E101" s="54">
        <f t="shared" si="22"/>
        <v>11440709713</v>
      </c>
      <c r="F101" s="54">
        <f t="shared" si="22"/>
        <v>22548887482</v>
      </c>
      <c r="G101" s="54">
        <f t="shared" si="22"/>
        <v>-11108177769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" t="s">
        <v>99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8" t="s">
        <v>100</v>
      </c>
      <c r="B103" s="2"/>
      <c r="C103" s="3"/>
      <c r="D103" s="6"/>
      <c r="E103" s="4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18"/>
      <c r="B104" s="2">
        <v>67.0</v>
      </c>
      <c r="C104" s="3" t="s">
        <v>101</v>
      </c>
      <c r="D104" s="6">
        <f>Sep!F104</f>
        <v>8791759797</v>
      </c>
      <c r="E104" s="4">
        <f>July!I104+Aug!I104+Sep!I104</f>
        <v>194089036</v>
      </c>
      <c r="F104" s="4">
        <f>July!J104+Aug!J104+Sep!J104</f>
        <v>509952313</v>
      </c>
      <c r="G104" s="4">
        <f t="shared" ref="G104:G106" si="23">E104-F104</f>
        <v>-315863277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/>
      <c r="B105" s="2">
        <v>68.0</v>
      </c>
      <c r="C105" s="3" t="s">
        <v>102</v>
      </c>
      <c r="D105" s="6">
        <f>Sep!F105</f>
        <v>3079031312</v>
      </c>
      <c r="E105" s="4">
        <f>July!I105+Aug!I105+Sep!I105</f>
        <v>183212246</v>
      </c>
      <c r="F105" s="4">
        <f>July!J105+Aug!J105+Sep!J105</f>
        <v>413061159</v>
      </c>
      <c r="G105" s="4">
        <f t="shared" si="23"/>
        <v>-229848913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/>
      <c r="B106" s="2">
        <v>69.0</v>
      </c>
      <c r="C106" s="3" t="s">
        <v>124</v>
      </c>
      <c r="D106" s="6">
        <f>Sep!F106</f>
        <v>194785629</v>
      </c>
      <c r="E106" s="4">
        <f>Sep!I106</f>
        <v>200948157</v>
      </c>
      <c r="F106" s="4">
        <f>Sep!J106</f>
        <v>0</v>
      </c>
      <c r="G106" s="4">
        <f t="shared" si="23"/>
        <v>200948157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24" t="s">
        <v>45</v>
      </c>
      <c r="B107" s="2"/>
      <c r="C107" s="3"/>
      <c r="D107" s="54">
        <f t="shared" ref="D107:G107" si="24">SUM(D104:D106)</f>
        <v>12065576738</v>
      </c>
      <c r="E107" s="54">
        <f t="shared" si="24"/>
        <v>578249439</v>
      </c>
      <c r="F107" s="54">
        <f t="shared" si="24"/>
        <v>923013472</v>
      </c>
      <c r="G107" s="54">
        <f t="shared" si="24"/>
        <v>-344764033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8" t="s">
        <v>103</v>
      </c>
      <c r="B108" s="2"/>
      <c r="C108" s="3"/>
      <c r="D108" s="6"/>
      <c r="E108" s="4"/>
      <c r="F108" s="4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v>70.0</v>
      </c>
      <c r="C109" s="3" t="s">
        <v>104</v>
      </c>
      <c r="D109" s="6">
        <f>Sep!F109</f>
        <v>9617849711</v>
      </c>
      <c r="E109" s="4">
        <f>July!I108+Aug!I108+Sep!I109</f>
        <v>115928638</v>
      </c>
      <c r="F109" s="4">
        <f>July!J108+Aug!J108+Sep!J109</f>
        <v>309946268</v>
      </c>
      <c r="G109" s="4">
        <f>E109-F109</f>
        <v>-194017630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24" t="s">
        <v>89</v>
      </c>
      <c r="B110" s="25"/>
      <c r="C110" s="1"/>
      <c r="D110" s="54">
        <f t="shared" ref="D110:G110" si="25">SUM(D109)</f>
        <v>9617849711</v>
      </c>
      <c r="E110" s="54">
        <f t="shared" si="25"/>
        <v>115928638</v>
      </c>
      <c r="F110" s="54">
        <f t="shared" si="25"/>
        <v>309946268</v>
      </c>
      <c r="G110" s="54">
        <f t="shared" si="25"/>
        <v>-194017630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1" t="s">
        <v>105</v>
      </c>
      <c r="B111" s="31"/>
      <c r="C111" s="29"/>
      <c r="D111" s="54">
        <f t="shared" ref="D111:G111" si="26">D107+D110</f>
        <v>21683426449</v>
      </c>
      <c r="E111" s="54">
        <f t="shared" si="26"/>
        <v>694178077</v>
      </c>
      <c r="F111" s="54">
        <f t="shared" si="26"/>
        <v>1232959740</v>
      </c>
      <c r="G111" s="54">
        <f t="shared" si="26"/>
        <v>-538781663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32" t="s">
        <v>106</v>
      </c>
      <c r="B112" s="33"/>
      <c r="C112" s="34"/>
      <c r="D112" s="55">
        <f t="shared" ref="D112:G112" si="27">D39+D63+D89+D101+D111</f>
        <v>237429458947</v>
      </c>
      <c r="E112" s="55">
        <f t="shared" si="27"/>
        <v>14622839950</v>
      </c>
      <c r="F112" s="55">
        <f t="shared" si="27"/>
        <v>29517981548</v>
      </c>
      <c r="G112" s="55">
        <f t="shared" si="27"/>
        <v>-14895141598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0" customHeight="1">
      <c r="A113" s="3"/>
      <c r="B113" s="2"/>
      <c r="C113" s="37"/>
      <c r="D113" s="4"/>
      <c r="E113" s="4"/>
      <c r="F113" s="4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0"/>
      <c r="B114" s="37"/>
      <c r="C114" s="37"/>
      <c r="D114" s="4">
        <f>D112-Sep!F112</f>
        <v>0</v>
      </c>
      <c r="E114" s="4">
        <f>E112-July!I111-Aug!I111-Sep!I112</f>
        <v>0</v>
      </c>
      <c r="F114" s="4">
        <f>F112-July!J111-Aug!J111-Sep!J112</f>
        <v>0.000001907348633</v>
      </c>
      <c r="G114" s="4">
        <f>G112-July!K111-Aug!K111-Sep!K112</f>
        <v>-0.0000009536743164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59" t="s">
        <v>111</v>
      </c>
      <c r="B115" s="37"/>
      <c r="C115" s="37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0" t="s">
        <v>125</v>
      </c>
      <c r="B116" s="37"/>
      <c r="C116" s="37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7"/>
      <c r="B117" s="37"/>
      <c r="C117" s="37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7"/>
      <c r="B118" s="37"/>
      <c r="C118" s="37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7"/>
      <c r="B119" s="37"/>
      <c r="C119" s="37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7"/>
      <c r="B120" s="37"/>
      <c r="C120" s="37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7"/>
      <c r="B121" s="37"/>
      <c r="C121" s="37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7"/>
      <c r="B122" s="37"/>
      <c r="C122" s="37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7"/>
      <c r="B123" s="37"/>
      <c r="C123" s="37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7"/>
      <c r="B124" s="37"/>
      <c r="C124" s="37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7"/>
      <c r="B125" s="37"/>
      <c r="C125" s="37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7"/>
      <c r="B126" s="37"/>
      <c r="C126" s="37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7"/>
      <c r="B127" s="37"/>
      <c r="C127" s="37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7"/>
      <c r="B128" s="37"/>
      <c r="C128" s="37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7"/>
      <c r="B129" s="37"/>
      <c r="C129" s="37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7"/>
      <c r="B130" s="37"/>
      <c r="C130" s="37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7"/>
      <c r="B131" s="37"/>
      <c r="C131" s="37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7"/>
      <c r="B132" s="37"/>
      <c r="C132" s="37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7"/>
      <c r="B133" s="37"/>
      <c r="C133" s="37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7"/>
      <c r="B134" s="37"/>
      <c r="C134" s="37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7"/>
      <c r="B135" s="37"/>
      <c r="C135" s="37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7"/>
      <c r="B136" s="37"/>
      <c r="C136" s="37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7"/>
      <c r="B137" s="37"/>
      <c r="C137" s="37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7"/>
      <c r="B138" s="37"/>
      <c r="C138" s="37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7"/>
      <c r="B139" s="37"/>
      <c r="C139" s="37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7"/>
      <c r="B140" s="37"/>
      <c r="C140" s="37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7"/>
      <c r="B141" s="37"/>
      <c r="C141" s="37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7"/>
      <c r="B142" s="37"/>
      <c r="C142" s="37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7"/>
      <c r="B143" s="37"/>
      <c r="C143" s="37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7"/>
      <c r="B144" s="37"/>
      <c r="C144" s="37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7"/>
      <c r="B145" s="37"/>
      <c r="C145" s="37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7"/>
      <c r="B146" s="37"/>
      <c r="C146" s="37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7"/>
      <c r="B147" s="37"/>
      <c r="C147" s="37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7"/>
      <c r="B148" s="37"/>
      <c r="C148" s="37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7"/>
      <c r="B149" s="37"/>
      <c r="C149" s="37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7"/>
      <c r="B150" s="37"/>
      <c r="C150" s="37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7"/>
      <c r="B151" s="37"/>
      <c r="C151" s="37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7"/>
      <c r="B152" s="37"/>
      <c r="C152" s="37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7"/>
      <c r="B153" s="37"/>
      <c r="C153" s="37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7"/>
      <c r="B154" s="37"/>
      <c r="C154" s="37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7"/>
      <c r="B155" s="37"/>
      <c r="C155" s="37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7"/>
      <c r="B156" s="37"/>
      <c r="C156" s="37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7"/>
      <c r="B157" s="37"/>
      <c r="C157" s="37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7"/>
      <c r="B158" s="37"/>
      <c r="C158" s="37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7"/>
      <c r="B159" s="37"/>
      <c r="C159" s="37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7"/>
      <c r="B160" s="37"/>
      <c r="C160" s="37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7"/>
      <c r="B161" s="37"/>
      <c r="C161" s="37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7"/>
      <c r="B162" s="37"/>
      <c r="C162" s="37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7"/>
      <c r="B163" s="37"/>
      <c r="C163" s="37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7"/>
      <c r="B164" s="37"/>
      <c r="C164" s="37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7"/>
      <c r="B165" s="37"/>
      <c r="C165" s="37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7"/>
      <c r="B166" s="37"/>
      <c r="C166" s="37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7"/>
      <c r="B167" s="37"/>
      <c r="C167" s="37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7"/>
      <c r="B168" s="37"/>
      <c r="C168" s="37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7"/>
      <c r="B169" s="37"/>
      <c r="C169" s="37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7"/>
      <c r="B170" s="37"/>
      <c r="C170" s="37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7"/>
      <c r="B171" s="37"/>
      <c r="C171" s="37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7"/>
      <c r="B172" s="37"/>
      <c r="C172" s="37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7"/>
      <c r="B173" s="37"/>
      <c r="C173" s="37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7"/>
      <c r="B174" s="37"/>
      <c r="C174" s="37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7"/>
      <c r="B175" s="37"/>
      <c r="C175" s="37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7"/>
      <c r="B176" s="37"/>
      <c r="C176" s="37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7"/>
      <c r="B177" s="37"/>
      <c r="C177" s="37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7"/>
      <c r="B178" s="37"/>
      <c r="C178" s="37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7"/>
      <c r="B179" s="37"/>
      <c r="C179" s="37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7"/>
      <c r="B180" s="37"/>
      <c r="C180" s="37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7"/>
      <c r="B181" s="37"/>
      <c r="C181" s="37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7"/>
      <c r="B182" s="37"/>
      <c r="C182" s="37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7"/>
      <c r="B183" s="37"/>
      <c r="C183" s="37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7"/>
      <c r="B184" s="37"/>
      <c r="C184" s="37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7"/>
      <c r="B185" s="37"/>
      <c r="C185" s="37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7"/>
      <c r="B186" s="37"/>
      <c r="C186" s="37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7"/>
      <c r="B187" s="37"/>
      <c r="C187" s="37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7"/>
      <c r="B188" s="37"/>
      <c r="C188" s="37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7"/>
      <c r="B189" s="37"/>
      <c r="C189" s="37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7"/>
      <c r="B190" s="37"/>
      <c r="C190" s="37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7"/>
      <c r="B191" s="37"/>
      <c r="C191" s="37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7"/>
      <c r="B192" s="37"/>
      <c r="C192" s="37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7"/>
      <c r="B193" s="37"/>
      <c r="C193" s="37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7"/>
      <c r="B194" s="37"/>
      <c r="C194" s="37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7"/>
      <c r="B195" s="37"/>
      <c r="C195" s="37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7"/>
      <c r="B196" s="37"/>
      <c r="C196" s="37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7"/>
      <c r="B197" s="37"/>
      <c r="C197" s="37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7"/>
      <c r="B198" s="37"/>
      <c r="C198" s="37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7"/>
      <c r="B199" s="37"/>
      <c r="C199" s="37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7"/>
      <c r="B200" s="37"/>
      <c r="C200" s="37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7"/>
      <c r="B201" s="37"/>
      <c r="C201" s="37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7"/>
      <c r="B202" s="37"/>
      <c r="C202" s="37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7"/>
      <c r="B203" s="37"/>
      <c r="C203" s="37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7"/>
      <c r="B204" s="37"/>
      <c r="C204" s="37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7"/>
      <c r="B205" s="37"/>
      <c r="C205" s="37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7"/>
      <c r="B206" s="37"/>
      <c r="C206" s="37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7"/>
      <c r="B207" s="37"/>
      <c r="C207" s="37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7"/>
      <c r="B208" s="37"/>
      <c r="C208" s="37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7"/>
      <c r="B209" s="37"/>
      <c r="C209" s="37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7"/>
      <c r="B210" s="37"/>
      <c r="C210" s="37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7"/>
      <c r="B211" s="37"/>
      <c r="C211" s="37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7"/>
      <c r="B212" s="37"/>
      <c r="C212" s="37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7"/>
      <c r="B213" s="37"/>
      <c r="C213" s="37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7"/>
      <c r="B214" s="37"/>
      <c r="C214" s="37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7"/>
      <c r="B215" s="37"/>
      <c r="C215" s="37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7"/>
      <c r="B216" s="37"/>
      <c r="C216" s="37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7"/>
      <c r="B217" s="37"/>
      <c r="C217" s="37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7"/>
      <c r="B218" s="37"/>
      <c r="C218" s="37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7"/>
      <c r="B219" s="37"/>
      <c r="C219" s="37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7"/>
      <c r="B220" s="37"/>
      <c r="C220" s="37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7"/>
      <c r="B221" s="37"/>
      <c r="C221" s="37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7"/>
      <c r="B222" s="37"/>
      <c r="C222" s="37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7"/>
      <c r="B223" s="37"/>
      <c r="C223" s="37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7"/>
      <c r="B224" s="37"/>
      <c r="C224" s="37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7"/>
      <c r="B225" s="37"/>
      <c r="C225" s="37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7"/>
      <c r="B226" s="37"/>
      <c r="C226" s="37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7"/>
      <c r="B227" s="37"/>
      <c r="C227" s="37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7"/>
      <c r="B228" s="37"/>
      <c r="C228" s="37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7"/>
      <c r="B229" s="37"/>
      <c r="C229" s="37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7"/>
      <c r="B230" s="37"/>
      <c r="C230" s="37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7"/>
      <c r="B231" s="37"/>
      <c r="C231" s="37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7"/>
      <c r="B232" s="37"/>
      <c r="C232" s="37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7"/>
      <c r="B233" s="37"/>
      <c r="C233" s="37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7"/>
      <c r="B234" s="37"/>
      <c r="C234" s="37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7"/>
      <c r="B235" s="37"/>
      <c r="C235" s="37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7"/>
      <c r="B236" s="37"/>
      <c r="C236" s="37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7"/>
      <c r="B237" s="37"/>
      <c r="C237" s="37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7"/>
      <c r="B238" s="37"/>
      <c r="C238" s="37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7"/>
      <c r="B239" s="37"/>
      <c r="C239" s="37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7"/>
      <c r="B240" s="37"/>
      <c r="C240" s="37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7"/>
      <c r="B241" s="37"/>
      <c r="C241" s="37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7"/>
      <c r="B242" s="37"/>
      <c r="C242" s="37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7"/>
      <c r="B243" s="37"/>
      <c r="C243" s="37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7"/>
      <c r="B244" s="37"/>
      <c r="C244" s="37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7"/>
      <c r="B245" s="37"/>
      <c r="C245" s="37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7"/>
      <c r="B246" s="37"/>
      <c r="C246" s="37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7"/>
      <c r="B247" s="37"/>
      <c r="C247" s="37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7"/>
      <c r="B248" s="37"/>
      <c r="C248" s="37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7"/>
      <c r="B249" s="37"/>
      <c r="C249" s="37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7"/>
      <c r="B250" s="37"/>
      <c r="C250" s="37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7"/>
      <c r="B251" s="37"/>
      <c r="C251" s="37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7"/>
      <c r="B252" s="37"/>
      <c r="C252" s="37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7"/>
      <c r="B253" s="37"/>
      <c r="C253" s="37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7"/>
      <c r="B254" s="37"/>
      <c r="C254" s="37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7"/>
      <c r="B255" s="37"/>
      <c r="C255" s="37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7"/>
      <c r="B256" s="37"/>
      <c r="C256" s="37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7"/>
      <c r="B257" s="37"/>
      <c r="C257" s="37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7"/>
      <c r="B258" s="37"/>
      <c r="C258" s="37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7"/>
      <c r="B259" s="37"/>
      <c r="C259" s="37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7"/>
      <c r="B260" s="37"/>
      <c r="C260" s="37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7"/>
      <c r="B261" s="37"/>
      <c r="C261" s="37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7"/>
      <c r="B262" s="37"/>
      <c r="C262" s="37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7"/>
      <c r="B263" s="37"/>
      <c r="C263" s="37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7"/>
      <c r="B264" s="37"/>
      <c r="C264" s="37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7"/>
      <c r="B265" s="37"/>
      <c r="C265" s="37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7"/>
      <c r="B266" s="37"/>
      <c r="C266" s="37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7"/>
      <c r="B267" s="37"/>
      <c r="C267" s="37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7"/>
      <c r="B268" s="37"/>
      <c r="C268" s="37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7"/>
      <c r="B269" s="37"/>
      <c r="C269" s="37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7"/>
      <c r="B270" s="37"/>
      <c r="C270" s="37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7"/>
      <c r="B271" s="37"/>
      <c r="C271" s="37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7"/>
      <c r="B272" s="37"/>
      <c r="C272" s="37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7"/>
      <c r="B273" s="37"/>
      <c r="C273" s="37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7"/>
      <c r="B274" s="37"/>
      <c r="C274" s="37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7"/>
      <c r="B275" s="37"/>
      <c r="C275" s="37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7"/>
      <c r="B276" s="37"/>
      <c r="C276" s="37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7"/>
      <c r="B277" s="37"/>
      <c r="C277" s="37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7"/>
      <c r="B278" s="37"/>
      <c r="C278" s="37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7"/>
      <c r="B279" s="37"/>
      <c r="C279" s="37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7"/>
      <c r="B280" s="37"/>
      <c r="C280" s="37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7"/>
      <c r="B281" s="37"/>
      <c r="C281" s="37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7"/>
      <c r="B282" s="37"/>
      <c r="C282" s="37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7"/>
      <c r="B283" s="37"/>
      <c r="C283" s="37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7"/>
      <c r="B284" s="37"/>
      <c r="C284" s="37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7"/>
      <c r="B285" s="37"/>
      <c r="C285" s="37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7"/>
      <c r="B286" s="37"/>
      <c r="C286" s="37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7"/>
      <c r="B287" s="37"/>
      <c r="C287" s="37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7"/>
      <c r="B288" s="37"/>
      <c r="C288" s="37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7"/>
      <c r="B289" s="37"/>
      <c r="C289" s="37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7"/>
      <c r="B290" s="37"/>
      <c r="C290" s="37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7"/>
      <c r="B291" s="37"/>
      <c r="C291" s="37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7"/>
      <c r="B292" s="37"/>
      <c r="C292" s="37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7"/>
      <c r="B293" s="37"/>
      <c r="C293" s="37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7"/>
      <c r="B294" s="37"/>
      <c r="C294" s="37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7"/>
      <c r="B295" s="37"/>
      <c r="C295" s="37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7"/>
      <c r="B296" s="37"/>
      <c r="C296" s="37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7"/>
      <c r="B297" s="37"/>
      <c r="C297" s="37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7"/>
      <c r="B298" s="37"/>
      <c r="C298" s="37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7"/>
      <c r="B299" s="37"/>
      <c r="C299" s="37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7"/>
      <c r="B300" s="37"/>
      <c r="C300" s="37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7"/>
      <c r="B301" s="37"/>
      <c r="C301" s="37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7"/>
      <c r="B302" s="37"/>
      <c r="C302" s="37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7"/>
      <c r="B303" s="37"/>
      <c r="C303" s="37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7"/>
      <c r="B304" s="37"/>
      <c r="C304" s="37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7"/>
      <c r="B305" s="37"/>
      <c r="C305" s="37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7"/>
      <c r="B306" s="37"/>
      <c r="C306" s="37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7"/>
      <c r="B307" s="37"/>
      <c r="C307" s="37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7"/>
      <c r="B308" s="37"/>
      <c r="C308" s="37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7"/>
      <c r="B309" s="37"/>
      <c r="C309" s="37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7"/>
      <c r="B310" s="37"/>
      <c r="C310" s="37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7"/>
      <c r="B311" s="37"/>
      <c r="C311" s="37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7"/>
      <c r="B312" s="37"/>
      <c r="C312" s="37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7"/>
      <c r="B313" s="37"/>
      <c r="C313" s="37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7"/>
      <c r="B314" s="37"/>
      <c r="C314" s="37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7"/>
      <c r="B315" s="37"/>
      <c r="C315" s="37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7"/>
      <c r="B316" s="37"/>
      <c r="C316" s="37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7"/>
      <c r="B317" s="37"/>
      <c r="C317" s="37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7"/>
      <c r="B318" s="37"/>
      <c r="C318" s="37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7"/>
      <c r="B319" s="37"/>
      <c r="C319" s="37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7"/>
      <c r="B320" s="37"/>
      <c r="C320" s="37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7"/>
      <c r="B321" s="37"/>
      <c r="C321" s="37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7"/>
      <c r="B322" s="37"/>
      <c r="C322" s="37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7"/>
      <c r="B323" s="37"/>
      <c r="C323" s="37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7"/>
      <c r="B324" s="37"/>
      <c r="C324" s="37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7"/>
      <c r="B325" s="37"/>
      <c r="C325" s="37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7"/>
      <c r="B326" s="37"/>
      <c r="C326" s="37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7"/>
      <c r="B327" s="37"/>
      <c r="C327" s="37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7"/>
      <c r="B328" s="37"/>
      <c r="C328" s="37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7"/>
      <c r="B329" s="37"/>
      <c r="C329" s="37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7"/>
      <c r="B330" s="37"/>
      <c r="C330" s="37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7"/>
      <c r="B331" s="37"/>
      <c r="C331" s="37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7"/>
      <c r="B332" s="37"/>
      <c r="C332" s="37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7"/>
      <c r="B333" s="37"/>
      <c r="C333" s="37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7"/>
      <c r="B334" s="37"/>
      <c r="C334" s="37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7"/>
      <c r="B335" s="37"/>
      <c r="C335" s="37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7"/>
      <c r="B336" s="37"/>
      <c r="C336" s="37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7"/>
      <c r="B337" s="37"/>
      <c r="C337" s="37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7"/>
      <c r="B338" s="37"/>
      <c r="C338" s="37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7"/>
      <c r="B339" s="37"/>
      <c r="C339" s="37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7"/>
      <c r="B340" s="37"/>
      <c r="C340" s="37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7"/>
      <c r="B341" s="37"/>
      <c r="C341" s="37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7"/>
      <c r="B342" s="37"/>
      <c r="C342" s="37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7"/>
      <c r="B343" s="37"/>
      <c r="C343" s="37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7"/>
      <c r="B344" s="37"/>
      <c r="C344" s="37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7"/>
      <c r="B345" s="37"/>
      <c r="C345" s="37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7"/>
      <c r="B346" s="37"/>
      <c r="C346" s="37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7"/>
      <c r="B347" s="37"/>
      <c r="C347" s="37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7"/>
      <c r="B348" s="37"/>
      <c r="C348" s="37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7"/>
      <c r="B349" s="37"/>
      <c r="C349" s="37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7"/>
      <c r="B350" s="37"/>
      <c r="C350" s="37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7"/>
      <c r="B351" s="37"/>
      <c r="C351" s="37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7"/>
      <c r="B352" s="37"/>
      <c r="C352" s="37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7"/>
      <c r="B353" s="37"/>
      <c r="C353" s="37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7"/>
      <c r="B354" s="37"/>
      <c r="C354" s="37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7"/>
      <c r="B355" s="37"/>
      <c r="C355" s="37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7"/>
      <c r="B356" s="37"/>
      <c r="C356" s="37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7"/>
      <c r="B357" s="37"/>
      <c r="C357" s="37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7"/>
      <c r="B358" s="37"/>
      <c r="C358" s="37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7"/>
      <c r="B359" s="37"/>
      <c r="C359" s="37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7"/>
      <c r="B360" s="37"/>
      <c r="C360" s="37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7"/>
      <c r="B361" s="37"/>
      <c r="C361" s="37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7"/>
      <c r="B362" s="37"/>
      <c r="C362" s="37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7"/>
      <c r="B363" s="37"/>
      <c r="C363" s="37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7"/>
      <c r="B364" s="37"/>
      <c r="C364" s="37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7"/>
      <c r="B365" s="37"/>
      <c r="C365" s="37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7"/>
      <c r="B366" s="37"/>
      <c r="C366" s="37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7"/>
      <c r="B367" s="37"/>
      <c r="C367" s="37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7"/>
      <c r="B368" s="37"/>
      <c r="C368" s="37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7"/>
      <c r="B369" s="37"/>
      <c r="C369" s="37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7"/>
      <c r="B370" s="37"/>
      <c r="C370" s="37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7"/>
      <c r="B371" s="37"/>
      <c r="C371" s="37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7"/>
      <c r="B372" s="37"/>
      <c r="C372" s="37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7"/>
      <c r="B373" s="37"/>
      <c r="C373" s="37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7"/>
      <c r="B374" s="37"/>
      <c r="C374" s="37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7"/>
      <c r="B375" s="37"/>
      <c r="C375" s="37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7"/>
      <c r="B376" s="37"/>
      <c r="C376" s="37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7"/>
      <c r="B377" s="37"/>
      <c r="C377" s="37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7"/>
      <c r="B378" s="37"/>
      <c r="C378" s="37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7"/>
      <c r="B379" s="37"/>
      <c r="C379" s="37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7"/>
      <c r="B380" s="37"/>
      <c r="C380" s="37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7"/>
      <c r="B381" s="37"/>
      <c r="C381" s="37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7"/>
      <c r="B382" s="37"/>
      <c r="C382" s="37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7"/>
      <c r="B383" s="37"/>
      <c r="C383" s="37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7"/>
      <c r="B384" s="37"/>
      <c r="C384" s="37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7"/>
      <c r="B385" s="37"/>
      <c r="C385" s="37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7"/>
      <c r="B386" s="37"/>
      <c r="C386" s="37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7"/>
      <c r="B387" s="37"/>
      <c r="C387" s="37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7"/>
      <c r="B388" s="37"/>
      <c r="C388" s="37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7"/>
      <c r="B389" s="37"/>
      <c r="C389" s="37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7"/>
      <c r="B390" s="37"/>
      <c r="C390" s="37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7"/>
      <c r="B391" s="37"/>
      <c r="C391" s="37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7"/>
      <c r="B392" s="37"/>
      <c r="C392" s="37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7"/>
      <c r="B393" s="37"/>
      <c r="C393" s="37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7"/>
      <c r="B394" s="37"/>
      <c r="C394" s="37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7"/>
      <c r="B395" s="37"/>
      <c r="C395" s="37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7"/>
      <c r="B396" s="37"/>
      <c r="C396" s="37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7"/>
      <c r="B397" s="37"/>
      <c r="C397" s="37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7"/>
      <c r="B398" s="37"/>
      <c r="C398" s="37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7"/>
      <c r="B399" s="37"/>
      <c r="C399" s="37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7"/>
      <c r="B400" s="37"/>
      <c r="C400" s="37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7"/>
      <c r="B401" s="37"/>
      <c r="C401" s="37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7"/>
      <c r="B402" s="37"/>
      <c r="C402" s="37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7"/>
      <c r="B403" s="37"/>
      <c r="C403" s="37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7"/>
      <c r="B404" s="37"/>
      <c r="C404" s="37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7"/>
      <c r="B405" s="37"/>
      <c r="C405" s="37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7"/>
      <c r="B406" s="37"/>
      <c r="C406" s="37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7"/>
      <c r="B407" s="37"/>
      <c r="C407" s="37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7"/>
      <c r="B408" s="37"/>
      <c r="C408" s="37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7"/>
      <c r="B409" s="37"/>
      <c r="C409" s="37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7"/>
      <c r="B410" s="37"/>
      <c r="C410" s="37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7"/>
      <c r="B411" s="37"/>
      <c r="C411" s="37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7"/>
      <c r="B412" s="37"/>
      <c r="C412" s="37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7"/>
      <c r="B413" s="37"/>
      <c r="C413" s="37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7"/>
      <c r="B414" s="37"/>
      <c r="C414" s="37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7"/>
      <c r="B415" s="37"/>
      <c r="C415" s="37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7"/>
      <c r="B416" s="37"/>
      <c r="C416" s="37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7"/>
      <c r="B417" s="37"/>
      <c r="C417" s="37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7"/>
      <c r="B418" s="37"/>
      <c r="C418" s="37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7"/>
      <c r="B419" s="37"/>
      <c r="C419" s="37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7"/>
      <c r="B420" s="37"/>
      <c r="C420" s="37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7"/>
      <c r="B421" s="37"/>
      <c r="C421" s="37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7"/>
      <c r="B422" s="37"/>
      <c r="C422" s="37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7"/>
      <c r="B423" s="37"/>
      <c r="C423" s="37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7"/>
      <c r="B424" s="37"/>
      <c r="C424" s="37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7"/>
      <c r="B425" s="37"/>
      <c r="C425" s="37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7"/>
      <c r="B426" s="37"/>
      <c r="C426" s="37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7"/>
      <c r="B427" s="37"/>
      <c r="C427" s="37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7"/>
      <c r="B428" s="37"/>
      <c r="C428" s="37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7"/>
      <c r="B429" s="37"/>
      <c r="C429" s="37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7"/>
      <c r="B430" s="37"/>
      <c r="C430" s="37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7"/>
      <c r="B431" s="37"/>
      <c r="C431" s="37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7"/>
      <c r="B432" s="37"/>
      <c r="C432" s="37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7"/>
      <c r="B433" s="37"/>
      <c r="C433" s="37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7"/>
      <c r="B434" s="37"/>
      <c r="C434" s="37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7"/>
      <c r="B435" s="37"/>
      <c r="C435" s="37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7"/>
      <c r="B436" s="37"/>
      <c r="C436" s="37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7"/>
      <c r="B437" s="37"/>
      <c r="C437" s="37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7"/>
      <c r="B438" s="37"/>
      <c r="C438" s="37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7"/>
      <c r="B439" s="37"/>
      <c r="C439" s="37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7"/>
      <c r="B440" s="37"/>
      <c r="C440" s="37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7"/>
      <c r="B441" s="37"/>
      <c r="C441" s="37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7"/>
      <c r="B442" s="37"/>
      <c r="C442" s="37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7"/>
      <c r="B443" s="37"/>
      <c r="C443" s="37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7"/>
      <c r="B444" s="37"/>
      <c r="C444" s="37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7"/>
      <c r="B445" s="37"/>
      <c r="C445" s="37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7"/>
      <c r="B446" s="37"/>
      <c r="C446" s="37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7"/>
      <c r="B447" s="37"/>
      <c r="C447" s="37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7"/>
      <c r="B448" s="37"/>
      <c r="C448" s="37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7"/>
      <c r="B449" s="37"/>
      <c r="C449" s="37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7"/>
      <c r="B450" s="37"/>
      <c r="C450" s="37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7"/>
      <c r="B451" s="37"/>
      <c r="C451" s="37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7"/>
      <c r="B452" s="37"/>
      <c r="C452" s="37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7"/>
      <c r="B453" s="37"/>
      <c r="C453" s="37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7"/>
      <c r="B454" s="37"/>
      <c r="C454" s="37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7"/>
      <c r="B455" s="37"/>
      <c r="C455" s="37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7"/>
      <c r="B456" s="37"/>
      <c r="C456" s="37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7"/>
      <c r="B457" s="37"/>
      <c r="C457" s="37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7"/>
      <c r="B458" s="37"/>
      <c r="C458" s="37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7"/>
      <c r="B459" s="37"/>
      <c r="C459" s="37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7"/>
      <c r="B460" s="37"/>
      <c r="C460" s="37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7"/>
      <c r="B461" s="37"/>
      <c r="C461" s="37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7"/>
      <c r="B462" s="37"/>
      <c r="C462" s="37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7"/>
      <c r="B463" s="37"/>
      <c r="C463" s="37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7"/>
      <c r="B464" s="37"/>
      <c r="C464" s="37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7"/>
      <c r="B465" s="37"/>
      <c r="C465" s="37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7"/>
      <c r="B466" s="37"/>
      <c r="C466" s="37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7"/>
      <c r="B467" s="37"/>
      <c r="C467" s="37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7"/>
      <c r="B468" s="37"/>
      <c r="C468" s="37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7"/>
      <c r="B469" s="37"/>
      <c r="C469" s="37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7"/>
      <c r="B470" s="37"/>
      <c r="C470" s="37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7"/>
      <c r="B471" s="37"/>
      <c r="C471" s="37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7"/>
      <c r="B472" s="37"/>
      <c r="C472" s="37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7"/>
      <c r="B473" s="37"/>
      <c r="C473" s="37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7"/>
      <c r="B474" s="37"/>
      <c r="C474" s="37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7"/>
      <c r="B475" s="37"/>
      <c r="C475" s="37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7"/>
      <c r="B476" s="37"/>
      <c r="C476" s="37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7"/>
      <c r="B477" s="37"/>
      <c r="C477" s="37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7"/>
      <c r="B478" s="37"/>
      <c r="C478" s="37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7"/>
      <c r="B479" s="37"/>
      <c r="C479" s="37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7"/>
      <c r="B480" s="37"/>
      <c r="C480" s="37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7"/>
      <c r="B481" s="37"/>
      <c r="C481" s="37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7"/>
      <c r="B482" s="37"/>
      <c r="C482" s="37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7"/>
      <c r="B483" s="37"/>
      <c r="C483" s="37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7"/>
      <c r="B484" s="37"/>
      <c r="C484" s="37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7"/>
      <c r="B485" s="37"/>
      <c r="C485" s="37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7"/>
      <c r="B486" s="37"/>
      <c r="C486" s="37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7"/>
      <c r="B487" s="37"/>
      <c r="C487" s="37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7"/>
      <c r="B488" s="37"/>
      <c r="C488" s="37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7"/>
      <c r="B489" s="37"/>
      <c r="C489" s="37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7"/>
      <c r="B490" s="37"/>
      <c r="C490" s="37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7"/>
      <c r="B491" s="37"/>
      <c r="C491" s="37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7"/>
      <c r="B492" s="37"/>
      <c r="C492" s="37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7"/>
      <c r="B493" s="37"/>
      <c r="C493" s="37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7"/>
      <c r="B494" s="37"/>
      <c r="C494" s="37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7"/>
      <c r="B495" s="37"/>
      <c r="C495" s="37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7"/>
      <c r="B496" s="37"/>
      <c r="C496" s="37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7"/>
      <c r="B497" s="37"/>
      <c r="C497" s="37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7"/>
      <c r="B498" s="37"/>
      <c r="C498" s="37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7"/>
      <c r="B499" s="37"/>
      <c r="C499" s="37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7"/>
      <c r="B500" s="37"/>
      <c r="C500" s="37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7"/>
      <c r="B501" s="37"/>
      <c r="C501" s="37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7"/>
      <c r="B502" s="37"/>
      <c r="C502" s="37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7"/>
      <c r="B503" s="37"/>
      <c r="C503" s="37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7"/>
      <c r="B504" s="37"/>
      <c r="C504" s="37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7"/>
      <c r="B505" s="37"/>
      <c r="C505" s="37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7"/>
      <c r="B506" s="37"/>
      <c r="C506" s="37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7"/>
      <c r="B507" s="37"/>
      <c r="C507" s="37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7"/>
      <c r="B508" s="37"/>
      <c r="C508" s="37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7"/>
      <c r="B509" s="37"/>
      <c r="C509" s="37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7"/>
      <c r="B510" s="37"/>
      <c r="C510" s="37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7"/>
      <c r="B511" s="37"/>
      <c r="C511" s="37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7"/>
      <c r="B512" s="37"/>
      <c r="C512" s="37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7"/>
      <c r="B513" s="37"/>
      <c r="C513" s="37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7"/>
      <c r="B514" s="37"/>
      <c r="C514" s="37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7"/>
      <c r="B515" s="37"/>
      <c r="C515" s="37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7"/>
      <c r="B516" s="37"/>
      <c r="C516" s="37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7"/>
      <c r="B517" s="37"/>
      <c r="C517" s="37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7"/>
      <c r="B518" s="37"/>
      <c r="C518" s="37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7"/>
      <c r="B519" s="37"/>
      <c r="C519" s="37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7"/>
      <c r="B520" s="37"/>
      <c r="C520" s="37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7"/>
      <c r="B521" s="37"/>
      <c r="C521" s="37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7"/>
      <c r="B522" s="37"/>
      <c r="C522" s="37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7"/>
      <c r="B523" s="37"/>
      <c r="C523" s="37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7"/>
      <c r="B524" s="37"/>
      <c r="C524" s="37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7"/>
      <c r="B525" s="37"/>
      <c r="C525" s="37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7"/>
      <c r="B526" s="37"/>
      <c r="C526" s="37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7"/>
      <c r="B527" s="37"/>
      <c r="C527" s="37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7"/>
      <c r="B528" s="37"/>
      <c r="C528" s="37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7"/>
      <c r="B529" s="37"/>
      <c r="C529" s="37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7"/>
      <c r="B530" s="37"/>
      <c r="C530" s="37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7"/>
      <c r="B531" s="37"/>
      <c r="C531" s="37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7"/>
      <c r="B532" s="37"/>
      <c r="C532" s="37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7"/>
      <c r="B533" s="37"/>
      <c r="C533" s="37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7"/>
      <c r="B534" s="37"/>
      <c r="C534" s="37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7"/>
      <c r="B535" s="37"/>
      <c r="C535" s="37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7"/>
      <c r="B536" s="37"/>
      <c r="C536" s="37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7"/>
      <c r="B537" s="37"/>
      <c r="C537" s="37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7"/>
      <c r="B538" s="37"/>
      <c r="C538" s="37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7"/>
      <c r="B539" s="37"/>
      <c r="C539" s="37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7"/>
      <c r="B540" s="37"/>
      <c r="C540" s="37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7"/>
      <c r="B541" s="37"/>
      <c r="C541" s="37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7"/>
      <c r="B542" s="37"/>
      <c r="C542" s="37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7"/>
      <c r="B543" s="37"/>
      <c r="C543" s="37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7"/>
      <c r="B544" s="37"/>
      <c r="C544" s="37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7"/>
      <c r="B545" s="37"/>
      <c r="C545" s="37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7"/>
      <c r="B546" s="37"/>
      <c r="C546" s="37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7"/>
      <c r="B547" s="37"/>
      <c r="C547" s="37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7"/>
      <c r="B548" s="37"/>
      <c r="C548" s="37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7"/>
      <c r="B549" s="37"/>
      <c r="C549" s="37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7"/>
      <c r="B550" s="37"/>
      <c r="C550" s="37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7"/>
      <c r="B551" s="37"/>
      <c r="C551" s="37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7"/>
      <c r="B552" s="37"/>
      <c r="C552" s="37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7"/>
      <c r="B553" s="37"/>
      <c r="C553" s="37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7"/>
      <c r="B554" s="37"/>
      <c r="C554" s="37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7"/>
      <c r="B555" s="37"/>
      <c r="C555" s="37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7"/>
      <c r="B556" s="37"/>
      <c r="C556" s="37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7"/>
      <c r="B557" s="37"/>
      <c r="C557" s="37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7"/>
      <c r="B558" s="37"/>
      <c r="C558" s="37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7"/>
      <c r="B559" s="37"/>
      <c r="C559" s="37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7"/>
      <c r="B560" s="37"/>
      <c r="C560" s="37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7"/>
      <c r="B561" s="37"/>
      <c r="C561" s="37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7"/>
      <c r="B562" s="37"/>
      <c r="C562" s="37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7"/>
      <c r="B563" s="37"/>
      <c r="C563" s="37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7"/>
      <c r="B564" s="37"/>
      <c r="C564" s="37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7"/>
      <c r="B565" s="37"/>
      <c r="C565" s="37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7"/>
      <c r="B566" s="37"/>
      <c r="C566" s="37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7"/>
      <c r="B567" s="37"/>
      <c r="C567" s="37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7"/>
      <c r="B568" s="37"/>
      <c r="C568" s="37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7"/>
      <c r="B569" s="37"/>
      <c r="C569" s="37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7"/>
      <c r="B570" s="37"/>
      <c r="C570" s="37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7"/>
      <c r="B571" s="37"/>
      <c r="C571" s="37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7"/>
      <c r="B572" s="37"/>
      <c r="C572" s="37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7"/>
      <c r="B573" s="37"/>
      <c r="C573" s="37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7"/>
      <c r="B574" s="37"/>
      <c r="C574" s="37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7"/>
      <c r="B575" s="37"/>
      <c r="C575" s="37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7"/>
      <c r="B576" s="37"/>
      <c r="C576" s="37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7"/>
      <c r="B577" s="37"/>
      <c r="C577" s="37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7"/>
      <c r="B578" s="37"/>
      <c r="C578" s="37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7"/>
      <c r="B579" s="37"/>
      <c r="C579" s="37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7"/>
      <c r="B580" s="37"/>
      <c r="C580" s="37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7"/>
      <c r="B581" s="37"/>
      <c r="C581" s="37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7"/>
      <c r="B582" s="37"/>
      <c r="C582" s="37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7"/>
      <c r="B583" s="37"/>
      <c r="C583" s="37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7"/>
      <c r="B584" s="37"/>
      <c r="C584" s="37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7"/>
      <c r="B585" s="37"/>
      <c r="C585" s="37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7"/>
      <c r="B586" s="37"/>
      <c r="C586" s="37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7"/>
      <c r="B587" s="37"/>
      <c r="C587" s="37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7"/>
      <c r="B588" s="37"/>
      <c r="C588" s="37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7"/>
      <c r="B589" s="37"/>
      <c r="C589" s="37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7"/>
      <c r="B590" s="37"/>
      <c r="C590" s="37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7"/>
      <c r="B591" s="37"/>
      <c r="C591" s="37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7"/>
      <c r="B592" s="37"/>
      <c r="C592" s="37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7"/>
      <c r="B593" s="37"/>
      <c r="C593" s="37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7"/>
      <c r="B594" s="37"/>
      <c r="C594" s="37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7"/>
      <c r="B595" s="37"/>
      <c r="C595" s="37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7"/>
      <c r="B596" s="37"/>
      <c r="C596" s="37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7"/>
      <c r="B597" s="37"/>
      <c r="C597" s="37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7"/>
      <c r="B598" s="37"/>
      <c r="C598" s="37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7"/>
      <c r="B599" s="37"/>
      <c r="C599" s="37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7"/>
      <c r="B600" s="37"/>
      <c r="C600" s="37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7"/>
      <c r="B601" s="37"/>
      <c r="C601" s="37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7"/>
      <c r="B602" s="37"/>
      <c r="C602" s="37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7"/>
      <c r="B603" s="37"/>
      <c r="C603" s="37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7"/>
      <c r="B604" s="37"/>
      <c r="C604" s="37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7"/>
      <c r="B605" s="37"/>
      <c r="C605" s="37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7"/>
      <c r="B606" s="37"/>
      <c r="C606" s="37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7"/>
      <c r="B607" s="37"/>
      <c r="C607" s="37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7"/>
      <c r="B608" s="37"/>
      <c r="C608" s="37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7"/>
      <c r="B609" s="37"/>
      <c r="C609" s="37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7"/>
      <c r="B610" s="37"/>
      <c r="C610" s="37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7"/>
      <c r="B611" s="37"/>
      <c r="C611" s="37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7"/>
      <c r="B612" s="37"/>
      <c r="C612" s="37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7"/>
      <c r="B613" s="37"/>
      <c r="C613" s="37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7"/>
      <c r="B614" s="37"/>
      <c r="C614" s="37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7"/>
      <c r="B615" s="37"/>
      <c r="C615" s="37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7"/>
      <c r="B616" s="37"/>
      <c r="C616" s="37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7"/>
      <c r="B617" s="37"/>
      <c r="C617" s="37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7"/>
      <c r="B618" s="37"/>
      <c r="C618" s="37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7"/>
      <c r="B619" s="37"/>
      <c r="C619" s="37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7"/>
      <c r="B620" s="37"/>
      <c r="C620" s="37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7"/>
      <c r="B621" s="37"/>
      <c r="C621" s="37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7"/>
      <c r="B622" s="37"/>
      <c r="C622" s="37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7"/>
      <c r="B623" s="37"/>
      <c r="C623" s="37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7"/>
      <c r="B624" s="37"/>
      <c r="C624" s="37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7"/>
      <c r="B625" s="37"/>
      <c r="C625" s="37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7"/>
      <c r="B626" s="37"/>
      <c r="C626" s="37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7"/>
      <c r="B627" s="37"/>
      <c r="C627" s="37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7"/>
      <c r="B628" s="37"/>
      <c r="C628" s="37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7"/>
      <c r="B629" s="37"/>
      <c r="C629" s="37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7"/>
      <c r="B630" s="37"/>
      <c r="C630" s="37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7"/>
      <c r="B631" s="37"/>
      <c r="C631" s="37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7"/>
      <c r="B632" s="37"/>
      <c r="C632" s="37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7"/>
      <c r="B633" s="37"/>
      <c r="C633" s="37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7"/>
      <c r="B634" s="37"/>
      <c r="C634" s="37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7"/>
      <c r="B635" s="37"/>
      <c r="C635" s="37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7"/>
      <c r="B636" s="37"/>
      <c r="C636" s="37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7"/>
      <c r="B637" s="37"/>
      <c r="C637" s="37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7"/>
      <c r="B638" s="37"/>
      <c r="C638" s="37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7"/>
      <c r="B639" s="37"/>
      <c r="C639" s="37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7"/>
      <c r="B640" s="37"/>
      <c r="C640" s="37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7"/>
      <c r="B641" s="37"/>
      <c r="C641" s="37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7"/>
      <c r="B642" s="37"/>
      <c r="C642" s="37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7"/>
      <c r="B643" s="37"/>
      <c r="C643" s="37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7"/>
      <c r="B644" s="37"/>
      <c r="C644" s="37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7"/>
      <c r="B645" s="37"/>
      <c r="C645" s="37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7"/>
      <c r="B646" s="37"/>
      <c r="C646" s="37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7"/>
      <c r="B647" s="37"/>
      <c r="C647" s="37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7"/>
      <c r="B648" s="37"/>
      <c r="C648" s="37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7"/>
      <c r="B649" s="37"/>
      <c r="C649" s="37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7"/>
      <c r="B650" s="37"/>
      <c r="C650" s="37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7"/>
      <c r="B651" s="37"/>
      <c r="C651" s="37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7"/>
      <c r="B652" s="37"/>
      <c r="C652" s="37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7"/>
      <c r="B653" s="37"/>
      <c r="C653" s="37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7"/>
      <c r="B654" s="37"/>
      <c r="C654" s="37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7"/>
      <c r="B655" s="37"/>
      <c r="C655" s="37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7"/>
      <c r="B656" s="37"/>
      <c r="C656" s="37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7"/>
      <c r="B657" s="37"/>
      <c r="C657" s="37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7"/>
      <c r="B658" s="37"/>
      <c r="C658" s="37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7"/>
      <c r="B659" s="37"/>
      <c r="C659" s="37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7"/>
      <c r="B660" s="37"/>
      <c r="C660" s="37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7"/>
      <c r="B661" s="37"/>
      <c r="C661" s="37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7"/>
      <c r="B662" s="37"/>
      <c r="C662" s="37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7"/>
      <c r="B663" s="37"/>
      <c r="C663" s="37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7"/>
      <c r="B664" s="37"/>
      <c r="C664" s="37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7"/>
      <c r="B665" s="37"/>
      <c r="C665" s="37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7"/>
      <c r="B666" s="37"/>
      <c r="C666" s="37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7"/>
      <c r="B667" s="37"/>
      <c r="C667" s="37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7"/>
      <c r="B668" s="37"/>
      <c r="C668" s="37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7"/>
      <c r="B669" s="37"/>
      <c r="C669" s="37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7"/>
      <c r="B670" s="37"/>
      <c r="C670" s="37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7"/>
      <c r="B671" s="37"/>
      <c r="C671" s="37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7"/>
      <c r="B672" s="37"/>
      <c r="C672" s="37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7"/>
      <c r="B673" s="37"/>
      <c r="C673" s="37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7"/>
      <c r="B674" s="37"/>
      <c r="C674" s="37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7"/>
      <c r="B675" s="37"/>
      <c r="C675" s="37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7"/>
      <c r="B676" s="37"/>
      <c r="C676" s="37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7"/>
      <c r="B677" s="37"/>
      <c r="C677" s="37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7"/>
      <c r="B678" s="37"/>
      <c r="C678" s="37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7"/>
      <c r="B679" s="37"/>
      <c r="C679" s="37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7"/>
      <c r="B680" s="37"/>
      <c r="C680" s="37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7"/>
      <c r="B681" s="37"/>
      <c r="C681" s="37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7"/>
      <c r="B682" s="37"/>
      <c r="C682" s="37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7"/>
      <c r="B683" s="37"/>
      <c r="C683" s="37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7"/>
      <c r="B684" s="37"/>
      <c r="C684" s="37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7"/>
      <c r="B685" s="37"/>
      <c r="C685" s="37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7"/>
      <c r="B686" s="37"/>
      <c r="C686" s="37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7"/>
      <c r="B687" s="37"/>
      <c r="C687" s="37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7"/>
      <c r="B688" s="37"/>
      <c r="C688" s="37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7"/>
      <c r="B689" s="37"/>
      <c r="C689" s="37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7"/>
      <c r="B690" s="37"/>
      <c r="C690" s="37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7"/>
      <c r="B691" s="37"/>
      <c r="C691" s="37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7"/>
      <c r="B692" s="37"/>
      <c r="C692" s="37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7"/>
      <c r="B693" s="37"/>
      <c r="C693" s="37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7"/>
      <c r="B694" s="37"/>
      <c r="C694" s="37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7"/>
      <c r="B695" s="37"/>
      <c r="C695" s="37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7"/>
      <c r="B696" s="37"/>
      <c r="C696" s="37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7"/>
      <c r="B697" s="37"/>
      <c r="C697" s="37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7"/>
      <c r="B698" s="37"/>
      <c r="C698" s="37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7"/>
      <c r="B699" s="37"/>
      <c r="C699" s="37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7"/>
      <c r="B700" s="37"/>
      <c r="C700" s="37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7"/>
      <c r="B701" s="37"/>
      <c r="C701" s="37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7"/>
      <c r="B702" s="37"/>
      <c r="C702" s="37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7"/>
      <c r="B703" s="37"/>
      <c r="C703" s="37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7"/>
      <c r="B704" s="37"/>
      <c r="C704" s="37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7"/>
      <c r="B705" s="37"/>
      <c r="C705" s="37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7"/>
      <c r="B706" s="37"/>
      <c r="C706" s="37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7"/>
      <c r="B707" s="37"/>
      <c r="C707" s="37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7"/>
      <c r="B708" s="37"/>
      <c r="C708" s="37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7"/>
      <c r="B709" s="37"/>
      <c r="C709" s="37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7"/>
      <c r="B710" s="37"/>
      <c r="C710" s="37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7"/>
      <c r="B711" s="37"/>
      <c r="C711" s="37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7"/>
      <c r="B712" s="37"/>
      <c r="C712" s="37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7"/>
      <c r="B713" s="37"/>
      <c r="C713" s="37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7"/>
      <c r="B714" s="37"/>
      <c r="C714" s="37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7"/>
      <c r="B715" s="37"/>
      <c r="C715" s="37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7"/>
      <c r="B716" s="37"/>
      <c r="C716" s="37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7"/>
      <c r="B717" s="37"/>
      <c r="C717" s="37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7"/>
      <c r="B718" s="37"/>
      <c r="C718" s="37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7"/>
      <c r="B719" s="37"/>
      <c r="C719" s="37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7"/>
      <c r="B720" s="37"/>
      <c r="C720" s="37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7"/>
      <c r="B721" s="37"/>
      <c r="C721" s="37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7"/>
      <c r="B722" s="37"/>
      <c r="C722" s="37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7"/>
      <c r="B723" s="37"/>
      <c r="C723" s="37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7"/>
      <c r="B724" s="37"/>
      <c r="C724" s="37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7"/>
      <c r="B725" s="37"/>
      <c r="C725" s="37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7"/>
      <c r="B726" s="37"/>
      <c r="C726" s="37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7"/>
      <c r="B727" s="37"/>
      <c r="C727" s="37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7"/>
      <c r="B728" s="37"/>
      <c r="C728" s="37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7"/>
      <c r="B729" s="37"/>
      <c r="C729" s="37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7"/>
      <c r="B730" s="37"/>
      <c r="C730" s="37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7"/>
      <c r="B731" s="37"/>
      <c r="C731" s="37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7"/>
      <c r="B732" s="37"/>
      <c r="C732" s="37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7"/>
      <c r="B733" s="37"/>
      <c r="C733" s="37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7"/>
      <c r="B734" s="37"/>
      <c r="C734" s="37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7"/>
      <c r="B735" s="37"/>
      <c r="C735" s="37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7"/>
      <c r="B736" s="37"/>
      <c r="C736" s="37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7"/>
      <c r="B737" s="37"/>
      <c r="C737" s="37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7"/>
      <c r="B738" s="37"/>
      <c r="C738" s="37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7"/>
      <c r="B739" s="37"/>
      <c r="C739" s="37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7"/>
      <c r="B740" s="37"/>
      <c r="C740" s="37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7"/>
      <c r="B741" s="37"/>
      <c r="C741" s="37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7"/>
      <c r="B742" s="37"/>
      <c r="C742" s="37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7"/>
      <c r="B743" s="37"/>
      <c r="C743" s="37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7"/>
      <c r="B744" s="37"/>
      <c r="C744" s="37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7"/>
      <c r="B745" s="37"/>
      <c r="C745" s="37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7"/>
      <c r="B746" s="37"/>
      <c r="C746" s="37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7"/>
      <c r="B747" s="37"/>
      <c r="C747" s="37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7"/>
      <c r="B748" s="37"/>
      <c r="C748" s="37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7"/>
      <c r="B749" s="37"/>
      <c r="C749" s="37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7"/>
      <c r="B750" s="37"/>
      <c r="C750" s="37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7"/>
      <c r="B751" s="37"/>
      <c r="C751" s="37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7"/>
      <c r="B752" s="37"/>
      <c r="C752" s="37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7"/>
      <c r="B753" s="37"/>
      <c r="C753" s="37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7"/>
      <c r="B754" s="37"/>
      <c r="C754" s="37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7"/>
      <c r="B755" s="37"/>
      <c r="C755" s="37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7"/>
      <c r="B756" s="37"/>
      <c r="C756" s="37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7"/>
      <c r="B757" s="37"/>
      <c r="C757" s="37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7"/>
      <c r="B758" s="37"/>
      <c r="C758" s="37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7"/>
      <c r="B759" s="37"/>
      <c r="C759" s="37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7"/>
      <c r="B760" s="37"/>
      <c r="C760" s="37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7"/>
      <c r="B761" s="37"/>
      <c r="C761" s="37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7"/>
      <c r="B762" s="37"/>
      <c r="C762" s="37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7"/>
      <c r="B763" s="37"/>
      <c r="C763" s="37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7"/>
      <c r="B764" s="37"/>
      <c r="C764" s="37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7"/>
      <c r="B765" s="37"/>
      <c r="C765" s="37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7"/>
      <c r="B766" s="37"/>
      <c r="C766" s="37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7"/>
      <c r="B767" s="37"/>
      <c r="C767" s="37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7"/>
      <c r="B768" s="37"/>
      <c r="C768" s="37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7"/>
      <c r="B769" s="37"/>
      <c r="C769" s="37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7"/>
      <c r="B770" s="37"/>
      <c r="C770" s="37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7"/>
      <c r="B771" s="37"/>
      <c r="C771" s="37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7"/>
      <c r="B772" s="37"/>
      <c r="C772" s="37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7"/>
      <c r="B773" s="37"/>
      <c r="C773" s="37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7"/>
      <c r="B774" s="37"/>
      <c r="C774" s="37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7"/>
      <c r="B775" s="37"/>
      <c r="C775" s="37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7"/>
      <c r="B776" s="37"/>
      <c r="C776" s="37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7"/>
      <c r="B777" s="37"/>
      <c r="C777" s="37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7"/>
      <c r="B778" s="37"/>
      <c r="C778" s="37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7"/>
      <c r="B779" s="37"/>
      <c r="C779" s="37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7"/>
      <c r="B780" s="37"/>
      <c r="C780" s="37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7"/>
      <c r="B781" s="37"/>
      <c r="C781" s="37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7"/>
      <c r="B782" s="37"/>
      <c r="C782" s="37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7"/>
      <c r="B783" s="37"/>
      <c r="C783" s="37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7"/>
      <c r="B784" s="37"/>
      <c r="C784" s="37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7"/>
      <c r="B785" s="37"/>
      <c r="C785" s="37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7"/>
      <c r="B786" s="37"/>
      <c r="C786" s="37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7"/>
      <c r="B787" s="37"/>
      <c r="C787" s="37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7"/>
      <c r="B788" s="37"/>
      <c r="C788" s="37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7"/>
      <c r="B789" s="37"/>
      <c r="C789" s="37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7"/>
      <c r="B790" s="37"/>
      <c r="C790" s="37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7"/>
      <c r="B791" s="37"/>
      <c r="C791" s="37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7"/>
      <c r="B792" s="37"/>
      <c r="C792" s="37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7"/>
      <c r="B793" s="37"/>
      <c r="C793" s="37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7"/>
      <c r="B794" s="37"/>
      <c r="C794" s="37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7"/>
      <c r="B795" s="37"/>
      <c r="C795" s="37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7"/>
      <c r="B796" s="37"/>
      <c r="C796" s="37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7"/>
      <c r="B797" s="37"/>
      <c r="C797" s="37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7"/>
      <c r="B798" s="37"/>
      <c r="C798" s="37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7"/>
      <c r="B799" s="37"/>
      <c r="C799" s="37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7"/>
      <c r="B800" s="37"/>
      <c r="C800" s="37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7"/>
      <c r="B801" s="37"/>
      <c r="C801" s="37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7"/>
      <c r="B802" s="37"/>
      <c r="C802" s="37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7"/>
      <c r="B803" s="37"/>
      <c r="C803" s="37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7"/>
      <c r="B804" s="37"/>
      <c r="C804" s="37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7"/>
      <c r="B805" s="37"/>
      <c r="C805" s="37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7"/>
      <c r="B806" s="37"/>
      <c r="C806" s="37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7"/>
      <c r="B807" s="37"/>
      <c r="C807" s="37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7"/>
      <c r="B808" s="37"/>
      <c r="C808" s="37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7"/>
      <c r="B809" s="37"/>
      <c r="C809" s="37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7"/>
      <c r="B810" s="37"/>
      <c r="C810" s="37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7"/>
      <c r="B811" s="37"/>
      <c r="C811" s="37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7"/>
      <c r="B812" s="37"/>
      <c r="C812" s="37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7"/>
      <c r="B813" s="37"/>
      <c r="C813" s="37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7"/>
      <c r="B814" s="37"/>
      <c r="C814" s="37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7"/>
      <c r="B815" s="37"/>
      <c r="C815" s="37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7"/>
      <c r="B816" s="37"/>
      <c r="C816" s="37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7"/>
      <c r="B817" s="37"/>
      <c r="C817" s="37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7"/>
      <c r="B818" s="37"/>
      <c r="C818" s="37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7"/>
      <c r="B819" s="37"/>
      <c r="C819" s="37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7"/>
      <c r="B820" s="37"/>
      <c r="C820" s="37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7"/>
      <c r="B821" s="37"/>
      <c r="C821" s="37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7"/>
      <c r="B822" s="37"/>
      <c r="C822" s="37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7"/>
      <c r="B823" s="37"/>
      <c r="C823" s="37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7"/>
      <c r="B824" s="37"/>
      <c r="C824" s="37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7"/>
      <c r="B825" s="37"/>
      <c r="C825" s="37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7"/>
      <c r="B826" s="37"/>
      <c r="C826" s="37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7"/>
      <c r="B827" s="37"/>
      <c r="C827" s="37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7"/>
      <c r="B828" s="37"/>
      <c r="C828" s="37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7"/>
      <c r="B829" s="37"/>
      <c r="C829" s="37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7"/>
      <c r="B830" s="37"/>
      <c r="C830" s="37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7"/>
      <c r="B831" s="37"/>
      <c r="C831" s="37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7"/>
      <c r="B832" s="37"/>
      <c r="C832" s="37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7"/>
      <c r="B833" s="37"/>
      <c r="C833" s="37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7"/>
      <c r="B834" s="37"/>
      <c r="C834" s="37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7"/>
      <c r="B835" s="37"/>
      <c r="C835" s="37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7"/>
      <c r="B836" s="37"/>
      <c r="C836" s="37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7"/>
      <c r="B837" s="37"/>
      <c r="C837" s="37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7"/>
      <c r="B838" s="37"/>
      <c r="C838" s="37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7"/>
      <c r="B839" s="37"/>
      <c r="C839" s="37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7"/>
      <c r="B840" s="37"/>
      <c r="C840" s="37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7"/>
      <c r="B841" s="37"/>
      <c r="C841" s="37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7"/>
      <c r="B842" s="37"/>
      <c r="C842" s="37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7"/>
      <c r="B843" s="37"/>
      <c r="C843" s="37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7"/>
      <c r="B844" s="37"/>
      <c r="C844" s="37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7"/>
      <c r="B845" s="37"/>
      <c r="C845" s="37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7"/>
      <c r="B846" s="37"/>
      <c r="C846" s="37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7"/>
      <c r="B847" s="37"/>
      <c r="C847" s="37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7"/>
      <c r="B848" s="37"/>
      <c r="C848" s="37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7"/>
      <c r="B849" s="37"/>
      <c r="C849" s="37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7"/>
      <c r="B850" s="37"/>
      <c r="C850" s="37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7"/>
      <c r="B851" s="37"/>
      <c r="C851" s="37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7"/>
      <c r="B852" s="37"/>
      <c r="C852" s="37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7"/>
      <c r="B853" s="37"/>
      <c r="C853" s="37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7"/>
      <c r="B854" s="37"/>
      <c r="C854" s="37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7"/>
      <c r="B855" s="37"/>
      <c r="C855" s="37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7"/>
      <c r="B856" s="37"/>
      <c r="C856" s="37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7"/>
      <c r="B857" s="37"/>
      <c r="C857" s="37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7"/>
      <c r="B858" s="37"/>
      <c r="C858" s="37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7"/>
      <c r="B859" s="37"/>
      <c r="C859" s="37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7"/>
      <c r="B860" s="37"/>
      <c r="C860" s="37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7"/>
      <c r="B861" s="37"/>
      <c r="C861" s="37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7"/>
      <c r="B862" s="37"/>
      <c r="C862" s="37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7"/>
      <c r="B863" s="37"/>
      <c r="C863" s="37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7"/>
      <c r="B864" s="37"/>
      <c r="C864" s="37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7"/>
      <c r="B865" s="37"/>
      <c r="C865" s="37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7"/>
      <c r="B866" s="37"/>
      <c r="C866" s="37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7"/>
      <c r="B867" s="37"/>
      <c r="C867" s="37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7"/>
      <c r="B868" s="37"/>
      <c r="C868" s="37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7"/>
      <c r="B869" s="37"/>
      <c r="C869" s="37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7"/>
      <c r="B870" s="37"/>
      <c r="C870" s="37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7"/>
      <c r="B871" s="37"/>
      <c r="C871" s="37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7"/>
      <c r="B872" s="37"/>
      <c r="C872" s="37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7"/>
      <c r="B873" s="37"/>
      <c r="C873" s="37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7"/>
      <c r="B874" s="37"/>
      <c r="C874" s="37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7"/>
      <c r="B875" s="37"/>
      <c r="C875" s="37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7"/>
      <c r="B876" s="37"/>
      <c r="C876" s="37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7"/>
      <c r="B877" s="37"/>
      <c r="C877" s="37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7"/>
      <c r="B878" s="37"/>
      <c r="C878" s="37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7"/>
      <c r="B879" s="37"/>
      <c r="C879" s="37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7"/>
      <c r="B880" s="37"/>
      <c r="C880" s="37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7"/>
      <c r="B881" s="37"/>
      <c r="C881" s="37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7"/>
      <c r="B882" s="37"/>
      <c r="C882" s="37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7"/>
      <c r="B883" s="37"/>
      <c r="C883" s="37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7"/>
      <c r="B884" s="37"/>
      <c r="C884" s="37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7"/>
      <c r="B885" s="37"/>
      <c r="C885" s="37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7"/>
      <c r="B886" s="37"/>
      <c r="C886" s="37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7"/>
      <c r="B887" s="37"/>
      <c r="C887" s="37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7"/>
      <c r="B888" s="37"/>
      <c r="C888" s="37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7"/>
      <c r="B889" s="37"/>
      <c r="C889" s="37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7"/>
      <c r="B890" s="37"/>
      <c r="C890" s="37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7"/>
      <c r="B891" s="37"/>
      <c r="C891" s="37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7"/>
      <c r="B892" s="37"/>
      <c r="C892" s="37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7"/>
      <c r="B893" s="37"/>
      <c r="C893" s="37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7"/>
      <c r="B894" s="37"/>
      <c r="C894" s="37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7"/>
      <c r="B895" s="37"/>
      <c r="C895" s="37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7"/>
      <c r="B896" s="37"/>
      <c r="C896" s="37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7"/>
      <c r="B897" s="37"/>
      <c r="C897" s="37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7"/>
      <c r="B898" s="37"/>
      <c r="C898" s="37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7"/>
      <c r="B899" s="37"/>
      <c r="C899" s="37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7"/>
      <c r="B900" s="37"/>
      <c r="C900" s="37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7"/>
      <c r="B901" s="37"/>
      <c r="C901" s="37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7"/>
      <c r="B902" s="37"/>
      <c r="C902" s="37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7"/>
      <c r="B903" s="37"/>
      <c r="C903" s="37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7"/>
      <c r="B904" s="37"/>
      <c r="C904" s="37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7"/>
      <c r="B905" s="37"/>
      <c r="C905" s="37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7"/>
      <c r="B906" s="37"/>
      <c r="C906" s="37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7"/>
      <c r="B907" s="37"/>
      <c r="C907" s="37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7"/>
      <c r="B908" s="37"/>
      <c r="C908" s="37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7"/>
      <c r="B909" s="37"/>
      <c r="C909" s="37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7"/>
      <c r="B910" s="37"/>
      <c r="C910" s="37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7"/>
      <c r="B911" s="37"/>
      <c r="C911" s="37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7"/>
      <c r="B912" s="37"/>
      <c r="C912" s="37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7"/>
      <c r="B913" s="37"/>
      <c r="C913" s="37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7"/>
      <c r="B914" s="37"/>
      <c r="C914" s="37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7"/>
      <c r="B915" s="37"/>
      <c r="C915" s="37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7"/>
      <c r="B916" s="37"/>
      <c r="C916" s="37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7"/>
      <c r="B917" s="37"/>
      <c r="C917" s="37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7"/>
      <c r="B918" s="37"/>
      <c r="C918" s="37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7"/>
      <c r="B919" s="37"/>
      <c r="C919" s="37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7"/>
      <c r="B920" s="37"/>
      <c r="C920" s="37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7"/>
      <c r="B921" s="37"/>
      <c r="C921" s="37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7"/>
      <c r="B922" s="37"/>
      <c r="C922" s="37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7"/>
      <c r="B923" s="37"/>
      <c r="C923" s="37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7"/>
      <c r="B924" s="37"/>
      <c r="C924" s="37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7"/>
      <c r="B925" s="37"/>
      <c r="C925" s="37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7"/>
      <c r="B926" s="37"/>
      <c r="C926" s="37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7"/>
      <c r="B927" s="37"/>
      <c r="C927" s="37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7"/>
      <c r="B928" s="37"/>
      <c r="C928" s="37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7"/>
      <c r="B929" s="37"/>
      <c r="C929" s="37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7"/>
      <c r="B930" s="37"/>
      <c r="C930" s="37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7"/>
      <c r="B931" s="37"/>
      <c r="C931" s="37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7"/>
      <c r="B932" s="37"/>
      <c r="C932" s="37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7"/>
      <c r="B933" s="37"/>
      <c r="C933" s="37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7"/>
      <c r="B934" s="37"/>
      <c r="C934" s="37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7"/>
      <c r="B935" s="37"/>
      <c r="C935" s="37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7"/>
      <c r="B936" s="37"/>
      <c r="C936" s="37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7"/>
      <c r="B937" s="37"/>
      <c r="C937" s="37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7"/>
      <c r="B938" s="37"/>
      <c r="C938" s="37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7"/>
      <c r="B939" s="37"/>
      <c r="C939" s="37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7"/>
      <c r="B940" s="37"/>
      <c r="C940" s="37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7"/>
      <c r="B941" s="37"/>
      <c r="C941" s="37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7"/>
      <c r="B942" s="37"/>
      <c r="C942" s="37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7"/>
      <c r="B943" s="37"/>
      <c r="C943" s="37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7"/>
      <c r="B944" s="37"/>
      <c r="C944" s="37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7"/>
      <c r="B945" s="37"/>
      <c r="C945" s="37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7"/>
      <c r="B946" s="37"/>
      <c r="C946" s="37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7"/>
      <c r="B947" s="37"/>
      <c r="C947" s="37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7"/>
      <c r="B948" s="37"/>
      <c r="C948" s="37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7"/>
      <c r="B949" s="37"/>
      <c r="C949" s="37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7"/>
      <c r="B950" s="37"/>
      <c r="C950" s="37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7"/>
      <c r="B951" s="37"/>
      <c r="C951" s="37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7"/>
      <c r="B952" s="37"/>
      <c r="C952" s="37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7"/>
      <c r="B953" s="37"/>
      <c r="C953" s="37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7"/>
      <c r="B954" s="37"/>
      <c r="C954" s="37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7"/>
      <c r="B955" s="37"/>
      <c r="C955" s="37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7"/>
      <c r="B956" s="37"/>
      <c r="C956" s="37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7"/>
      <c r="B957" s="37"/>
      <c r="C957" s="37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7"/>
      <c r="B958" s="37"/>
      <c r="C958" s="37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7"/>
      <c r="B959" s="37"/>
      <c r="C959" s="37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7"/>
      <c r="B960" s="37"/>
      <c r="C960" s="37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7"/>
      <c r="B961" s="37"/>
      <c r="C961" s="37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7"/>
      <c r="B962" s="37"/>
      <c r="C962" s="37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7"/>
      <c r="B963" s="37"/>
      <c r="C963" s="37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7"/>
      <c r="B964" s="37"/>
      <c r="C964" s="37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7"/>
      <c r="B965" s="37"/>
      <c r="C965" s="37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7"/>
      <c r="B966" s="37"/>
      <c r="C966" s="37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7"/>
      <c r="B967" s="37"/>
      <c r="C967" s="37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7"/>
      <c r="B968" s="37"/>
      <c r="C968" s="37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7"/>
      <c r="B969" s="37"/>
      <c r="C969" s="37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7"/>
      <c r="B970" s="37"/>
      <c r="C970" s="37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7"/>
      <c r="B971" s="37"/>
      <c r="C971" s="37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7"/>
      <c r="B972" s="37"/>
      <c r="C972" s="37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7"/>
      <c r="B973" s="37"/>
      <c r="C973" s="37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7"/>
      <c r="B974" s="37"/>
      <c r="C974" s="37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7"/>
      <c r="B975" s="37"/>
      <c r="C975" s="37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7"/>
      <c r="B976" s="37"/>
      <c r="C976" s="37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7"/>
      <c r="B977" s="37"/>
      <c r="C977" s="37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7"/>
      <c r="B978" s="37"/>
      <c r="C978" s="37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7"/>
      <c r="B979" s="37"/>
      <c r="C979" s="37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7"/>
      <c r="B980" s="37"/>
      <c r="C980" s="37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7"/>
      <c r="B981" s="37"/>
      <c r="C981" s="37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7"/>
      <c r="B982" s="37"/>
      <c r="C982" s="37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7"/>
      <c r="B983" s="37"/>
      <c r="C983" s="37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7"/>
      <c r="B984" s="37"/>
      <c r="C984" s="37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7"/>
      <c r="B985" s="37"/>
      <c r="C985" s="37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7"/>
      <c r="B986" s="37"/>
      <c r="C986" s="37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7"/>
      <c r="B987" s="37"/>
      <c r="C987" s="37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7"/>
      <c r="B988" s="37"/>
      <c r="C988" s="37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7"/>
      <c r="B989" s="37"/>
      <c r="C989" s="37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7"/>
      <c r="B990" s="37"/>
      <c r="C990" s="37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7"/>
      <c r="B991" s="37"/>
      <c r="C991" s="37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7"/>
      <c r="B992" s="37"/>
      <c r="C992" s="37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7"/>
      <c r="B993" s="37"/>
      <c r="C993" s="37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7"/>
      <c r="B994" s="37"/>
      <c r="C994" s="37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7"/>
      <c r="B995" s="37"/>
      <c r="C995" s="37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7"/>
      <c r="B996" s="37"/>
      <c r="C996" s="37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7"/>
      <c r="B997" s="37"/>
      <c r="C997" s="37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7"/>
      <c r="B998" s="37"/>
      <c r="C998" s="37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7"/>
      <c r="B999" s="37"/>
      <c r="C999" s="37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086614173228347" footer="0.0" header="0.0" left="0.7086614173228347" right="0.7086614173228347" top="0.7086614173228347"/>
  <pageSetup scale="9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127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4.044324819E9</v>
      </c>
      <c r="E9" s="6">
        <v>9143082.0</v>
      </c>
      <c r="F9" s="6">
        <f t="shared" ref="F9:F27" si="1">D9-E9</f>
        <v>4035181737</v>
      </c>
      <c r="G9" s="6">
        <v>3.755666047E9</v>
      </c>
      <c r="H9" s="6">
        <v>6827.0</v>
      </c>
      <c r="I9" s="6">
        <v>4367460.0</v>
      </c>
      <c r="J9" s="6">
        <v>3.4411324E7</v>
      </c>
      <c r="K9" s="4">
        <f t="shared" ref="K9:K27" si="2">I9-J9</f>
        <v>-30043864</v>
      </c>
      <c r="L9" s="4">
        <f>I9+Sep!L9</f>
        <v>83142795.19</v>
      </c>
      <c r="M9" s="4">
        <f>J9+Sep!M9</f>
        <v>481677797.1</v>
      </c>
      <c r="N9" s="4">
        <f t="shared" ref="N9:N27" si="3">L9-M9</f>
        <v>-398535001.9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7.4428219189E8</v>
      </c>
      <c r="E10" s="6">
        <v>1802615.21</v>
      </c>
      <c r="F10" s="6">
        <f t="shared" si="1"/>
        <v>742479576.7</v>
      </c>
      <c r="G10" s="6">
        <v>6.3356374551E8</v>
      </c>
      <c r="H10" s="6">
        <v>4152.0</v>
      </c>
      <c r="I10" s="6">
        <v>3845953.65</v>
      </c>
      <c r="J10" s="6">
        <v>4495415.84</v>
      </c>
      <c r="K10" s="4">
        <f t="shared" si="2"/>
        <v>-649462.19</v>
      </c>
      <c r="L10" s="4">
        <f>I10+Sep!L10</f>
        <v>49282021.88</v>
      </c>
      <c r="M10" s="4">
        <f>J10+Sep!M10</f>
        <v>78065928.98</v>
      </c>
      <c r="N10" s="4">
        <f t="shared" si="3"/>
        <v>-28783907.1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1.22671207128E9</v>
      </c>
      <c r="E11" s="6">
        <v>3282337.34</v>
      </c>
      <c r="F11" s="6">
        <f t="shared" si="1"/>
        <v>1223429734</v>
      </c>
      <c r="G11" s="6">
        <v>1.16306079085E9</v>
      </c>
      <c r="H11" s="6">
        <v>2763.0</v>
      </c>
      <c r="I11" s="6">
        <v>5884353.77</v>
      </c>
      <c r="J11" s="6">
        <v>1.167737254E7</v>
      </c>
      <c r="K11" s="4">
        <f t="shared" si="2"/>
        <v>-5793018.77</v>
      </c>
      <c r="L11" s="4">
        <f>I11+Sep!L11</f>
        <v>508064862.3</v>
      </c>
      <c r="M11" s="4">
        <f>J11+Sep!M11</f>
        <v>485461411.8</v>
      </c>
      <c r="N11" s="4">
        <f t="shared" si="3"/>
        <v>22603450.46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3.3985961711E8</v>
      </c>
      <c r="E12" s="6">
        <v>1.042185982E7</v>
      </c>
      <c r="F12" s="6">
        <f t="shared" si="1"/>
        <v>329437757.3</v>
      </c>
      <c r="G12" s="6">
        <v>2.5491096346E8</v>
      </c>
      <c r="H12" s="6">
        <v>1786.0</v>
      </c>
      <c r="I12" s="6">
        <v>1420088.3</v>
      </c>
      <c r="J12" s="6">
        <v>60975.93</v>
      </c>
      <c r="K12" s="4">
        <f t="shared" si="2"/>
        <v>1359112.37</v>
      </c>
      <c r="L12" s="4">
        <f>I12+Sep!L12</f>
        <v>8250030.02</v>
      </c>
      <c r="M12" s="4">
        <f>J12+Sep!M12</f>
        <v>3896851.1</v>
      </c>
      <c r="N12" s="4">
        <f t="shared" si="3"/>
        <v>4353178.92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4.38230937E8</v>
      </c>
      <c r="E13" s="6">
        <v>1273269.0</v>
      </c>
      <c r="F13" s="6">
        <f t="shared" si="1"/>
        <v>436957668</v>
      </c>
      <c r="G13" s="6">
        <v>3.60484897E8</v>
      </c>
      <c r="H13" s="6">
        <v>1337.0</v>
      </c>
      <c r="I13" s="6">
        <v>384443.0</v>
      </c>
      <c r="J13" s="6">
        <v>1.1037252E7</v>
      </c>
      <c r="K13" s="4">
        <f t="shared" si="2"/>
        <v>-10652809</v>
      </c>
      <c r="L13" s="4">
        <f>I13+Sep!L13</f>
        <v>6602728.54</v>
      </c>
      <c r="M13" s="4">
        <f>J13+Sep!M13</f>
        <v>42651092.44</v>
      </c>
      <c r="N13" s="4">
        <f t="shared" si="3"/>
        <v>-36048363.9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3.844256015E9</v>
      </c>
      <c r="E14" s="6">
        <v>4.6531868E7</v>
      </c>
      <c r="F14" s="6">
        <f t="shared" si="1"/>
        <v>3797724147</v>
      </c>
      <c r="G14" s="6">
        <v>3.130016929E9</v>
      </c>
      <c r="H14" s="6">
        <v>15633.0</v>
      </c>
      <c r="I14" s="6">
        <v>4.4280006E7</v>
      </c>
      <c r="J14" s="6">
        <v>5.3943705E7</v>
      </c>
      <c r="K14" s="4">
        <f t="shared" si="2"/>
        <v>-9663699</v>
      </c>
      <c r="L14" s="4">
        <f>I14+Sep!L14</f>
        <v>309297177.5</v>
      </c>
      <c r="M14" s="4">
        <f>J14+Sep!M14</f>
        <v>463247090.5</v>
      </c>
      <c r="N14" s="4">
        <f t="shared" si="3"/>
        <v>-153949913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9.5201306E7</v>
      </c>
      <c r="E15" s="6">
        <v>771703.0</v>
      </c>
      <c r="F15" s="6">
        <f t="shared" si="1"/>
        <v>94429603</v>
      </c>
      <c r="G15" s="6">
        <v>9.3226614E7</v>
      </c>
      <c r="H15" s="6">
        <v>522.0</v>
      </c>
      <c r="I15" s="6">
        <v>479080.0</v>
      </c>
      <c r="J15" s="6">
        <v>174161.0</v>
      </c>
      <c r="K15" s="4">
        <f t="shared" si="2"/>
        <v>304919</v>
      </c>
      <c r="L15" s="4">
        <f>I15+Sep!L15</f>
        <v>13135880.73</v>
      </c>
      <c r="M15" s="4">
        <f>J15+Sep!M15</f>
        <v>11143553.93</v>
      </c>
      <c r="N15" s="4">
        <f t="shared" si="3"/>
        <v>1992326.8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1.30305631E8</v>
      </c>
      <c r="E16" s="6">
        <v>2616854.0</v>
      </c>
      <c r="F16" s="6">
        <f t="shared" si="1"/>
        <v>127688777</v>
      </c>
      <c r="G16" s="6">
        <v>1.20876555E8</v>
      </c>
      <c r="H16" s="6">
        <v>50.0</v>
      </c>
      <c r="I16" s="6">
        <v>0.0</v>
      </c>
      <c r="J16" s="6">
        <v>0.0</v>
      </c>
      <c r="K16" s="4">
        <f t="shared" si="2"/>
        <v>0</v>
      </c>
      <c r="L16" s="4">
        <f>I16+Sep!L16</f>
        <v>100241.49</v>
      </c>
      <c r="M16" s="4">
        <f>J16+Sep!M16</f>
        <v>2461357.93</v>
      </c>
      <c r="N16" s="4">
        <f t="shared" si="3"/>
        <v>-2361116.44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1.145552248E9</v>
      </c>
      <c r="E17" s="6">
        <v>3.8350015E7</v>
      </c>
      <c r="F17" s="6">
        <f t="shared" si="1"/>
        <v>1107202233</v>
      </c>
      <c r="G17" s="6">
        <v>1.14229852E9</v>
      </c>
      <c r="H17" s="6">
        <v>11818.0</v>
      </c>
      <c r="I17" s="6">
        <v>0.0</v>
      </c>
      <c r="J17" s="6">
        <v>4118317.0</v>
      </c>
      <c r="K17" s="4">
        <f t="shared" si="2"/>
        <v>-4118317</v>
      </c>
      <c r="L17" s="4">
        <f>I17+Sep!L17</f>
        <v>0</v>
      </c>
      <c r="M17" s="4">
        <f>J17+Sep!M17</f>
        <v>110517510.7</v>
      </c>
      <c r="N17" s="4">
        <f t="shared" si="3"/>
        <v>-110517510.7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3.304263552E9</v>
      </c>
      <c r="E18" s="6">
        <v>3.4947183E7</v>
      </c>
      <c r="F18" s="6">
        <f t="shared" si="1"/>
        <v>3269316369</v>
      </c>
      <c r="G18" s="6">
        <v>3.042751683E9</v>
      </c>
      <c r="H18" s="6">
        <v>11732.0</v>
      </c>
      <c r="I18" s="6">
        <v>3550796.0</v>
      </c>
      <c r="J18" s="6">
        <v>2.2776374E7</v>
      </c>
      <c r="K18" s="4">
        <f t="shared" si="2"/>
        <v>-19225578</v>
      </c>
      <c r="L18" s="4">
        <f>I18+Sep!L18</f>
        <v>26989018.7</v>
      </c>
      <c r="M18" s="4">
        <f>J18+Sep!M18</f>
        <v>312003038.5</v>
      </c>
      <c r="N18" s="4">
        <f t="shared" si="3"/>
        <v>-285014019.8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2.11117341615E9</v>
      </c>
      <c r="E19" s="6">
        <v>4909671.98</v>
      </c>
      <c r="F19" s="6">
        <f t="shared" si="1"/>
        <v>2106263744</v>
      </c>
      <c r="G19" s="6">
        <v>1.88756048394E9</v>
      </c>
      <c r="H19" s="6">
        <v>5183.0</v>
      </c>
      <c r="I19" s="6">
        <v>1253735.65</v>
      </c>
      <c r="J19" s="6">
        <v>5579672.41</v>
      </c>
      <c r="K19" s="4">
        <f t="shared" si="2"/>
        <v>-4325936.76</v>
      </c>
      <c r="L19" s="4">
        <f>I19+Sep!L19</f>
        <v>147976546.9</v>
      </c>
      <c r="M19" s="4">
        <f>J19+Sep!M19</f>
        <v>64229947.59</v>
      </c>
      <c r="N19" s="4">
        <f t="shared" si="3"/>
        <v>83746599.35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8.78366343073E9</v>
      </c>
      <c r="E20" s="6">
        <v>6.230000516E7</v>
      </c>
      <c r="F20" s="6">
        <f t="shared" si="1"/>
        <v>8721363426</v>
      </c>
      <c r="G20" s="6">
        <v>8.00040031442E9</v>
      </c>
      <c r="H20" s="6">
        <v>34668.0</v>
      </c>
      <c r="I20" s="6">
        <v>8753500.56</v>
      </c>
      <c r="J20" s="6">
        <v>6.907889125E7</v>
      </c>
      <c r="K20" s="4">
        <f t="shared" si="2"/>
        <v>-60325390.69</v>
      </c>
      <c r="L20" s="4">
        <f>I20+Sep!L20</f>
        <v>149646841.6</v>
      </c>
      <c r="M20" s="4">
        <f>J20+Sep!M20</f>
        <v>631328346.4</v>
      </c>
      <c r="N20" s="4">
        <f t="shared" si="3"/>
        <v>-481681504.8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2.8547213659E8</v>
      </c>
      <c r="E21" s="6">
        <v>900867.13</v>
      </c>
      <c r="F21" s="6">
        <f t="shared" si="1"/>
        <v>284571269.5</v>
      </c>
      <c r="G21" s="6">
        <v>2.8299080213E8</v>
      </c>
      <c r="H21" s="6">
        <v>958.0</v>
      </c>
      <c r="I21" s="6">
        <v>297488.0</v>
      </c>
      <c r="J21" s="6">
        <v>419951.58</v>
      </c>
      <c r="K21" s="4">
        <f t="shared" si="2"/>
        <v>-122463.58</v>
      </c>
      <c r="L21" s="4">
        <f>I21+Sep!L21</f>
        <v>3332799</v>
      </c>
      <c r="M21" s="4">
        <f>J21+Sep!M21</f>
        <v>9571558.64</v>
      </c>
      <c r="N21" s="4">
        <f t="shared" si="3"/>
        <v>-6238759.64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3.51426041817E9</v>
      </c>
      <c r="E22" s="6">
        <v>7581728.79</v>
      </c>
      <c r="F22" s="6">
        <f t="shared" si="1"/>
        <v>3506678689</v>
      </c>
      <c r="G22" s="6">
        <v>3.41259063789E9</v>
      </c>
      <c r="H22" s="6">
        <v>25850.0</v>
      </c>
      <c r="I22" s="6">
        <v>1.102653902E7</v>
      </c>
      <c r="J22" s="6">
        <v>2.215332934E7</v>
      </c>
      <c r="K22" s="4">
        <f t="shared" si="2"/>
        <v>-11126790.32</v>
      </c>
      <c r="L22" s="4">
        <f>I22+Sep!L22</f>
        <v>317142520.8</v>
      </c>
      <c r="M22" s="4">
        <f>J22+Sep!M22</f>
        <v>303374004</v>
      </c>
      <c r="N22" s="4">
        <f t="shared" si="3"/>
        <v>13768516.78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7.651188885E9</v>
      </c>
      <c r="E23" s="6">
        <v>1.7740302E7</v>
      </c>
      <c r="F23" s="6">
        <f t="shared" si="1"/>
        <v>7633448583</v>
      </c>
      <c r="G23" s="6">
        <v>7.570534328E9</v>
      </c>
      <c r="H23" s="6">
        <v>13613.0</v>
      </c>
      <c r="I23" s="6">
        <v>3428555.0</v>
      </c>
      <c r="J23" s="6">
        <v>7.2427007E7</v>
      </c>
      <c r="K23" s="4">
        <f t="shared" si="2"/>
        <v>-68998452</v>
      </c>
      <c r="L23" s="4">
        <f>I23+Sep!L23</f>
        <v>20191434</v>
      </c>
      <c r="M23" s="4">
        <f>J23+Sep!M23</f>
        <v>884886400.6</v>
      </c>
      <c r="N23" s="4">
        <f t="shared" si="3"/>
        <v>-864694966.6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1" t="s">
        <v>36</v>
      </c>
      <c r="D24" s="6">
        <v>3.23487846948E9</v>
      </c>
      <c r="E24" s="6">
        <v>507525.98</v>
      </c>
      <c r="F24" s="6">
        <f t="shared" si="1"/>
        <v>3234370944</v>
      </c>
      <c r="G24" s="6">
        <v>2.95435431831E9</v>
      </c>
      <c r="H24" s="6">
        <v>12107.0</v>
      </c>
      <c r="I24" s="6">
        <v>1.14775296E7</v>
      </c>
      <c r="J24" s="6">
        <v>3372724.91</v>
      </c>
      <c r="K24" s="4">
        <f t="shared" si="2"/>
        <v>8104804.69</v>
      </c>
      <c r="L24" s="4">
        <f>I24+Sep!L24</f>
        <v>437886360.8</v>
      </c>
      <c r="M24" s="4">
        <f>J24+Sep!M24</f>
        <v>34143097.92</v>
      </c>
      <c r="N24" s="4">
        <f t="shared" si="3"/>
        <v>403743262.9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f t="shared" si="4"/>
        <v>17</v>
      </c>
      <c r="C25" s="23" t="s">
        <v>37</v>
      </c>
      <c r="D25" s="6">
        <v>6.234512286E9</v>
      </c>
      <c r="E25" s="6">
        <v>2.2745891E7</v>
      </c>
      <c r="F25" s="6">
        <f t="shared" si="1"/>
        <v>6211766395</v>
      </c>
      <c r="G25" s="6">
        <v>6.077118344E9</v>
      </c>
      <c r="H25" s="6">
        <v>66891.0</v>
      </c>
      <c r="I25" s="6">
        <v>6.2125259E7</v>
      </c>
      <c r="J25" s="6">
        <v>8.504687E7</v>
      </c>
      <c r="K25" s="4">
        <f t="shared" si="2"/>
        <v>-22921611</v>
      </c>
      <c r="L25" s="4">
        <f>I25+Sep!L25</f>
        <v>358077648.6</v>
      </c>
      <c r="M25" s="4">
        <f>J25+Sep!M25</f>
        <v>836327972.7</v>
      </c>
      <c r="N25" s="4">
        <f t="shared" si="3"/>
        <v>-478250324.1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f t="shared" si="4"/>
        <v>18</v>
      </c>
      <c r="C26" s="23" t="s">
        <v>38</v>
      </c>
      <c r="D26" s="6">
        <v>1.0422215497E10</v>
      </c>
      <c r="E26" s="6">
        <v>6.5377185E7</v>
      </c>
      <c r="F26" s="6">
        <f t="shared" si="1"/>
        <v>10356838312</v>
      </c>
      <c r="G26" s="6">
        <v>1.0314265053E10</v>
      </c>
      <c r="H26" s="6">
        <v>57780.0</v>
      </c>
      <c r="I26" s="6">
        <v>4.7503997E7</v>
      </c>
      <c r="J26" s="6">
        <v>1.59877798E8</v>
      </c>
      <c r="K26" s="4">
        <f t="shared" si="2"/>
        <v>-112373801</v>
      </c>
      <c r="L26" s="4">
        <f>I26+Sep!L26</f>
        <v>1437517005</v>
      </c>
      <c r="M26" s="4">
        <f>J26+Sep!M26</f>
        <v>2042803472</v>
      </c>
      <c r="N26" s="4">
        <f t="shared" si="3"/>
        <v>-605286467.8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5.5906623017E8</v>
      </c>
      <c r="E27" s="6">
        <v>1535002.12</v>
      </c>
      <c r="F27" s="6">
        <f t="shared" si="1"/>
        <v>557531228.1</v>
      </c>
      <c r="G27" s="6">
        <v>4.582366166E8</v>
      </c>
      <c r="H27" s="6">
        <v>1261.0</v>
      </c>
      <c r="I27" s="6">
        <v>3227486.06</v>
      </c>
      <c r="J27" s="6">
        <v>49993.05</v>
      </c>
      <c r="K27" s="4">
        <f t="shared" si="2"/>
        <v>3177493.01</v>
      </c>
      <c r="L27" s="4">
        <f>I27+Sep!L27</f>
        <v>8846331.03</v>
      </c>
      <c r="M27" s="4">
        <f>J27+Sep!M27</f>
        <v>8969163.34</v>
      </c>
      <c r="N27" s="4">
        <f t="shared" si="3"/>
        <v>-122832.31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2.0489746612E8</v>
      </c>
      <c r="E29" s="6">
        <v>1110951.19</v>
      </c>
      <c r="F29" s="6">
        <f t="shared" ref="F29:F32" si="5">D29-E29</f>
        <v>203786514.9</v>
      </c>
      <c r="G29" s="6">
        <v>1.9940882519E8</v>
      </c>
      <c r="H29" s="6">
        <v>2577.0</v>
      </c>
      <c r="I29" s="6">
        <v>5172411.53</v>
      </c>
      <c r="J29" s="6">
        <v>886319.86</v>
      </c>
      <c r="K29" s="4">
        <f t="shared" ref="K29:K32" si="6">I29-J29</f>
        <v>4286091.67</v>
      </c>
      <c r="L29" s="4">
        <f>I29+Sep!L29</f>
        <v>121096383</v>
      </c>
      <c r="M29" s="4">
        <f>J29+Sep!M29</f>
        <v>10716562.53</v>
      </c>
      <c r="N29" s="4">
        <f t="shared" ref="N29:N32" si="8">L29-M29</f>
        <v>110379820.5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9">1+B29</f>
        <v>21</v>
      </c>
      <c r="C30" s="3" t="s">
        <v>128</v>
      </c>
      <c r="D30" s="6">
        <v>5.155381437E7</v>
      </c>
      <c r="E30" s="6">
        <v>108196.96</v>
      </c>
      <c r="F30" s="6">
        <f t="shared" si="5"/>
        <v>51445617.41</v>
      </c>
      <c r="G30" s="6">
        <v>4159530.0</v>
      </c>
      <c r="H30" s="6">
        <v>653.0</v>
      </c>
      <c r="I30" s="6">
        <v>5.163459825E7</v>
      </c>
      <c r="J30" s="6">
        <v>14985.5</v>
      </c>
      <c r="K30" s="4">
        <f t="shared" si="6"/>
        <v>51619612.75</v>
      </c>
      <c r="L30" s="4">
        <f t="shared" ref="L30:M30" si="7">I30</f>
        <v>51634598.25</v>
      </c>
      <c r="M30" s="4">
        <f t="shared" si="7"/>
        <v>14985.5</v>
      </c>
      <c r="N30" s="4">
        <f t="shared" si="8"/>
        <v>51619612.75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9"/>
        <v>22</v>
      </c>
      <c r="C31" s="3" t="s">
        <v>42</v>
      </c>
      <c r="D31" s="6">
        <v>2.967199184E8</v>
      </c>
      <c r="E31" s="6">
        <v>1275080.42</v>
      </c>
      <c r="F31" s="6">
        <f t="shared" si="5"/>
        <v>295444838</v>
      </c>
      <c r="G31" s="6">
        <v>2.65621419E8</v>
      </c>
      <c r="H31" s="6">
        <v>1313.0</v>
      </c>
      <c r="I31" s="6">
        <v>719443.79</v>
      </c>
      <c r="J31" s="6">
        <v>8375450.15</v>
      </c>
      <c r="K31" s="4">
        <f t="shared" si="6"/>
        <v>-7656006.36</v>
      </c>
      <c r="L31" s="4">
        <f>I31+Sep!L30</f>
        <v>17654343.53</v>
      </c>
      <c r="M31" s="4">
        <f>J31+Sep!M30</f>
        <v>32623812.56</v>
      </c>
      <c r="N31" s="4">
        <f t="shared" si="8"/>
        <v>-14969469.03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9"/>
        <v>23</v>
      </c>
      <c r="C32" s="3" t="s">
        <v>35</v>
      </c>
      <c r="D32" s="6">
        <v>5.58480501E8</v>
      </c>
      <c r="E32" s="6">
        <v>7008593.0</v>
      </c>
      <c r="F32" s="6">
        <f t="shared" si="5"/>
        <v>551471908</v>
      </c>
      <c r="G32" s="6">
        <v>5.43618802E8</v>
      </c>
      <c r="H32" s="6">
        <v>562051.0</v>
      </c>
      <c r="I32" s="6">
        <v>2.9260894E7</v>
      </c>
      <c r="J32" s="6">
        <v>1.1261229E7</v>
      </c>
      <c r="K32" s="4">
        <f t="shared" si="6"/>
        <v>17999665</v>
      </c>
      <c r="L32" s="4">
        <f>I32+Sep!L31</f>
        <v>296169947.4</v>
      </c>
      <c r="M32" s="4">
        <f>J32+Sep!M31</f>
        <v>181766083.4</v>
      </c>
      <c r="N32" s="4">
        <f t="shared" si="8"/>
        <v>114403863.9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43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44</v>
      </c>
      <c r="D34" s="6">
        <v>1.982122209E9</v>
      </c>
      <c r="E34" s="6">
        <v>2146623.0</v>
      </c>
      <c r="F34" s="6">
        <f>D34-E34</f>
        <v>1979975586</v>
      </c>
      <c r="G34" s="6">
        <v>1.9747885E9</v>
      </c>
      <c r="H34" s="6">
        <v>3325.0</v>
      </c>
      <c r="I34" s="6">
        <v>5727554.0</v>
      </c>
      <c r="J34" s="6">
        <v>5917506.0</v>
      </c>
      <c r="K34" s="4">
        <f>I34-J34</f>
        <v>-189952</v>
      </c>
      <c r="L34" s="4">
        <f>I34+Sep!L33</f>
        <v>70216303</v>
      </c>
      <c r="M34" s="4">
        <f>J34+Sep!M33</f>
        <v>155925336</v>
      </c>
      <c r="N34" s="4">
        <f>L34-M34</f>
        <v>-85709033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4" t="s">
        <v>45</v>
      </c>
      <c r="B35" s="25"/>
      <c r="C35" s="1"/>
      <c r="D35" s="54">
        <f t="shared" ref="D35:N35" si="10">SUM(D9:D34)</f>
        <v>61203193066</v>
      </c>
      <c r="E35" s="54">
        <f t="shared" si="10"/>
        <v>344388410.1</v>
      </c>
      <c r="F35" s="54">
        <f t="shared" si="10"/>
        <v>60858804656</v>
      </c>
      <c r="G35" s="54">
        <f t="shared" si="10"/>
        <v>57642504719</v>
      </c>
      <c r="H35" s="27">
        <f t="shared" si="10"/>
        <v>844850</v>
      </c>
      <c r="I35" s="54">
        <f t="shared" si="10"/>
        <v>305821172.2</v>
      </c>
      <c r="J35" s="54">
        <f t="shared" si="10"/>
        <v>587156625.4</v>
      </c>
      <c r="K35" s="54">
        <f t="shared" si="10"/>
        <v>-281335453.2</v>
      </c>
      <c r="L35" s="54">
        <f t="shared" si="10"/>
        <v>4442253819</v>
      </c>
      <c r="M35" s="54">
        <f t="shared" si="10"/>
        <v>7187806376</v>
      </c>
      <c r="N35" s="54">
        <f t="shared" si="10"/>
        <v>-2745552558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46</v>
      </c>
      <c r="B36" s="2"/>
      <c r="C36" s="3"/>
      <c r="D36" s="6"/>
      <c r="E36" s="6"/>
      <c r="F36" s="6"/>
      <c r="G36" s="6"/>
      <c r="H36" s="20"/>
      <c r="I36" s="6"/>
      <c r="J36" s="4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47</v>
      </c>
      <c r="D37" s="6">
        <v>2.487129657E7</v>
      </c>
      <c r="E37" s="6">
        <v>932915.77</v>
      </c>
      <c r="F37" s="6">
        <f t="shared" ref="F37:F38" si="11">D37-E37</f>
        <v>23938380.8</v>
      </c>
      <c r="G37" s="6">
        <v>2.296142098E7</v>
      </c>
      <c r="H37" s="6">
        <v>52.0</v>
      </c>
      <c r="I37" s="6">
        <v>1598.53</v>
      </c>
      <c r="J37" s="6">
        <v>129100.33</v>
      </c>
      <c r="K37" s="4">
        <f t="shared" ref="K37:K38" si="12">I37-J37</f>
        <v>-127501.8</v>
      </c>
      <c r="L37" s="4">
        <f>I37+Sep!L36</f>
        <v>214514.6581</v>
      </c>
      <c r="M37" s="4">
        <f>J37+Sep!M36</f>
        <v>507245.9939</v>
      </c>
      <c r="N37" s="4">
        <f t="shared" ref="N37:N38" si="13">L37-M37</f>
        <v>-292731.3358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48</v>
      </c>
      <c r="D38" s="6">
        <v>1.789463645E9</v>
      </c>
      <c r="E38" s="6">
        <v>9347852.0</v>
      </c>
      <c r="F38" s="6">
        <f t="shared" si="11"/>
        <v>1780115793</v>
      </c>
      <c r="G38" s="6">
        <v>0.0</v>
      </c>
      <c r="H38" s="6">
        <v>2924.0</v>
      </c>
      <c r="I38" s="6">
        <v>4478399.0</v>
      </c>
      <c r="J38" s="6">
        <v>5261313.0</v>
      </c>
      <c r="K38" s="4">
        <f t="shared" si="12"/>
        <v>-782914</v>
      </c>
      <c r="L38" s="4">
        <f>I38+Sep!L37</f>
        <v>63821636.47</v>
      </c>
      <c r="M38" s="4">
        <f>J38+Sep!M37</f>
        <v>163382107.4</v>
      </c>
      <c r="N38" s="4">
        <f t="shared" si="13"/>
        <v>-99560470.96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4" t="s">
        <v>49</v>
      </c>
      <c r="B39" s="25"/>
      <c r="C39" s="1"/>
      <c r="D39" s="54">
        <f t="shared" ref="D39:N39" si="14">SUM(D37:D38)</f>
        <v>1814334942</v>
      </c>
      <c r="E39" s="54">
        <f t="shared" si="14"/>
        <v>10280767.77</v>
      </c>
      <c r="F39" s="54">
        <f t="shared" si="14"/>
        <v>1804054174</v>
      </c>
      <c r="G39" s="54">
        <f t="shared" si="14"/>
        <v>22961420.98</v>
      </c>
      <c r="H39" s="27">
        <f t="shared" si="14"/>
        <v>2976</v>
      </c>
      <c r="I39" s="54">
        <f t="shared" si="14"/>
        <v>4479997.53</v>
      </c>
      <c r="J39" s="54">
        <f t="shared" si="14"/>
        <v>5390413.33</v>
      </c>
      <c r="K39" s="54">
        <f t="shared" si="14"/>
        <v>-910415.8</v>
      </c>
      <c r="L39" s="54">
        <f t="shared" si="14"/>
        <v>64036151.13</v>
      </c>
      <c r="M39" s="54">
        <f t="shared" si="14"/>
        <v>163889353.4</v>
      </c>
      <c r="N39" s="54">
        <f t="shared" si="14"/>
        <v>-99853202.3</v>
      </c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50</v>
      </c>
      <c r="B40" s="25"/>
      <c r="C40" s="1"/>
      <c r="D40" s="54">
        <f t="shared" ref="D40:N40" si="15">D35+D39</f>
        <v>63017528008</v>
      </c>
      <c r="E40" s="54">
        <f t="shared" si="15"/>
        <v>354669177.9</v>
      </c>
      <c r="F40" s="54">
        <f t="shared" si="15"/>
        <v>62662858830</v>
      </c>
      <c r="G40" s="54">
        <f t="shared" si="15"/>
        <v>57665466140</v>
      </c>
      <c r="H40" s="27">
        <f t="shared" si="15"/>
        <v>847826</v>
      </c>
      <c r="I40" s="54">
        <f t="shared" si="15"/>
        <v>310301169.7</v>
      </c>
      <c r="J40" s="54">
        <f t="shared" si="15"/>
        <v>592547038.7</v>
      </c>
      <c r="K40" s="54">
        <f t="shared" si="15"/>
        <v>-282245869</v>
      </c>
      <c r="L40" s="54">
        <f t="shared" si="15"/>
        <v>4506289970</v>
      </c>
      <c r="M40" s="54">
        <f t="shared" si="15"/>
        <v>7351695730</v>
      </c>
      <c r="N40" s="54">
        <f t="shared" si="15"/>
        <v>-2845405760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51</v>
      </c>
      <c r="B41" s="2"/>
      <c r="C41" s="3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0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18"/>
      <c r="B43" s="2">
        <f>1+B38</f>
        <v>27</v>
      </c>
      <c r="C43" s="3" t="s">
        <v>52</v>
      </c>
      <c r="D43" s="6">
        <v>1.102378787E8</v>
      </c>
      <c r="E43" s="6">
        <v>297079.47</v>
      </c>
      <c r="F43" s="6">
        <f t="shared" ref="F43:F52" si="16">D43-E43</f>
        <v>109940799.2</v>
      </c>
      <c r="G43" s="6">
        <v>4.604513523E7</v>
      </c>
      <c r="H43" s="5">
        <v>707.0</v>
      </c>
      <c r="I43" s="6">
        <v>201927.32</v>
      </c>
      <c r="J43" s="4">
        <v>504807.88</v>
      </c>
      <c r="K43" s="4">
        <f t="shared" ref="K43:K52" si="17">I43-J43</f>
        <v>-302880.56</v>
      </c>
      <c r="L43" s="4">
        <f>I43+Sep!L42</f>
        <v>3508666.17</v>
      </c>
      <c r="M43" s="4">
        <f>J43+Sep!M42</f>
        <v>4406170.87</v>
      </c>
      <c r="N43" s="4">
        <f t="shared" ref="N43:N52" si="18">L43-M43</f>
        <v>-897504.7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9">1+B43</f>
        <v>28</v>
      </c>
      <c r="C44" s="3" t="s">
        <v>53</v>
      </c>
      <c r="D44" s="6">
        <v>4.7046957553E8</v>
      </c>
      <c r="E44" s="6">
        <v>2264165.91</v>
      </c>
      <c r="F44" s="6">
        <f t="shared" si="16"/>
        <v>468205409.6</v>
      </c>
      <c r="G44" s="6">
        <v>2.6351294335E8</v>
      </c>
      <c r="H44" s="5">
        <v>2374.0</v>
      </c>
      <c r="I44" s="6">
        <v>503969.54</v>
      </c>
      <c r="J44" s="4">
        <v>2963015.2</v>
      </c>
      <c r="K44" s="4">
        <f t="shared" si="17"/>
        <v>-2459045.66</v>
      </c>
      <c r="L44" s="4">
        <f>I44+Sep!L43</f>
        <v>8196910.46</v>
      </c>
      <c r="M44" s="4">
        <f>J44+Sep!M43</f>
        <v>112129010.6</v>
      </c>
      <c r="N44" s="4">
        <f t="shared" si="18"/>
        <v>-103932100.1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9"/>
        <v>29</v>
      </c>
      <c r="C45" s="3" t="s">
        <v>54</v>
      </c>
      <c r="D45" s="6">
        <v>9.16447273E8</v>
      </c>
      <c r="E45" s="6">
        <v>4703977.0</v>
      </c>
      <c r="F45" s="6">
        <f t="shared" si="16"/>
        <v>911743296</v>
      </c>
      <c r="G45" s="6">
        <v>4.30110071E8</v>
      </c>
      <c r="H45" s="5">
        <v>4484.0</v>
      </c>
      <c r="I45" s="6">
        <v>3076215.0</v>
      </c>
      <c r="J45" s="4">
        <v>1.1192924E7</v>
      </c>
      <c r="K45" s="4">
        <f t="shared" si="17"/>
        <v>-8116709</v>
      </c>
      <c r="L45" s="4">
        <f>I45+Sep!L44</f>
        <v>19007907.55</v>
      </c>
      <c r="M45" s="4">
        <f>J45+Sep!M44</f>
        <v>117675616.1</v>
      </c>
      <c r="N45" s="4">
        <f t="shared" si="18"/>
        <v>-98667708.53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9"/>
        <v>30</v>
      </c>
      <c r="C46" s="3" t="s">
        <v>55</v>
      </c>
      <c r="D46" s="6">
        <v>2.74161799E8</v>
      </c>
      <c r="E46" s="6">
        <v>2884100.0</v>
      </c>
      <c r="F46" s="6">
        <f t="shared" si="16"/>
        <v>271277699</v>
      </c>
      <c r="G46" s="6">
        <v>1.57201482E8</v>
      </c>
      <c r="H46" s="5">
        <v>237.0</v>
      </c>
      <c r="I46" s="6">
        <v>5077840.0</v>
      </c>
      <c r="J46" s="4">
        <v>372251.0</v>
      </c>
      <c r="K46" s="4">
        <f t="shared" si="17"/>
        <v>4705589</v>
      </c>
      <c r="L46" s="4">
        <f>I46+Sep!L45</f>
        <v>41098518.27</v>
      </c>
      <c r="M46" s="4">
        <f>J46+Sep!M45</f>
        <v>51235890.26</v>
      </c>
      <c r="N46" s="4">
        <f t="shared" si="18"/>
        <v>-10137371.99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9"/>
        <v>31</v>
      </c>
      <c r="C47" s="3" t="s">
        <v>56</v>
      </c>
      <c r="D47" s="6">
        <v>3.2398195502E8</v>
      </c>
      <c r="E47" s="6">
        <v>1302391.6</v>
      </c>
      <c r="F47" s="6">
        <f t="shared" si="16"/>
        <v>322679563.4</v>
      </c>
      <c r="G47" s="6">
        <v>1.437531194E8</v>
      </c>
      <c r="H47" s="5">
        <v>51.0</v>
      </c>
      <c r="I47" s="6">
        <v>0.0</v>
      </c>
      <c r="J47" s="4">
        <v>0.0</v>
      </c>
      <c r="K47" s="4">
        <f t="shared" si="17"/>
        <v>0</v>
      </c>
      <c r="L47" s="4">
        <f>I47+Sep!L46</f>
        <v>0</v>
      </c>
      <c r="M47" s="4">
        <f>J47+Sep!M46</f>
        <v>2710319</v>
      </c>
      <c r="N47" s="4">
        <f t="shared" si="18"/>
        <v>-2710319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9"/>
        <v>32</v>
      </c>
      <c r="C48" s="3" t="s">
        <v>57</v>
      </c>
      <c r="D48" s="6">
        <v>4.97792125E8</v>
      </c>
      <c r="E48" s="6">
        <v>1.7673253E7</v>
      </c>
      <c r="F48" s="6">
        <f t="shared" si="16"/>
        <v>480118872</v>
      </c>
      <c r="G48" s="6">
        <v>2.40399005E8</v>
      </c>
      <c r="H48" s="5">
        <v>9931.0</v>
      </c>
      <c r="I48" s="6">
        <v>202522.0</v>
      </c>
      <c r="J48" s="4">
        <v>2813801.0</v>
      </c>
      <c r="K48" s="4">
        <f t="shared" si="17"/>
        <v>-2611279</v>
      </c>
      <c r="L48" s="4">
        <f>I48+Sep!L47</f>
        <v>3362234.86</v>
      </c>
      <c r="M48" s="4">
        <f>J48+Sep!M47</f>
        <v>57477232.57</v>
      </c>
      <c r="N48" s="4">
        <f t="shared" si="18"/>
        <v>-54114997.71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9"/>
        <v>33</v>
      </c>
      <c r="C49" s="3" t="s">
        <v>58</v>
      </c>
      <c r="D49" s="6">
        <v>1.909012976E9</v>
      </c>
      <c r="E49" s="6">
        <v>2.5356433E7</v>
      </c>
      <c r="F49" s="6">
        <f t="shared" si="16"/>
        <v>1883656543</v>
      </c>
      <c r="G49" s="6">
        <v>9.07744416E8</v>
      </c>
      <c r="H49" s="5">
        <v>7924.0</v>
      </c>
      <c r="I49" s="6">
        <v>3461901.0</v>
      </c>
      <c r="J49" s="4">
        <v>9712091.0</v>
      </c>
      <c r="K49" s="4">
        <f t="shared" si="17"/>
        <v>-6250190</v>
      </c>
      <c r="L49" s="4">
        <f>I49+Sep!L48</f>
        <v>22516913.04</v>
      </c>
      <c r="M49" s="4">
        <f>J49+Sep!M48</f>
        <v>147193872.4</v>
      </c>
      <c r="N49" s="4">
        <f t="shared" si="18"/>
        <v>-124676959.4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9"/>
        <v>34</v>
      </c>
      <c r="C50" s="3" t="s">
        <v>59</v>
      </c>
      <c r="D50" s="6">
        <v>1.14541485E8</v>
      </c>
      <c r="E50" s="6">
        <v>151938.0</v>
      </c>
      <c r="F50" s="6">
        <f t="shared" si="16"/>
        <v>114389547</v>
      </c>
      <c r="G50" s="6">
        <v>6.0769222E7</v>
      </c>
      <c r="H50" s="5">
        <v>188.0</v>
      </c>
      <c r="I50" s="6">
        <v>0.0</v>
      </c>
      <c r="J50" s="4">
        <v>473067.0</v>
      </c>
      <c r="K50" s="4">
        <f t="shared" si="17"/>
        <v>-473067</v>
      </c>
      <c r="L50" s="4">
        <f>I50+Sep!L49</f>
        <v>246291.67</v>
      </c>
      <c r="M50" s="4">
        <f>J50+Sep!M49</f>
        <v>20317489.55</v>
      </c>
      <c r="N50" s="4">
        <f t="shared" si="18"/>
        <v>-20071197.88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9"/>
        <v>35</v>
      </c>
      <c r="C51" s="3" t="s">
        <v>60</v>
      </c>
      <c r="D51" s="6">
        <v>6.522786698E9</v>
      </c>
      <c r="E51" s="6">
        <v>2.2391833E7</v>
      </c>
      <c r="F51" s="6">
        <f t="shared" si="16"/>
        <v>6500394865</v>
      </c>
      <c r="G51" s="6">
        <v>3.518557782E9</v>
      </c>
      <c r="H51" s="5">
        <v>54066.0</v>
      </c>
      <c r="I51" s="6">
        <v>7724693.0</v>
      </c>
      <c r="J51" s="4">
        <v>8.4992602E7</v>
      </c>
      <c r="K51" s="4">
        <f t="shared" si="17"/>
        <v>-77267909</v>
      </c>
      <c r="L51" s="4">
        <f>I51+Sep!L50</f>
        <v>87557162.15</v>
      </c>
      <c r="M51" s="4">
        <f>J51+Sep!M50</f>
        <v>597810182.2</v>
      </c>
      <c r="N51" s="4">
        <f t="shared" si="18"/>
        <v>-510253020.1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9"/>
        <v>36</v>
      </c>
      <c r="C52" s="3" t="s">
        <v>61</v>
      </c>
      <c r="D52" s="6">
        <v>6.16326635E8</v>
      </c>
      <c r="E52" s="6">
        <v>3475163.0</v>
      </c>
      <c r="F52" s="6">
        <f t="shared" si="16"/>
        <v>612851472</v>
      </c>
      <c r="G52" s="6">
        <v>3.68226272E8</v>
      </c>
      <c r="H52" s="5">
        <v>4999.0</v>
      </c>
      <c r="I52" s="6">
        <v>0.0</v>
      </c>
      <c r="J52" s="4">
        <v>3.96392571E8</v>
      </c>
      <c r="K52" s="4">
        <f t="shared" si="17"/>
        <v>-396392571</v>
      </c>
      <c r="L52" s="4">
        <f>I52+Sep!L51</f>
        <v>0</v>
      </c>
      <c r="M52" s="4">
        <f>J52+Sep!M51</f>
        <v>508018256.8</v>
      </c>
      <c r="N52" s="4">
        <f t="shared" si="18"/>
        <v>-508018256.8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5"/>
      <c r="I53" s="6"/>
      <c r="J53" s="4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62</v>
      </c>
      <c r="D54" s="6">
        <v>7.4838466E7</v>
      </c>
      <c r="E54" s="6">
        <v>378959.0</v>
      </c>
      <c r="F54" s="6">
        <f t="shared" ref="F54:F56" si="20">D54-E54</f>
        <v>74459507</v>
      </c>
      <c r="G54" s="6">
        <v>2.1834913E7</v>
      </c>
      <c r="H54" s="5">
        <v>1147.0</v>
      </c>
      <c r="I54" s="6">
        <v>378045.0</v>
      </c>
      <c r="J54" s="4">
        <v>360414.0</v>
      </c>
      <c r="K54" s="4">
        <f t="shared" ref="K54:K56" si="21">I54-J54</f>
        <v>17631</v>
      </c>
      <c r="L54" s="4">
        <f>I54+Sep!L53</f>
        <v>4973720.2</v>
      </c>
      <c r="M54" s="4">
        <f>J54+Sep!M53</f>
        <v>3442888.55</v>
      </c>
      <c r="N54" s="4">
        <f t="shared" ref="N54:N56" si="22">L54-M54</f>
        <v>1530831.65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3">1+B54</f>
        <v>38</v>
      </c>
      <c r="C55" s="3" t="s">
        <v>63</v>
      </c>
      <c r="D55" s="6">
        <v>5.1693318E7</v>
      </c>
      <c r="E55" s="6">
        <v>376708.0</v>
      </c>
      <c r="F55" s="6">
        <f t="shared" si="20"/>
        <v>51316610</v>
      </c>
      <c r="G55" s="6">
        <v>3.9876313E7</v>
      </c>
      <c r="H55" s="5">
        <v>451.0</v>
      </c>
      <c r="I55" s="6">
        <v>84500.0</v>
      </c>
      <c r="J55" s="4">
        <v>132786.0</v>
      </c>
      <c r="K55" s="4">
        <f t="shared" si="21"/>
        <v>-48286</v>
      </c>
      <c r="L55" s="4">
        <f>I55+Sep!L54</f>
        <v>1743626</v>
      </c>
      <c r="M55" s="4">
        <f>J55+Sep!M54</f>
        <v>2052394.19</v>
      </c>
      <c r="N55" s="4">
        <f t="shared" si="22"/>
        <v>-308768.19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3"/>
        <v>39</v>
      </c>
      <c r="C56" s="3" t="s">
        <v>64</v>
      </c>
      <c r="D56" s="6">
        <v>4.3768691E7</v>
      </c>
      <c r="E56" s="6">
        <v>266166.0</v>
      </c>
      <c r="F56" s="6">
        <f t="shared" si="20"/>
        <v>43502525</v>
      </c>
      <c r="G56" s="6">
        <v>3.6411453E7</v>
      </c>
      <c r="H56" s="5">
        <v>209.0</v>
      </c>
      <c r="I56" s="6">
        <v>53403.0</v>
      </c>
      <c r="J56" s="4">
        <v>2722.0</v>
      </c>
      <c r="K56" s="4">
        <f t="shared" si="21"/>
        <v>50681</v>
      </c>
      <c r="L56" s="4">
        <f>I56+Sep!L55</f>
        <v>554041</v>
      </c>
      <c r="M56" s="4">
        <f>J56+Sep!M55</f>
        <v>232890.96</v>
      </c>
      <c r="N56" s="4">
        <f t="shared" si="22"/>
        <v>321150.04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4" t="s">
        <v>45</v>
      </c>
      <c r="B57" s="24"/>
      <c r="C57" s="1"/>
      <c r="D57" s="54">
        <f t="shared" ref="D57:G57" si="24">SUM(D43:D56)</f>
        <v>11926058875</v>
      </c>
      <c r="E57" s="54">
        <f t="shared" si="24"/>
        <v>81522166.98</v>
      </c>
      <c r="F57" s="54">
        <f t="shared" si="24"/>
        <v>11844536708</v>
      </c>
      <c r="G57" s="54">
        <f t="shared" si="24"/>
        <v>6234442127</v>
      </c>
      <c r="H57" s="27">
        <f>SUM(H42:H56)</f>
        <v>86768</v>
      </c>
      <c r="I57" s="54">
        <f t="shared" ref="I57:N57" si="25">SUM(I43:I56)</f>
        <v>20765015.86</v>
      </c>
      <c r="J57" s="54">
        <f t="shared" si="25"/>
        <v>509913052.1</v>
      </c>
      <c r="K57" s="54">
        <f t="shared" si="25"/>
        <v>-489148036.2</v>
      </c>
      <c r="L57" s="54">
        <f t="shared" si="25"/>
        <v>192765991.4</v>
      </c>
      <c r="M57" s="54">
        <f t="shared" si="25"/>
        <v>1624702214</v>
      </c>
      <c r="N57" s="54">
        <f t="shared" si="25"/>
        <v>-1431936223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46</v>
      </c>
      <c r="B58" s="2"/>
      <c r="C58" s="3"/>
      <c r="D58" s="6"/>
      <c r="E58" s="6"/>
      <c r="F58" s="6"/>
      <c r="G58" s="6"/>
      <c r="H58" s="20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108</v>
      </c>
      <c r="D59" s="6">
        <v>6.991693956E7</v>
      </c>
      <c r="E59" s="6">
        <v>529478.11</v>
      </c>
      <c r="F59" s="6">
        <f t="shared" ref="F59:F62" si="26">D59-E59</f>
        <v>69387461.45</v>
      </c>
      <c r="G59" s="6">
        <v>0.0</v>
      </c>
      <c r="H59" s="20">
        <v>51.0</v>
      </c>
      <c r="I59" s="6">
        <v>0.0</v>
      </c>
      <c r="J59" s="6">
        <v>31303.61</v>
      </c>
      <c r="K59" s="4">
        <f t="shared" ref="K59:K62" si="27">I59-J59</f>
        <v>-31303.61</v>
      </c>
      <c r="L59" s="4">
        <f>I59+Sep!L58</f>
        <v>0</v>
      </c>
      <c r="M59" s="4">
        <f>J59+Sep!M58</f>
        <v>479179.3592</v>
      </c>
      <c r="N59" s="4">
        <f t="shared" ref="N59:N62" si="28">L59-M59</f>
        <v>-479179.3592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9">1+B59</f>
        <v>41</v>
      </c>
      <c r="C60" s="3" t="s">
        <v>66</v>
      </c>
      <c r="D60" s="6">
        <v>3.22369069E8</v>
      </c>
      <c r="E60" s="6">
        <v>2.9784389E7</v>
      </c>
      <c r="F60" s="6">
        <f t="shared" si="26"/>
        <v>292584680</v>
      </c>
      <c r="G60" s="6">
        <v>1.54472093E8</v>
      </c>
      <c r="H60" s="20">
        <v>244.0</v>
      </c>
      <c r="I60" s="6">
        <v>0.0</v>
      </c>
      <c r="J60" s="6">
        <v>2443842.0</v>
      </c>
      <c r="K60" s="4">
        <f t="shared" si="27"/>
        <v>-2443842</v>
      </c>
      <c r="L60" s="4">
        <f>I60+Sep!L59</f>
        <v>5631.4684</v>
      </c>
      <c r="M60" s="4">
        <f>J60+Sep!M59</f>
        <v>18099115.77</v>
      </c>
      <c r="N60" s="4">
        <f t="shared" si="28"/>
        <v>-18093484.3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9"/>
        <v>42</v>
      </c>
      <c r="C61" s="3" t="s">
        <v>67</v>
      </c>
      <c r="D61" s="6">
        <v>1.397028161E9</v>
      </c>
      <c r="E61" s="6">
        <v>4936821.0</v>
      </c>
      <c r="F61" s="6">
        <f t="shared" si="26"/>
        <v>1392091340</v>
      </c>
      <c r="G61" s="6">
        <v>0.0</v>
      </c>
      <c r="H61" s="20">
        <v>4158.0</v>
      </c>
      <c r="I61" s="6">
        <v>102114.0</v>
      </c>
      <c r="J61" s="6">
        <v>6.3261037E7</v>
      </c>
      <c r="K61" s="4">
        <f t="shared" si="27"/>
        <v>-63158923</v>
      </c>
      <c r="L61" s="4">
        <f>I61+Sep!L60</f>
        <v>15761877.29</v>
      </c>
      <c r="M61" s="4">
        <f>J61+Sep!M60</f>
        <v>166327389.2</v>
      </c>
      <c r="N61" s="4">
        <f t="shared" si="28"/>
        <v>-150565512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9"/>
        <v>43</v>
      </c>
      <c r="C62" s="3" t="s">
        <v>68</v>
      </c>
      <c r="D62" s="6">
        <v>2.46706493E8</v>
      </c>
      <c r="E62" s="6">
        <v>951456.0</v>
      </c>
      <c r="F62" s="6">
        <f t="shared" si="26"/>
        <v>245755037</v>
      </c>
      <c r="G62" s="6">
        <v>0.0</v>
      </c>
      <c r="H62" s="20">
        <v>738.0</v>
      </c>
      <c r="I62" s="6">
        <v>225014.0</v>
      </c>
      <c r="J62" s="6">
        <v>487141.0</v>
      </c>
      <c r="K62" s="4">
        <f t="shared" si="27"/>
        <v>-262127</v>
      </c>
      <c r="L62" s="4">
        <f>I62+Sep!L61</f>
        <v>9716804.064</v>
      </c>
      <c r="M62" s="4">
        <f>J62+Sep!M61</f>
        <v>53448327.42</v>
      </c>
      <c r="N62" s="4">
        <f t="shared" si="28"/>
        <v>-43731523.35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4" t="s">
        <v>49</v>
      </c>
      <c r="B63" s="25"/>
      <c r="C63" s="1"/>
      <c r="D63" s="54">
        <f t="shared" ref="D63:N63" si="30">SUM(D59:D62)</f>
        <v>2036020663</v>
      </c>
      <c r="E63" s="54">
        <f t="shared" si="30"/>
        <v>36202144.11</v>
      </c>
      <c r="F63" s="54">
        <f t="shared" si="30"/>
        <v>1999818518</v>
      </c>
      <c r="G63" s="54">
        <f t="shared" si="30"/>
        <v>154472093</v>
      </c>
      <c r="H63" s="27">
        <f t="shared" si="30"/>
        <v>5191</v>
      </c>
      <c r="I63" s="54">
        <f t="shared" si="30"/>
        <v>327128</v>
      </c>
      <c r="J63" s="54">
        <f t="shared" si="30"/>
        <v>66223323.61</v>
      </c>
      <c r="K63" s="54">
        <f t="shared" si="30"/>
        <v>-65896195.61</v>
      </c>
      <c r="L63" s="54">
        <f t="shared" si="30"/>
        <v>25484312.82</v>
      </c>
      <c r="M63" s="54">
        <f t="shared" si="30"/>
        <v>238354011.8</v>
      </c>
      <c r="N63" s="54">
        <f t="shared" si="30"/>
        <v>-212869699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69</v>
      </c>
      <c r="B64" s="25"/>
      <c r="C64" s="1"/>
      <c r="D64" s="54">
        <f t="shared" ref="D64:N64" si="31">D57+D63</f>
        <v>13962079538</v>
      </c>
      <c r="E64" s="54">
        <f t="shared" si="31"/>
        <v>117724311.1</v>
      </c>
      <c r="F64" s="54">
        <f t="shared" si="31"/>
        <v>13844355227</v>
      </c>
      <c r="G64" s="54">
        <f t="shared" si="31"/>
        <v>6388914220</v>
      </c>
      <c r="H64" s="27">
        <f t="shared" si="31"/>
        <v>91959</v>
      </c>
      <c r="I64" s="54">
        <f t="shared" si="31"/>
        <v>21092143.86</v>
      </c>
      <c r="J64" s="54">
        <f t="shared" si="31"/>
        <v>576136375.7</v>
      </c>
      <c r="K64" s="54">
        <f t="shared" si="31"/>
        <v>-555044231.8</v>
      </c>
      <c r="L64" s="54">
        <f t="shared" si="31"/>
        <v>218250304.2</v>
      </c>
      <c r="M64" s="54">
        <f t="shared" si="31"/>
        <v>1863056226</v>
      </c>
      <c r="N64" s="54">
        <f t="shared" si="31"/>
        <v>-1644805922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70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0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71</v>
      </c>
      <c r="D67" s="6">
        <v>3.7453965473E10</v>
      </c>
      <c r="E67" s="6">
        <v>2.0778294E8</v>
      </c>
      <c r="F67" s="6">
        <f t="shared" ref="F67:F77" si="32">D67-E67</f>
        <v>37246182533</v>
      </c>
      <c r="G67" s="6">
        <v>5.52862504E8</v>
      </c>
      <c r="H67" s="20">
        <v>23759.0</v>
      </c>
      <c r="I67" s="6">
        <v>1.20192358E8</v>
      </c>
      <c r="J67" s="4">
        <v>4.1383979E8</v>
      </c>
      <c r="K67" s="4">
        <f t="shared" ref="K67:K77" si="33">I67-J67</f>
        <v>-293647432</v>
      </c>
      <c r="L67" s="4">
        <f>I67+Sep!L66</f>
        <v>2198324621</v>
      </c>
      <c r="M67" s="4">
        <f>J67+Sep!M66</f>
        <v>5642838755</v>
      </c>
      <c r="N67" s="4">
        <f t="shared" ref="N67:N77" si="34">L67-M67</f>
        <v>-3444514134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5">1+B67</f>
        <v>45</v>
      </c>
      <c r="C68" s="3" t="s">
        <v>72</v>
      </c>
      <c r="D68" s="6">
        <v>4.3491883047E8</v>
      </c>
      <c r="E68" s="6">
        <v>7989078.37</v>
      </c>
      <c r="F68" s="6">
        <f t="shared" si="32"/>
        <v>426929752.1</v>
      </c>
      <c r="G68" s="6">
        <v>0.0</v>
      </c>
      <c r="H68" s="20">
        <v>1055.0</v>
      </c>
      <c r="I68" s="6">
        <v>821148.56</v>
      </c>
      <c r="J68" s="4">
        <v>2.162360084E7</v>
      </c>
      <c r="K68" s="4">
        <f t="shared" si="33"/>
        <v>-20802452.28</v>
      </c>
      <c r="L68" s="4">
        <f>I68+Sep!L67</f>
        <v>82221228.77</v>
      </c>
      <c r="M68" s="4">
        <f>J68+Sep!M67</f>
        <v>122260312.4</v>
      </c>
      <c r="N68" s="4">
        <f t="shared" si="34"/>
        <v>-40039083.66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5"/>
        <v>46</v>
      </c>
      <c r="C69" s="3" t="s">
        <v>73</v>
      </c>
      <c r="D69" s="6">
        <v>9.1594210478E8</v>
      </c>
      <c r="E69" s="6">
        <v>1.862642521E7</v>
      </c>
      <c r="F69" s="6">
        <f t="shared" si="32"/>
        <v>897315679.6</v>
      </c>
      <c r="G69" s="6">
        <v>0.0</v>
      </c>
      <c r="H69" s="20">
        <v>1887.0</v>
      </c>
      <c r="I69" s="6">
        <v>1.052111704E7</v>
      </c>
      <c r="J69" s="4">
        <v>3.883297924E7</v>
      </c>
      <c r="K69" s="4">
        <f t="shared" si="33"/>
        <v>-28311862.2</v>
      </c>
      <c r="L69" s="4">
        <f>I69+Sep!L68</f>
        <v>52611244.93</v>
      </c>
      <c r="M69" s="4">
        <f>J69+Sep!M68</f>
        <v>165467573.8</v>
      </c>
      <c r="N69" s="4">
        <f t="shared" si="34"/>
        <v>-112856328.8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5"/>
        <v>47</v>
      </c>
      <c r="C70" s="3" t="s">
        <v>74</v>
      </c>
      <c r="D70" s="6">
        <v>1.95084381E8</v>
      </c>
      <c r="E70" s="6">
        <v>187800.0</v>
      </c>
      <c r="F70" s="6">
        <f t="shared" si="32"/>
        <v>194896581</v>
      </c>
      <c r="G70" s="6">
        <v>0.0</v>
      </c>
      <c r="H70" s="20">
        <v>188.0</v>
      </c>
      <c r="I70" s="6">
        <v>0.0</v>
      </c>
      <c r="J70" s="4">
        <v>834836.0</v>
      </c>
      <c r="K70" s="4">
        <f t="shared" si="33"/>
        <v>-834836</v>
      </c>
      <c r="L70" s="4">
        <f>I70+Sep!L69</f>
        <v>5411183.85</v>
      </c>
      <c r="M70" s="4">
        <f>J70+Sep!M69</f>
        <v>7065560.64</v>
      </c>
      <c r="N70" s="4">
        <f t="shared" si="34"/>
        <v>-1654376.79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5"/>
        <v>48</v>
      </c>
      <c r="C71" s="3" t="s">
        <v>75</v>
      </c>
      <c r="D71" s="6">
        <v>1.258420378E9</v>
      </c>
      <c r="E71" s="6">
        <v>5328979.0</v>
      </c>
      <c r="F71" s="6">
        <f t="shared" si="32"/>
        <v>1253091399</v>
      </c>
      <c r="G71" s="6">
        <v>0.0</v>
      </c>
      <c r="H71" s="20">
        <v>1814.0</v>
      </c>
      <c r="I71" s="6">
        <v>1.3288303E7</v>
      </c>
      <c r="J71" s="4">
        <v>7.8269496E7</v>
      </c>
      <c r="K71" s="4">
        <f t="shared" si="33"/>
        <v>-64981193</v>
      </c>
      <c r="L71" s="4">
        <f>I71+Sep!L70</f>
        <v>298230668.1</v>
      </c>
      <c r="M71" s="4">
        <f>J71+Sep!M70</f>
        <v>332029628.7</v>
      </c>
      <c r="N71" s="4">
        <f t="shared" si="34"/>
        <v>-33798960.54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5"/>
        <v>49</v>
      </c>
      <c r="C72" s="3" t="s">
        <v>76</v>
      </c>
      <c r="D72" s="6">
        <v>6.64671371E8</v>
      </c>
      <c r="E72" s="6">
        <v>1.3263625E7</v>
      </c>
      <c r="F72" s="6">
        <f t="shared" si="32"/>
        <v>651407746</v>
      </c>
      <c r="G72" s="6">
        <v>0.0</v>
      </c>
      <c r="H72" s="20">
        <v>464.0</v>
      </c>
      <c r="I72" s="6">
        <v>892712.0</v>
      </c>
      <c r="J72" s="4">
        <v>7.1253745E7</v>
      </c>
      <c r="K72" s="4">
        <f t="shared" si="33"/>
        <v>-70361033</v>
      </c>
      <c r="L72" s="4">
        <f>I72+Sep!L71</f>
        <v>16097615.49</v>
      </c>
      <c r="M72" s="4">
        <f>J72+Sep!M71</f>
        <v>198655571.8</v>
      </c>
      <c r="N72" s="4">
        <f t="shared" si="34"/>
        <v>-182557956.3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5"/>
        <v>50</v>
      </c>
      <c r="C73" s="3" t="s">
        <v>77</v>
      </c>
      <c r="D73" s="6">
        <v>1.60617652E9</v>
      </c>
      <c r="E73" s="6">
        <v>3.8012722E7</v>
      </c>
      <c r="F73" s="6">
        <f t="shared" si="32"/>
        <v>1568163798</v>
      </c>
      <c r="G73" s="6">
        <v>0.0</v>
      </c>
      <c r="H73" s="20">
        <v>4904.0</v>
      </c>
      <c r="I73" s="6">
        <v>1975160.0</v>
      </c>
      <c r="J73" s="4">
        <v>6.6237432E7</v>
      </c>
      <c r="K73" s="4">
        <f t="shared" si="33"/>
        <v>-64262272</v>
      </c>
      <c r="L73" s="4">
        <f>I73+Sep!L72</f>
        <v>33995256.15</v>
      </c>
      <c r="M73" s="4">
        <f>J73+Sep!M72</f>
        <v>153161256.6</v>
      </c>
      <c r="N73" s="4">
        <f t="shared" si="34"/>
        <v>-119166000.5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5"/>
        <v>51</v>
      </c>
      <c r="C74" s="3" t="s">
        <v>78</v>
      </c>
      <c r="D74" s="6">
        <v>3.2463239248E8</v>
      </c>
      <c r="E74" s="6">
        <v>2601571.03</v>
      </c>
      <c r="F74" s="6">
        <f t="shared" si="32"/>
        <v>322030821.5</v>
      </c>
      <c r="G74" s="6">
        <v>0.0</v>
      </c>
      <c r="H74" s="20">
        <v>4043.0</v>
      </c>
      <c r="I74" s="6">
        <v>1317665.73</v>
      </c>
      <c r="J74" s="4">
        <v>2999175.43</v>
      </c>
      <c r="K74" s="4">
        <f t="shared" si="33"/>
        <v>-1681509.7</v>
      </c>
      <c r="L74" s="4">
        <f>I74+Sep!L73</f>
        <v>43314564.75</v>
      </c>
      <c r="M74" s="4">
        <f>J74+Sep!M73</f>
        <v>31536920.61</v>
      </c>
      <c r="N74" s="4">
        <f t="shared" si="34"/>
        <v>11777644.14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5"/>
        <v>52</v>
      </c>
      <c r="C75" s="3" t="s">
        <v>79</v>
      </c>
      <c r="D75" s="6">
        <v>1.45009207592E9</v>
      </c>
      <c r="E75" s="6">
        <v>2540577.07</v>
      </c>
      <c r="F75" s="6">
        <f t="shared" si="32"/>
        <v>1447551499</v>
      </c>
      <c r="G75" s="6">
        <v>0.0</v>
      </c>
      <c r="H75" s="20">
        <v>715.0</v>
      </c>
      <c r="I75" s="6">
        <v>28603.67</v>
      </c>
      <c r="J75" s="4">
        <v>631902.79</v>
      </c>
      <c r="K75" s="4">
        <f t="shared" si="33"/>
        <v>-603299.12</v>
      </c>
      <c r="L75" s="4">
        <f>I75+Sep!L74</f>
        <v>231590047.1</v>
      </c>
      <c r="M75" s="4">
        <f>J75+Sep!M74</f>
        <v>6348328.63</v>
      </c>
      <c r="N75" s="4">
        <f t="shared" si="34"/>
        <v>225241718.5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5"/>
        <v>53</v>
      </c>
      <c r="C76" s="3" t="s">
        <v>80</v>
      </c>
      <c r="D76" s="6">
        <v>5.538888484E9</v>
      </c>
      <c r="E76" s="6">
        <v>8818396.0</v>
      </c>
      <c r="F76" s="6">
        <f t="shared" si="32"/>
        <v>5530070088</v>
      </c>
      <c r="G76" s="6">
        <v>0.0</v>
      </c>
      <c r="H76" s="20">
        <v>17953.0</v>
      </c>
      <c r="I76" s="6">
        <v>8.4799785E7</v>
      </c>
      <c r="J76" s="4">
        <v>4.5044375E7</v>
      </c>
      <c r="K76" s="4">
        <f t="shared" si="33"/>
        <v>39755410</v>
      </c>
      <c r="L76" s="4">
        <f>I76+Sep!L75</f>
        <v>1727652270</v>
      </c>
      <c r="M76" s="4">
        <f>J76+Sep!M75</f>
        <v>745669568</v>
      </c>
      <c r="N76" s="4">
        <f t="shared" si="34"/>
        <v>981982702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5"/>
        <v>54</v>
      </c>
      <c r="C77" s="3" t="s">
        <v>81</v>
      </c>
      <c r="D77" s="6">
        <v>1.24424189E8</v>
      </c>
      <c r="E77" s="6">
        <v>381949.0</v>
      </c>
      <c r="F77" s="6">
        <f t="shared" si="32"/>
        <v>124042240</v>
      </c>
      <c r="G77" s="6">
        <v>0.0</v>
      </c>
      <c r="H77" s="20">
        <v>2739.0</v>
      </c>
      <c r="I77" s="6">
        <v>414616.0</v>
      </c>
      <c r="J77" s="4">
        <v>3072451.0</v>
      </c>
      <c r="K77" s="4">
        <f t="shared" si="33"/>
        <v>-2657835</v>
      </c>
      <c r="L77" s="4">
        <f>I77+Sep!L76</f>
        <v>10691039.44</v>
      </c>
      <c r="M77" s="4">
        <f>J77+Sep!M76</f>
        <v>26414594.71</v>
      </c>
      <c r="N77" s="4">
        <f t="shared" si="34"/>
        <v>-15723555.27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4" t="s">
        <v>45</v>
      </c>
      <c r="B78" s="1"/>
      <c r="C78" s="1"/>
      <c r="D78" s="54">
        <f t="shared" ref="D78:N78" si="36">SUM(D67:D77)</f>
        <v>49967216200</v>
      </c>
      <c r="E78" s="54">
        <f t="shared" si="36"/>
        <v>305534062.7</v>
      </c>
      <c r="F78" s="54">
        <f t="shared" si="36"/>
        <v>49661682137</v>
      </c>
      <c r="G78" s="54">
        <f t="shared" si="36"/>
        <v>552862504</v>
      </c>
      <c r="H78" s="27">
        <f t="shared" si="36"/>
        <v>59521</v>
      </c>
      <c r="I78" s="54">
        <f t="shared" si="36"/>
        <v>234251469</v>
      </c>
      <c r="J78" s="54">
        <f t="shared" si="36"/>
        <v>742639783.3</v>
      </c>
      <c r="K78" s="54">
        <f t="shared" si="36"/>
        <v>-508388314.3</v>
      </c>
      <c r="L78" s="54">
        <f t="shared" si="36"/>
        <v>4700139740</v>
      </c>
      <c r="M78" s="54">
        <f t="shared" si="36"/>
        <v>7431448071</v>
      </c>
      <c r="N78" s="54">
        <f t="shared" si="36"/>
        <v>-2731308331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18" t="s">
        <v>46</v>
      </c>
      <c r="B79" s="2"/>
      <c r="C79" s="3"/>
      <c r="D79" s="6"/>
      <c r="E79" s="6"/>
      <c r="F79" s="6"/>
      <c r="G79" s="6"/>
      <c r="H79" s="6"/>
      <c r="I79" s="6"/>
      <c r="J79" s="6"/>
      <c r="K79" s="6"/>
      <c r="L79" s="6"/>
      <c r="M79" s="4"/>
      <c r="N79" s="4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f>1+B77</f>
        <v>55</v>
      </c>
      <c r="C80" s="3" t="s">
        <v>82</v>
      </c>
      <c r="D80" s="6">
        <v>1.3138446505E10</v>
      </c>
      <c r="E80" s="6">
        <v>9.8714949E7</v>
      </c>
      <c r="F80" s="6">
        <f t="shared" ref="F80:F86" si="37">D80-E80</f>
        <v>13039731556</v>
      </c>
      <c r="G80" s="6">
        <v>0.0</v>
      </c>
      <c r="H80" s="20">
        <v>8036.0</v>
      </c>
      <c r="I80" s="6">
        <v>1.8484736E7</v>
      </c>
      <c r="J80" s="4">
        <v>3.36343615E8</v>
      </c>
      <c r="K80" s="4">
        <f t="shared" ref="K80:K86" si="38">I80-J80</f>
        <v>-317858879</v>
      </c>
      <c r="L80" s="4">
        <f>I80+Sep!L79</f>
        <v>440518835.4</v>
      </c>
      <c r="M80" s="4">
        <f>J80+Sep!M79</f>
        <v>1697235950</v>
      </c>
      <c r="N80" s="4">
        <f t="shared" ref="N80:N86" si="39">L80-M80</f>
        <v>-1256717115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2">
        <f t="shared" ref="B81:B86" si="40">1+B80</f>
        <v>56</v>
      </c>
      <c r="C81" s="3" t="s">
        <v>83</v>
      </c>
      <c r="D81" s="6">
        <v>2.5372552974E8</v>
      </c>
      <c r="E81" s="6">
        <v>2304303.96</v>
      </c>
      <c r="F81" s="6">
        <f t="shared" si="37"/>
        <v>251421225.8</v>
      </c>
      <c r="G81" s="6">
        <v>0.0</v>
      </c>
      <c r="H81" s="20">
        <v>150.0</v>
      </c>
      <c r="I81" s="6">
        <v>398.64</v>
      </c>
      <c r="J81" s="4">
        <v>10788.56</v>
      </c>
      <c r="K81" s="4">
        <f t="shared" si="38"/>
        <v>-10389.92</v>
      </c>
      <c r="L81" s="4">
        <f>I81+Sep!L80</f>
        <v>1340693.708</v>
      </c>
      <c r="M81" s="4">
        <f>J81+Sep!M80</f>
        <v>6401365.908</v>
      </c>
      <c r="N81" s="4">
        <f t="shared" si="39"/>
        <v>-5060672.2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 t="shared" si="40"/>
        <v>57</v>
      </c>
      <c r="C82" s="3" t="s">
        <v>84</v>
      </c>
      <c r="D82" s="6">
        <v>4.49277444E8</v>
      </c>
      <c r="E82" s="6">
        <v>3378721.0</v>
      </c>
      <c r="F82" s="6">
        <f t="shared" si="37"/>
        <v>445898723</v>
      </c>
      <c r="G82" s="6">
        <v>0.0</v>
      </c>
      <c r="H82" s="20">
        <v>163.0</v>
      </c>
      <c r="I82" s="6">
        <v>621364.0</v>
      </c>
      <c r="J82" s="4">
        <v>4773216.0</v>
      </c>
      <c r="K82" s="4">
        <f t="shared" si="38"/>
        <v>-4151852</v>
      </c>
      <c r="L82" s="4">
        <f>I82+Sep!L81</f>
        <v>20118328.46</v>
      </c>
      <c r="M82" s="4">
        <f>J82+Sep!M81</f>
        <v>14999288.96</v>
      </c>
      <c r="N82" s="4">
        <f t="shared" si="39"/>
        <v>5119039.5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1.25" customHeight="1">
      <c r="A83" s="18"/>
      <c r="B83" s="2">
        <f t="shared" si="40"/>
        <v>58</v>
      </c>
      <c r="C83" s="3" t="s">
        <v>109</v>
      </c>
      <c r="D83" s="6">
        <v>6.4946421E7</v>
      </c>
      <c r="E83" s="6">
        <v>1.5445192E7</v>
      </c>
      <c r="F83" s="6">
        <f t="shared" si="37"/>
        <v>49501229</v>
      </c>
      <c r="G83" s="6">
        <v>0.0</v>
      </c>
      <c r="H83" s="20">
        <v>27.0</v>
      </c>
      <c r="I83" s="6">
        <v>0.0</v>
      </c>
      <c r="J83" s="4">
        <v>0.0</v>
      </c>
      <c r="K83" s="4">
        <f t="shared" si="38"/>
        <v>0</v>
      </c>
      <c r="L83" s="4">
        <f>I83+Sep!L82</f>
        <v>0</v>
      </c>
      <c r="M83" s="4">
        <f>J83+Sep!M82</f>
        <v>0</v>
      </c>
      <c r="N83" s="4">
        <f t="shared" si="39"/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40"/>
        <v>59</v>
      </c>
      <c r="C84" s="3" t="s">
        <v>86</v>
      </c>
      <c r="D84" s="6">
        <v>1.850898535E9</v>
      </c>
      <c r="E84" s="6">
        <v>3.7403405E7</v>
      </c>
      <c r="F84" s="6">
        <f t="shared" si="37"/>
        <v>1813495130</v>
      </c>
      <c r="G84" s="6">
        <v>0.0</v>
      </c>
      <c r="H84" s="20">
        <v>1817.0</v>
      </c>
      <c r="I84" s="6">
        <v>39314.0</v>
      </c>
      <c r="J84" s="4">
        <v>4.1708612E7</v>
      </c>
      <c r="K84" s="4">
        <f t="shared" si="38"/>
        <v>-41669298</v>
      </c>
      <c r="L84" s="4">
        <f>I84+Sep!L83</f>
        <v>1583688.851</v>
      </c>
      <c r="M84" s="4">
        <f>J84+Sep!M83</f>
        <v>181647573.9</v>
      </c>
      <c r="N84" s="4">
        <f t="shared" si="39"/>
        <v>-180063885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f t="shared" si="40"/>
        <v>60</v>
      </c>
      <c r="C85" s="3" t="s">
        <v>87</v>
      </c>
      <c r="D85" s="6">
        <v>2.3526790425E8</v>
      </c>
      <c r="E85" s="6">
        <v>1206385.25</v>
      </c>
      <c r="F85" s="6">
        <f t="shared" si="37"/>
        <v>234061519</v>
      </c>
      <c r="G85" s="6">
        <v>0.0</v>
      </c>
      <c r="H85" s="20">
        <v>117.0</v>
      </c>
      <c r="I85" s="6">
        <v>11346.0</v>
      </c>
      <c r="J85" s="4">
        <v>3602282.39</v>
      </c>
      <c r="K85" s="4">
        <f t="shared" si="38"/>
        <v>-3590936.39</v>
      </c>
      <c r="L85" s="4">
        <f>I85+Sep!L84</f>
        <v>1642471</v>
      </c>
      <c r="M85" s="4">
        <f>J85+Sep!M84</f>
        <v>7748924.047</v>
      </c>
      <c r="N85" s="4">
        <f t="shared" si="39"/>
        <v>-6106453.047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40"/>
        <v>61</v>
      </c>
      <c r="C86" s="3" t="s">
        <v>88</v>
      </c>
      <c r="D86" s="6">
        <v>5.58779312E8</v>
      </c>
      <c r="E86" s="6">
        <v>4027642.0</v>
      </c>
      <c r="F86" s="6">
        <f t="shared" si="37"/>
        <v>554751670</v>
      </c>
      <c r="G86" s="6">
        <v>0.0</v>
      </c>
      <c r="H86" s="20">
        <v>2571.0</v>
      </c>
      <c r="I86" s="6">
        <v>415150.0</v>
      </c>
      <c r="J86" s="4">
        <v>2974302.0</v>
      </c>
      <c r="K86" s="4">
        <f t="shared" si="38"/>
        <v>-2559152</v>
      </c>
      <c r="L86" s="4">
        <f>I86+Sep!L85</f>
        <v>227665314.2</v>
      </c>
      <c r="M86" s="4">
        <f>J86+Sep!M85</f>
        <v>87996981.9</v>
      </c>
      <c r="N86" s="4">
        <f t="shared" si="39"/>
        <v>139668332.3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24" t="s">
        <v>89</v>
      </c>
      <c r="B87" s="25"/>
      <c r="C87" s="29"/>
      <c r="D87" s="54">
        <f t="shared" ref="D87:N87" si="41">SUM(D80:D86)</f>
        <v>16551341651</v>
      </c>
      <c r="E87" s="54">
        <f t="shared" si="41"/>
        <v>162480598.2</v>
      </c>
      <c r="F87" s="54">
        <f t="shared" si="41"/>
        <v>16388861053</v>
      </c>
      <c r="G87" s="54">
        <f t="shared" si="41"/>
        <v>0</v>
      </c>
      <c r="H87" s="54">
        <f t="shared" si="41"/>
        <v>12881</v>
      </c>
      <c r="I87" s="54">
        <f t="shared" si="41"/>
        <v>19572308.64</v>
      </c>
      <c r="J87" s="54">
        <f t="shared" si="41"/>
        <v>389412816</v>
      </c>
      <c r="K87" s="54">
        <f t="shared" si="41"/>
        <v>-369840507.3</v>
      </c>
      <c r="L87" s="54">
        <f t="shared" si="41"/>
        <v>692869331.6</v>
      </c>
      <c r="M87" s="54">
        <f t="shared" si="41"/>
        <v>1996030085</v>
      </c>
      <c r="N87" s="54">
        <f t="shared" si="41"/>
        <v>-1303160753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>1+B86</f>
        <v>62</v>
      </c>
      <c r="C88" s="3" t="s">
        <v>90</v>
      </c>
      <c r="D88" s="6">
        <v>9.36052257E8</v>
      </c>
      <c r="E88" s="6">
        <v>5616524.0</v>
      </c>
      <c r="F88" s="6">
        <f>D88-E88</f>
        <v>930435733</v>
      </c>
      <c r="G88" s="6">
        <v>0.0</v>
      </c>
      <c r="H88" s="20">
        <v>616.0</v>
      </c>
      <c r="I88" s="6">
        <v>3310386.0</v>
      </c>
      <c r="J88" s="4">
        <v>3730963.0</v>
      </c>
      <c r="K88" s="4">
        <f>I88-J88</f>
        <v>-420577</v>
      </c>
      <c r="L88" s="4">
        <f>I88+Sep!L87</f>
        <v>42389058.16</v>
      </c>
      <c r="M88" s="4">
        <f>J88+Sep!M87</f>
        <v>45890821.84</v>
      </c>
      <c r="N88" s="4">
        <f>L88-M88</f>
        <v>-3501763.687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4" t="s">
        <v>91</v>
      </c>
      <c r="B89" s="29"/>
      <c r="C89" s="1"/>
      <c r="D89" s="54">
        <f t="shared" ref="D89:N89" si="42">SUM(D88)</f>
        <v>936052257</v>
      </c>
      <c r="E89" s="54">
        <f t="shared" si="42"/>
        <v>5616524</v>
      </c>
      <c r="F89" s="54">
        <f t="shared" si="42"/>
        <v>930435733</v>
      </c>
      <c r="G89" s="54">
        <f t="shared" si="42"/>
        <v>0</v>
      </c>
      <c r="H89" s="27">
        <f t="shared" si="42"/>
        <v>616</v>
      </c>
      <c r="I89" s="54">
        <f t="shared" si="42"/>
        <v>3310386</v>
      </c>
      <c r="J89" s="54">
        <f t="shared" si="42"/>
        <v>3730963</v>
      </c>
      <c r="K89" s="54">
        <f t="shared" si="42"/>
        <v>-420577</v>
      </c>
      <c r="L89" s="54">
        <f t="shared" si="42"/>
        <v>42389058.16</v>
      </c>
      <c r="M89" s="54">
        <f t="shared" si="42"/>
        <v>45890821.84</v>
      </c>
      <c r="N89" s="54">
        <f t="shared" si="42"/>
        <v>-3501763.687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1" t="s">
        <v>92</v>
      </c>
      <c r="B90" s="25"/>
      <c r="C90" s="29"/>
      <c r="D90" s="54">
        <f t="shared" ref="D90:N90" si="43">D78+D87+D89</f>
        <v>67454610108</v>
      </c>
      <c r="E90" s="54">
        <f t="shared" si="43"/>
        <v>473631184.9</v>
      </c>
      <c r="F90" s="54">
        <f t="shared" si="43"/>
        <v>66980978923</v>
      </c>
      <c r="G90" s="54">
        <f t="shared" si="43"/>
        <v>552862504</v>
      </c>
      <c r="H90" s="27">
        <f t="shared" si="43"/>
        <v>73018</v>
      </c>
      <c r="I90" s="54">
        <f t="shared" si="43"/>
        <v>257134163.6</v>
      </c>
      <c r="J90" s="54">
        <f t="shared" si="43"/>
        <v>1135783562</v>
      </c>
      <c r="K90" s="54">
        <f t="shared" si="43"/>
        <v>-878649398.6</v>
      </c>
      <c r="L90" s="54">
        <f t="shared" si="43"/>
        <v>5435398129</v>
      </c>
      <c r="M90" s="54">
        <f t="shared" si="43"/>
        <v>9473368978</v>
      </c>
      <c r="N90" s="54">
        <f t="shared" si="43"/>
        <v>-4037970848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1" t="s">
        <v>93</v>
      </c>
      <c r="B91" s="2"/>
      <c r="C91" s="30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8" t="s">
        <v>20</v>
      </c>
      <c r="B92" s="2"/>
      <c r="C92" s="30"/>
      <c r="D92" s="6"/>
      <c r="E92" s="6"/>
      <c r="F92" s="6"/>
      <c r="G92" s="6"/>
      <c r="H92" s="20"/>
      <c r="I92" s="6"/>
      <c r="J92" s="4"/>
      <c r="K92" s="4"/>
      <c r="L92" s="4"/>
      <c r="M92" s="4"/>
      <c r="N92" s="4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8"/>
      <c r="B93" s="2">
        <f>1+B88</f>
        <v>63</v>
      </c>
      <c r="C93" s="3" t="s">
        <v>94</v>
      </c>
      <c r="D93" s="6">
        <v>2.8101796411E10</v>
      </c>
      <c r="E93" s="6">
        <v>2.1762769E7</v>
      </c>
      <c r="F93" s="6">
        <f t="shared" ref="F93:F95" si="44">D93-E93</f>
        <v>28080033642</v>
      </c>
      <c r="G93" s="6">
        <v>0.0</v>
      </c>
      <c r="H93" s="20">
        <v>26371.0</v>
      </c>
      <c r="I93" s="6">
        <v>335278.0</v>
      </c>
      <c r="J93" s="4">
        <v>1.005186833E9</v>
      </c>
      <c r="K93" s="4">
        <f t="shared" ref="K93:K95" si="45">I93-J93</f>
        <v>-1004851555</v>
      </c>
      <c r="L93" s="4">
        <f>I93+Sep!L92</f>
        <v>9184820545</v>
      </c>
      <c r="M93" s="4">
        <f>J93+Sep!M92</f>
        <v>16462195312</v>
      </c>
      <c r="N93" s="4">
        <f t="shared" ref="N93:N95" si="46">L93-M93</f>
        <v>-7277374767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/>
      <c r="B94" s="2">
        <f t="shared" ref="B94:B95" si="47">1+B93</f>
        <v>64</v>
      </c>
      <c r="C94" s="3" t="s">
        <v>95</v>
      </c>
      <c r="D94" s="6">
        <v>2.701416751E9</v>
      </c>
      <c r="E94" s="6">
        <v>4842053.0</v>
      </c>
      <c r="F94" s="6">
        <f t="shared" si="44"/>
        <v>2696574698</v>
      </c>
      <c r="G94" s="6">
        <v>0.0</v>
      </c>
      <c r="H94" s="20">
        <v>904.0</v>
      </c>
      <c r="I94" s="6">
        <v>2.37954791E8</v>
      </c>
      <c r="J94" s="4">
        <v>1.34691722E8</v>
      </c>
      <c r="K94" s="4">
        <f t="shared" si="45"/>
        <v>103263069</v>
      </c>
      <c r="L94" s="4">
        <f>I94+Sep!L93</f>
        <v>1350405465</v>
      </c>
      <c r="M94" s="4">
        <f>J94+Sep!M93</f>
        <v>1546703727</v>
      </c>
      <c r="N94" s="4">
        <f t="shared" si="46"/>
        <v>-196298262.1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"/>
      <c r="B95" s="2">
        <f t="shared" si="47"/>
        <v>65</v>
      </c>
      <c r="C95" s="3" t="s">
        <v>96</v>
      </c>
      <c r="D95" s="6">
        <v>2.3432160884E10</v>
      </c>
      <c r="E95" s="6">
        <v>1.41872628E8</v>
      </c>
      <c r="F95" s="6">
        <f t="shared" si="44"/>
        <v>23290288256</v>
      </c>
      <c r="G95" s="6">
        <v>0.0</v>
      </c>
      <c r="H95" s="20">
        <v>69519.0</v>
      </c>
      <c r="I95" s="6">
        <v>4.51087153E8</v>
      </c>
      <c r="J95" s="4">
        <v>1.847299451E9</v>
      </c>
      <c r="K95" s="4">
        <f t="shared" si="45"/>
        <v>-1396212298</v>
      </c>
      <c r="L95" s="4">
        <f>I95+Sep!L94</f>
        <v>19184088201</v>
      </c>
      <c r="M95" s="4">
        <f>J95+Sep!M94</f>
        <v>48928137991</v>
      </c>
      <c r="N95" s="4">
        <f t="shared" si="46"/>
        <v>-29744049790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 t="s">
        <v>40</v>
      </c>
      <c r="B96" s="2"/>
      <c r="C96" s="3"/>
      <c r="D96" s="6"/>
      <c r="E96" s="6"/>
      <c r="F96" s="6"/>
      <c r="G96" s="6"/>
      <c r="H96" s="20"/>
      <c r="I96" s="6"/>
      <c r="J96" s="4"/>
      <c r="K96" s="4"/>
      <c r="L96" s="4"/>
      <c r="M96" s="4"/>
      <c r="N96" s="4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"/>
      <c r="B97" s="2">
        <f>1+B95</f>
        <v>66</v>
      </c>
      <c r="C97" s="3" t="s">
        <v>94</v>
      </c>
      <c r="D97" s="6">
        <v>8.34988658E9</v>
      </c>
      <c r="E97" s="6">
        <v>3.02692529E8</v>
      </c>
      <c r="F97" s="6">
        <f>D97-E97</f>
        <v>8047194051</v>
      </c>
      <c r="G97" s="6">
        <v>0.0</v>
      </c>
      <c r="H97" s="20">
        <v>7957.0</v>
      </c>
      <c r="I97" s="6">
        <v>9.35168068E8</v>
      </c>
      <c r="J97" s="4">
        <v>5.52462837E8</v>
      </c>
      <c r="K97" s="4">
        <f>I97-J97</f>
        <v>382705231</v>
      </c>
      <c r="L97" s="4">
        <f>I97+Sep!L96</f>
        <v>12434108500</v>
      </c>
      <c r="M97" s="4">
        <f>J97+Sep!M96</f>
        <v>8106743126</v>
      </c>
      <c r="N97" s="4">
        <f>L97-M97</f>
        <v>4327365373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24" t="s">
        <v>45</v>
      </c>
      <c r="B98" s="2"/>
      <c r="C98" s="3"/>
      <c r="D98" s="54">
        <f t="shared" ref="D98:N98" si="48">SUM(D93:D95)+D97</f>
        <v>62585260626</v>
      </c>
      <c r="E98" s="54">
        <f t="shared" si="48"/>
        <v>471169979</v>
      </c>
      <c r="F98" s="54">
        <f t="shared" si="48"/>
        <v>62114090647</v>
      </c>
      <c r="G98" s="54">
        <f t="shared" si="48"/>
        <v>0</v>
      </c>
      <c r="H98" s="27">
        <f t="shared" si="48"/>
        <v>104751</v>
      </c>
      <c r="I98" s="54">
        <f t="shared" si="48"/>
        <v>1624545290</v>
      </c>
      <c r="J98" s="54">
        <f t="shared" si="48"/>
        <v>3539640843</v>
      </c>
      <c r="K98" s="54">
        <f t="shared" si="48"/>
        <v>-1915095553</v>
      </c>
      <c r="L98" s="54">
        <f t="shared" si="48"/>
        <v>42153422710</v>
      </c>
      <c r="M98" s="54">
        <f t="shared" si="48"/>
        <v>75043780156</v>
      </c>
      <c r="N98" s="54">
        <f t="shared" si="48"/>
        <v>-32890357446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46</v>
      </c>
      <c r="B99" s="2"/>
      <c r="C99" s="3"/>
      <c r="D99" s="6"/>
      <c r="E99" s="6"/>
      <c r="F99" s="6"/>
      <c r="G99" s="6"/>
      <c r="H99" s="20"/>
      <c r="I99" s="6"/>
      <c r="J99" s="4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1+B97</f>
        <v>67</v>
      </c>
      <c r="C100" s="3" t="s">
        <v>97</v>
      </c>
      <c r="D100" s="6">
        <v>2.681669573E9</v>
      </c>
      <c r="E100" s="6">
        <v>1.1279175E7</v>
      </c>
      <c r="F100" s="6">
        <f>D100-E100</f>
        <v>2670390398</v>
      </c>
      <c r="G100" s="6">
        <v>0.0</v>
      </c>
      <c r="H100" s="20">
        <v>3592.0</v>
      </c>
      <c r="I100" s="6">
        <v>3.8348875E7</v>
      </c>
      <c r="J100" s="6">
        <v>1.47103569E8</v>
      </c>
      <c r="K100" s="4">
        <f>I100-J100</f>
        <v>-108754694</v>
      </c>
      <c r="L100" s="4">
        <f>I100+Sep!L99</f>
        <v>5061713890</v>
      </c>
      <c r="M100" s="4">
        <f>J100+Sep!M99</f>
        <v>9143624086</v>
      </c>
      <c r="N100" s="4">
        <f>L100-M100</f>
        <v>-4081910196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4" t="s">
        <v>89</v>
      </c>
      <c r="B101" s="2"/>
      <c r="C101" s="3"/>
      <c r="D101" s="54">
        <f t="shared" ref="D101:N101" si="49">SUM(D100)</f>
        <v>2681669573</v>
      </c>
      <c r="E101" s="54">
        <f t="shared" si="49"/>
        <v>11279175</v>
      </c>
      <c r="F101" s="54">
        <f t="shared" si="49"/>
        <v>2670390398</v>
      </c>
      <c r="G101" s="54">
        <f t="shared" si="49"/>
        <v>0</v>
      </c>
      <c r="H101" s="27">
        <f t="shared" si="49"/>
        <v>3592</v>
      </c>
      <c r="I101" s="54">
        <f t="shared" si="49"/>
        <v>38348875</v>
      </c>
      <c r="J101" s="54">
        <f t="shared" si="49"/>
        <v>147103569</v>
      </c>
      <c r="K101" s="54">
        <f t="shared" si="49"/>
        <v>-108754694</v>
      </c>
      <c r="L101" s="54">
        <f t="shared" si="49"/>
        <v>5061713890</v>
      </c>
      <c r="M101" s="54">
        <f t="shared" si="49"/>
        <v>9143624086</v>
      </c>
      <c r="N101" s="54">
        <f t="shared" si="49"/>
        <v>-4081910196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 t="s">
        <v>98</v>
      </c>
      <c r="B102" s="2"/>
      <c r="C102" s="3"/>
      <c r="D102" s="54">
        <f t="shared" ref="D102:N102" si="50">D98+D101</f>
        <v>65266930199</v>
      </c>
      <c r="E102" s="54">
        <f t="shared" si="50"/>
        <v>482449154</v>
      </c>
      <c r="F102" s="54">
        <f t="shared" si="50"/>
        <v>64784481045</v>
      </c>
      <c r="G102" s="54">
        <f t="shared" si="50"/>
        <v>0</v>
      </c>
      <c r="H102" s="27">
        <f t="shared" si="50"/>
        <v>108343</v>
      </c>
      <c r="I102" s="54">
        <f t="shared" si="50"/>
        <v>1662894165</v>
      </c>
      <c r="J102" s="54">
        <f t="shared" si="50"/>
        <v>3686744412</v>
      </c>
      <c r="K102" s="54">
        <f t="shared" si="50"/>
        <v>-2023850247</v>
      </c>
      <c r="L102" s="54">
        <f t="shared" si="50"/>
        <v>47215136600</v>
      </c>
      <c r="M102" s="54">
        <f t="shared" si="50"/>
        <v>84187404242</v>
      </c>
      <c r="N102" s="54">
        <f t="shared" si="50"/>
        <v>-36972267642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 t="s">
        <v>99</v>
      </c>
      <c r="B103" s="2"/>
      <c r="C103" s="3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8" t="s">
        <v>100</v>
      </c>
      <c r="B104" s="2"/>
      <c r="C104" s="3"/>
      <c r="D104" s="6"/>
      <c r="E104" s="6"/>
      <c r="F104" s="6"/>
      <c r="G104" s="6"/>
      <c r="H104" s="20"/>
      <c r="I104" s="6"/>
      <c r="J104" s="6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8"/>
      <c r="B105" s="2">
        <f>1+B100</f>
        <v>68</v>
      </c>
      <c r="C105" s="3" t="s">
        <v>104</v>
      </c>
      <c r="D105" s="6">
        <v>8.654419233E9</v>
      </c>
      <c r="E105" s="6">
        <v>1.16806479E8</v>
      </c>
      <c r="F105" s="6">
        <f t="shared" ref="F105:F107" si="51">D105-E105</f>
        <v>8537612754</v>
      </c>
      <c r="G105" s="6">
        <v>0.0</v>
      </c>
      <c r="H105" s="20">
        <v>102975.0</v>
      </c>
      <c r="I105" s="6">
        <v>4.2510635E7</v>
      </c>
      <c r="J105" s="6">
        <v>1.17328871E8</v>
      </c>
      <c r="K105" s="4">
        <f t="shared" ref="K105:K107" si="52">I105-J105</f>
        <v>-74818236</v>
      </c>
      <c r="L105" s="4">
        <f>I105+Sep!L104</f>
        <v>789425483.9</v>
      </c>
      <c r="M105" s="4">
        <f>J105+Sep!M104</f>
        <v>1308523278</v>
      </c>
      <c r="N105" s="4">
        <f t="shared" ref="N105:N107" si="53">L105-M105</f>
        <v>-519097794.5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/>
      <c r="B106" s="2">
        <f t="shared" ref="B106:B107" si="54">1+B105</f>
        <v>69</v>
      </c>
      <c r="C106" s="3" t="s">
        <v>102</v>
      </c>
      <c r="D106" s="6">
        <v>3.018534285E9</v>
      </c>
      <c r="E106" s="6">
        <v>2.692725E7</v>
      </c>
      <c r="F106" s="6">
        <f t="shared" si="51"/>
        <v>2991607035</v>
      </c>
      <c r="G106" s="6">
        <v>0.0</v>
      </c>
      <c r="H106" s="20">
        <v>6572.0</v>
      </c>
      <c r="I106" s="6">
        <v>6.8847733E7</v>
      </c>
      <c r="J106" s="6">
        <v>4.6823489E7</v>
      </c>
      <c r="K106" s="4">
        <f t="shared" si="52"/>
        <v>22024244</v>
      </c>
      <c r="L106" s="4">
        <f>I106+Sep!L105</f>
        <v>426328561.1</v>
      </c>
      <c r="M106" s="4">
        <f>J106+Sep!M105</f>
        <v>928654668.7</v>
      </c>
      <c r="N106" s="4">
        <f t="shared" si="53"/>
        <v>-502326107.6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/>
      <c r="B107" s="2">
        <f t="shared" si="54"/>
        <v>70</v>
      </c>
      <c r="C107" s="3" t="s">
        <v>129</v>
      </c>
      <c r="D107" s="6">
        <v>3.05924421E8</v>
      </c>
      <c r="E107" s="6">
        <v>3.1872047E7</v>
      </c>
      <c r="F107" s="6">
        <f t="shared" si="51"/>
        <v>274052374</v>
      </c>
      <c r="G107" s="6">
        <v>0.0</v>
      </c>
      <c r="H107" s="20">
        <v>638.0</v>
      </c>
      <c r="I107" s="6">
        <v>8.4755239E7</v>
      </c>
      <c r="J107" s="6">
        <v>24438.0</v>
      </c>
      <c r="K107" s="4">
        <f t="shared" si="52"/>
        <v>84730801</v>
      </c>
      <c r="L107" s="4">
        <f>I107+Sep!L106</f>
        <v>285703396</v>
      </c>
      <c r="M107" s="4">
        <f>J107+Sep!M106</f>
        <v>24438</v>
      </c>
      <c r="N107" s="4">
        <f t="shared" si="53"/>
        <v>285678958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4" t="s">
        <v>45</v>
      </c>
      <c r="B108" s="2"/>
      <c r="C108" s="3"/>
      <c r="D108" s="54">
        <f t="shared" ref="D108:N108" si="55">D105+D106+D107</f>
        <v>11978877939</v>
      </c>
      <c r="E108" s="54">
        <f t="shared" si="55"/>
        <v>175605776</v>
      </c>
      <c r="F108" s="54">
        <f t="shared" si="55"/>
        <v>11803272163</v>
      </c>
      <c r="G108" s="54">
        <f t="shared" si="55"/>
        <v>0</v>
      </c>
      <c r="H108" s="26">
        <f t="shared" si="55"/>
        <v>110185</v>
      </c>
      <c r="I108" s="54">
        <f t="shared" si="55"/>
        <v>196113607</v>
      </c>
      <c r="J108" s="54">
        <f t="shared" si="55"/>
        <v>164176798</v>
      </c>
      <c r="K108" s="54">
        <f t="shared" si="55"/>
        <v>31936809</v>
      </c>
      <c r="L108" s="54">
        <f t="shared" si="55"/>
        <v>1501457441</v>
      </c>
      <c r="M108" s="54">
        <f t="shared" si="55"/>
        <v>2237202385</v>
      </c>
      <c r="N108" s="54">
        <f t="shared" si="55"/>
        <v>-735744944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8" t="s">
        <v>103</v>
      </c>
      <c r="B109" s="2"/>
      <c r="C109" s="3"/>
      <c r="D109" s="6"/>
      <c r="E109" s="6"/>
      <c r="F109" s="6"/>
      <c r="G109" s="6"/>
      <c r="H109" s="20"/>
      <c r="I109" s="6"/>
      <c r="J109" s="6"/>
      <c r="K109" s="4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>1+B107</f>
        <v>71</v>
      </c>
      <c r="C110" s="3" t="s">
        <v>104</v>
      </c>
      <c r="D110" s="6">
        <v>9.320748524E9</v>
      </c>
      <c r="E110" s="6">
        <v>8.1773193E7</v>
      </c>
      <c r="F110" s="6">
        <f>D110-E110</f>
        <v>9238975331</v>
      </c>
      <c r="G110" s="6">
        <v>0.0</v>
      </c>
      <c r="H110" s="20">
        <v>7885.0</v>
      </c>
      <c r="I110" s="6">
        <v>1.418735E7</v>
      </c>
      <c r="J110" s="6">
        <v>1.97207163E8</v>
      </c>
      <c r="K110" s="4">
        <f>I110-J110</f>
        <v>-183019813</v>
      </c>
      <c r="L110" s="4">
        <f>I110+Sep!L109</f>
        <v>495061856.8</v>
      </c>
      <c r="M110" s="4">
        <f>J110+Sep!M109</f>
        <v>1029606805</v>
      </c>
      <c r="N110" s="4">
        <f>L110-M110</f>
        <v>-534544947.9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4" t="s">
        <v>89</v>
      </c>
      <c r="B111" s="25"/>
      <c r="C111" s="1"/>
      <c r="D111" s="54">
        <f t="shared" ref="D111:N111" si="56">SUM(D110)</f>
        <v>9320748524</v>
      </c>
      <c r="E111" s="54">
        <f t="shared" si="56"/>
        <v>81773193</v>
      </c>
      <c r="F111" s="54">
        <f t="shared" si="56"/>
        <v>9238975331</v>
      </c>
      <c r="G111" s="54">
        <f t="shared" si="56"/>
        <v>0</v>
      </c>
      <c r="H111" s="27">
        <f t="shared" si="56"/>
        <v>7885</v>
      </c>
      <c r="I111" s="54">
        <f t="shared" si="56"/>
        <v>14187350</v>
      </c>
      <c r="J111" s="54">
        <f t="shared" si="56"/>
        <v>197207163</v>
      </c>
      <c r="K111" s="54">
        <f t="shared" si="56"/>
        <v>-183019813</v>
      </c>
      <c r="L111" s="54">
        <f t="shared" si="56"/>
        <v>495061856.8</v>
      </c>
      <c r="M111" s="54">
        <f t="shared" si="56"/>
        <v>1029606805</v>
      </c>
      <c r="N111" s="54">
        <f t="shared" si="56"/>
        <v>-534544947.9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" t="s">
        <v>105</v>
      </c>
      <c r="B112" s="31"/>
      <c r="C112" s="29"/>
      <c r="D112" s="54">
        <f t="shared" ref="D112:N112" si="57">SUM(D108+D111)</f>
        <v>21299626463</v>
      </c>
      <c r="E112" s="54">
        <f t="shared" si="57"/>
        <v>257378969</v>
      </c>
      <c r="F112" s="54">
        <f t="shared" si="57"/>
        <v>21042247494</v>
      </c>
      <c r="G112" s="54">
        <f t="shared" si="57"/>
        <v>0</v>
      </c>
      <c r="H112" s="27">
        <f t="shared" si="57"/>
        <v>118070</v>
      </c>
      <c r="I112" s="54">
        <f t="shared" si="57"/>
        <v>210300957</v>
      </c>
      <c r="J112" s="54">
        <f t="shared" si="57"/>
        <v>361383961</v>
      </c>
      <c r="K112" s="54">
        <f t="shared" si="57"/>
        <v>-151083004</v>
      </c>
      <c r="L112" s="54">
        <f t="shared" si="57"/>
        <v>1996519298</v>
      </c>
      <c r="M112" s="54">
        <f t="shared" si="57"/>
        <v>3266809190</v>
      </c>
      <c r="N112" s="54">
        <f t="shared" si="57"/>
        <v>-1270289892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2" t="s">
        <v>106</v>
      </c>
      <c r="B113" s="33"/>
      <c r="C113" s="34"/>
      <c r="D113" s="55">
        <f t="shared" ref="D113:N113" si="58">D40+D64+D90+D102+D112</f>
        <v>231000774315</v>
      </c>
      <c r="E113" s="55">
        <f t="shared" si="58"/>
        <v>1685852797</v>
      </c>
      <c r="F113" s="55">
        <f t="shared" si="58"/>
        <v>229314921519</v>
      </c>
      <c r="G113" s="55">
        <f t="shared" si="58"/>
        <v>64607242864</v>
      </c>
      <c r="H113" s="36">
        <f t="shared" si="58"/>
        <v>1239216</v>
      </c>
      <c r="I113" s="55">
        <f t="shared" si="58"/>
        <v>2461722599</v>
      </c>
      <c r="J113" s="55">
        <f t="shared" si="58"/>
        <v>6352595350</v>
      </c>
      <c r="K113" s="55">
        <f t="shared" si="58"/>
        <v>-3890872750</v>
      </c>
      <c r="L113" s="55">
        <f t="shared" si="58"/>
        <v>59371594301</v>
      </c>
      <c r="M113" s="55">
        <f t="shared" si="58"/>
        <v>106142334365</v>
      </c>
      <c r="N113" s="55">
        <f t="shared" si="58"/>
        <v>-46770740063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2.0" customHeight="1">
      <c r="A114" s="3"/>
      <c r="B114" s="2"/>
      <c r="C114" s="37"/>
      <c r="D114" s="4"/>
      <c r="E114" s="4"/>
      <c r="F114" s="4"/>
      <c r="G114" s="4"/>
      <c r="H114" s="5"/>
      <c r="I114" s="6"/>
      <c r="J114" s="4"/>
      <c r="K114" s="4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59" t="s">
        <v>111</v>
      </c>
      <c r="B115" s="37"/>
      <c r="C115" s="37"/>
      <c r="D115" s="4"/>
      <c r="E115" s="4"/>
      <c r="F115" s="60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0" t="s">
        <v>130</v>
      </c>
      <c r="B116" s="37"/>
      <c r="C116" s="3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7"/>
      <c r="B117" s="37"/>
      <c r="C117" s="37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7"/>
      <c r="B118" s="37"/>
      <c r="C118" s="37"/>
      <c r="D118" s="4"/>
      <c r="E118" s="4"/>
      <c r="F118" s="4"/>
      <c r="G118" s="4"/>
      <c r="H118" s="61"/>
      <c r="I118" s="6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61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7.13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131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4.189162064E9</v>
      </c>
      <c r="E9" s="6">
        <v>1.0336202E7</v>
      </c>
      <c r="F9" s="6">
        <f t="shared" ref="F9:F27" si="1">D9-E9</f>
        <v>4178825862</v>
      </c>
      <c r="G9" s="6">
        <v>3.935096839E9</v>
      </c>
      <c r="H9" s="6">
        <v>6776.0</v>
      </c>
      <c r="I9" s="6">
        <v>5503287.0</v>
      </c>
      <c r="J9" s="6">
        <v>3.8062556E7</v>
      </c>
      <c r="K9" s="4">
        <f t="shared" ref="K9:K27" si="2">I9-J9</f>
        <v>-32559269</v>
      </c>
      <c r="L9" s="4">
        <f>I9+Oct!L9</f>
        <v>88646082.19</v>
      </c>
      <c r="M9" s="4">
        <f>J9+Oct!M9</f>
        <v>519740353.1</v>
      </c>
      <c r="N9" s="4">
        <f t="shared" ref="N9:N27" si="3">L9-M9</f>
        <v>-431094270.9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7.5053172306E8</v>
      </c>
      <c r="E10" s="6">
        <v>4725926.35</v>
      </c>
      <c r="F10" s="6">
        <f t="shared" si="1"/>
        <v>745805796.7</v>
      </c>
      <c r="G10" s="6">
        <v>6.5781095405E8</v>
      </c>
      <c r="H10" s="6">
        <v>4143.0</v>
      </c>
      <c r="I10" s="6">
        <v>3787521.08</v>
      </c>
      <c r="J10" s="6">
        <v>3607481.65</v>
      </c>
      <c r="K10" s="4">
        <f t="shared" si="2"/>
        <v>180039.43</v>
      </c>
      <c r="L10" s="4">
        <f>I10+Oct!L10</f>
        <v>53069542.96</v>
      </c>
      <c r="M10" s="4">
        <f>J10+Oct!M10</f>
        <v>81673410.63</v>
      </c>
      <c r="N10" s="4">
        <f t="shared" si="3"/>
        <v>-28603867.67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1.28887808299E9</v>
      </c>
      <c r="E11" s="6">
        <v>2968907.17</v>
      </c>
      <c r="F11" s="6">
        <f t="shared" si="1"/>
        <v>1285909176</v>
      </c>
      <c r="G11" s="6">
        <v>1.2182091706E9</v>
      </c>
      <c r="H11" s="6">
        <v>2734.0</v>
      </c>
      <c r="I11" s="6">
        <v>5236803.39</v>
      </c>
      <c r="J11" s="6">
        <v>7048158.37</v>
      </c>
      <c r="K11" s="4">
        <f t="shared" si="2"/>
        <v>-1811354.98</v>
      </c>
      <c r="L11" s="4">
        <f>I11+Oct!L11</f>
        <v>513301665.7</v>
      </c>
      <c r="M11" s="4">
        <f>J11+Oct!M11</f>
        <v>492509570.2</v>
      </c>
      <c r="N11" s="4">
        <f t="shared" si="3"/>
        <v>20792095.48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3.4375208847E8</v>
      </c>
      <c r="E12" s="6">
        <v>1.097609462E7</v>
      </c>
      <c r="F12" s="6">
        <f t="shared" si="1"/>
        <v>332775993.9</v>
      </c>
      <c r="G12" s="6">
        <v>2.2991160916E8</v>
      </c>
      <c r="H12" s="6">
        <v>1775.0</v>
      </c>
      <c r="I12" s="6">
        <v>311428.5</v>
      </c>
      <c r="J12" s="6">
        <v>318178.02</v>
      </c>
      <c r="K12" s="4">
        <f t="shared" si="2"/>
        <v>-6749.52</v>
      </c>
      <c r="L12" s="4">
        <f>I12+Oct!L12</f>
        <v>8561458.52</v>
      </c>
      <c r="M12" s="4">
        <f>J12+Oct!M12</f>
        <v>4215029.12</v>
      </c>
      <c r="N12" s="4">
        <f t="shared" si="3"/>
        <v>4346429.4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4.50616255E8</v>
      </c>
      <c r="E13" s="6">
        <v>1248796.0</v>
      </c>
      <c r="F13" s="6">
        <f t="shared" si="1"/>
        <v>449367459</v>
      </c>
      <c r="G13" s="6">
        <v>3.46265995E8</v>
      </c>
      <c r="H13" s="6">
        <v>1334.0</v>
      </c>
      <c r="I13" s="6">
        <v>240157.0</v>
      </c>
      <c r="J13" s="6">
        <v>327882.0</v>
      </c>
      <c r="K13" s="4">
        <f t="shared" si="2"/>
        <v>-87725</v>
      </c>
      <c r="L13" s="4">
        <f>I13+Oct!L13</f>
        <v>6842885.54</v>
      </c>
      <c r="M13" s="4">
        <f>J13+Oct!M13</f>
        <v>42978974.44</v>
      </c>
      <c r="N13" s="4">
        <f t="shared" si="3"/>
        <v>-36136088.9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3.949973401E9</v>
      </c>
      <c r="E14" s="6">
        <v>1.3681311E7</v>
      </c>
      <c r="F14" s="6">
        <f t="shared" si="1"/>
        <v>3936292090</v>
      </c>
      <c r="G14" s="6">
        <v>3.253653591E9</v>
      </c>
      <c r="H14" s="6">
        <v>15578.0</v>
      </c>
      <c r="I14" s="6">
        <v>1.3316216E7</v>
      </c>
      <c r="J14" s="6">
        <v>1.5879401E7</v>
      </c>
      <c r="K14" s="4">
        <f t="shared" si="2"/>
        <v>-2563185</v>
      </c>
      <c r="L14" s="4">
        <f>I14+Oct!L14</f>
        <v>322613393.5</v>
      </c>
      <c r="M14" s="4">
        <f>J14+Oct!M14</f>
        <v>479126491.5</v>
      </c>
      <c r="N14" s="4">
        <f t="shared" si="3"/>
        <v>-156513098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9.910549E7</v>
      </c>
      <c r="E15" s="6">
        <v>745710.0</v>
      </c>
      <c r="F15" s="6">
        <f t="shared" si="1"/>
        <v>98359780</v>
      </c>
      <c r="G15" s="6">
        <v>9.7130308E7</v>
      </c>
      <c r="H15" s="6">
        <v>517.0</v>
      </c>
      <c r="I15" s="6">
        <v>284310.0</v>
      </c>
      <c r="J15" s="6">
        <v>310758.0</v>
      </c>
      <c r="K15" s="4">
        <f t="shared" si="2"/>
        <v>-26448</v>
      </c>
      <c r="L15" s="4">
        <f>I15+Oct!L15</f>
        <v>13420190.73</v>
      </c>
      <c r="M15" s="4">
        <f>J15+Oct!M15</f>
        <v>11454311.93</v>
      </c>
      <c r="N15" s="4">
        <f t="shared" si="3"/>
        <v>1965878.8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1.27932091E8</v>
      </c>
      <c r="E16" s="6">
        <v>2667078.0</v>
      </c>
      <c r="F16" s="6">
        <f t="shared" si="1"/>
        <v>125265013</v>
      </c>
      <c r="G16" s="6">
        <v>1.16614683E8</v>
      </c>
      <c r="H16" s="6">
        <v>50.0</v>
      </c>
      <c r="I16" s="6">
        <v>0.0</v>
      </c>
      <c r="J16" s="6">
        <v>0.0</v>
      </c>
      <c r="K16" s="4">
        <f t="shared" si="2"/>
        <v>0</v>
      </c>
      <c r="L16" s="4">
        <f>I16+Oct!L16</f>
        <v>100241.49</v>
      </c>
      <c r="M16" s="4">
        <f>J16+Oct!M16</f>
        <v>2461357.93</v>
      </c>
      <c r="N16" s="4">
        <f t="shared" si="3"/>
        <v>-2361116.44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1.189246107E9</v>
      </c>
      <c r="E17" s="6">
        <v>3.958266865E7</v>
      </c>
      <c r="F17" s="6">
        <f t="shared" si="1"/>
        <v>1149663438</v>
      </c>
      <c r="G17" s="6">
        <v>1.167513385E9</v>
      </c>
      <c r="H17" s="6">
        <v>11788.0</v>
      </c>
      <c r="I17" s="6">
        <v>0.0</v>
      </c>
      <c r="J17" s="6">
        <v>5457612.0</v>
      </c>
      <c r="K17" s="4">
        <f t="shared" si="2"/>
        <v>-5457612</v>
      </c>
      <c r="L17" s="4">
        <f>I17+Oct!L17</f>
        <v>0</v>
      </c>
      <c r="M17" s="4">
        <f>J17+Oct!M17</f>
        <v>115975122.7</v>
      </c>
      <c r="N17" s="4">
        <f t="shared" si="3"/>
        <v>-115975122.7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3.444854498E9</v>
      </c>
      <c r="E18" s="6">
        <v>4.7552849E7</v>
      </c>
      <c r="F18" s="6">
        <f t="shared" si="1"/>
        <v>3397301649</v>
      </c>
      <c r="G18" s="6">
        <v>3.213227442E9</v>
      </c>
      <c r="H18" s="6">
        <v>11769.0</v>
      </c>
      <c r="I18" s="6">
        <v>1358865.0</v>
      </c>
      <c r="J18" s="6">
        <v>1.9088214E7</v>
      </c>
      <c r="K18" s="4">
        <f t="shared" si="2"/>
        <v>-17729349</v>
      </c>
      <c r="L18" s="4">
        <f>I18+Oct!L18</f>
        <v>28347883.7</v>
      </c>
      <c r="M18" s="4">
        <f>J18+Oct!M18</f>
        <v>331091252.5</v>
      </c>
      <c r="N18" s="4">
        <f t="shared" si="3"/>
        <v>-302743368.8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2.15169531219E9</v>
      </c>
      <c r="E19" s="6">
        <v>8604312.47</v>
      </c>
      <c r="F19" s="6">
        <f t="shared" si="1"/>
        <v>2143091000</v>
      </c>
      <c r="G19" s="6">
        <v>1.93690705456E9</v>
      </c>
      <c r="H19" s="6">
        <v>5141.0</v>
      </c>
      <c r="I19" s="6">
        <v>1075595.15</v>
      </c>
      <c r="J19" s="6">
        <v>5391892.99</v>
      </c>
      <c r="K19" s="4">
        <f t="shared" si="2"/>
        <v>-4316297.84</v>
      </c>
      <c r="L19" s="4">
        <f>I19+Oct!L19</f>
        <v>149052142.1</v>
      </c>
      <c r="M19" s="4">
        <f>J19+Oct!M19</f>
        <v>69621840.58</v>
      </c>
      <c r="N19" s="4">
        <f t="shared" si="3"/>
        <v>79430301.51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9.08012081218E9</v>
      </c>
      <c r="E20" s="6">
        <v>2.542166797E7</v>
      </c>
      <c r="F20" s="6">
        <f t="shared" si="1"/>
        <v>9054699144</v>
      </c>
      <c r="G20" s="6">
        <v>8.33455050536E9</v>
      </c>
      <c r="H20" s="6">
        <v>34552.0</v>
      </c>
      <c r="I20" s="6">
        <v>6428081.42</v>
      </c>
      <c r="J20" s="6">
        <v>1.707764733E7</v>
      </c>
      <c r="K20" s="4">
        <f t="shared" si="2"/>
        <v>-10649565.91</v>
      </c>
      <c r="L20" s="4">
        <f>I20+Oct!L20</f>
        <v>156074923</v>
      </c>
      <c r="M20" s="4">
        <f>J20+Oct!M20</f>
        <v>648405993.7</v>
      </c>
      <c r="N20" s="4">
        <f t="shared" si="3"/>
        <v>-492331070.7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3.0111834312E8</v>
      </c>
      <c r="E21" s="6">
        <v>649529.63</v>
      </c>
      <c r="F21" s="6">
        <f t="shared" si="1"/>
        <v>300468813.5</v>
      </c>
      <c r="G21" s="6">
        <v>2.9863544332E8</v>
      </c>
      <c r="H21" s="6">
        <v>958.0</v>
      </c>
      <c r="I21" s="6">
        <v>201195.0</v>
      </c>
      <c r="J21" s="6">
        <v>332493.56</v>
      </c>
      <c r="K21" s="4">
        <f t="shared" si="2"/>
        <v>-131298.56</v>
      </c>
      <c r="L21" s="4">
        <f>I21+Oct!L21</f>
        <v>3533994</v>
      </c>
      <c r="M21" s="4">
        <f>J21+Oct!M21</f>
        <v>9904052.2</v>
      </c>
      <c r="N21" s="4">
        <f t="shared" si="3"/>
        <v>-6370058.2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3.66013433295E9</v>
      </c>
      <c r="E22" s="6">
        <v>7599600.91</v>
      </c>
      <c r="F22" s="6">
        <f t="shared" si="1"/>
        <v>3652534732</v>
      </c>
      <c r="G22" s="6">
        <v>3.58421604931E9</v>
      </c>
      <c r="H22" s="6">
        <v>25711.0</v>
      </c>
      <c r="I22" s="6">
        <v>7931526.1</v>
      </c>
      <c r="J22" s="6">
        <v>1.120899294E7</v>
      </c>
      <c r="K22" s="4">
        <f t="shared" si="2"/>
        <v>-3277466.84</v>
      </c>
      <c r="L22" s="4">
        <f>I22+Oct!L22</f>
        <v>325074046.9</v>
      </c>
      <c r="M22" s="4">
        <f>J22+Oct!M22</f>
        <v>314582996.9</v>
      </c>
      <c r="N22" s="4">
        <f t="shared" si="3"/>
        <v>10491049.94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7.913022608E9</v>
      </c>
      <c r="E23" s="6">
        <v>1.5669304E7</v>
      </c>
      <c r="F23" s="6">
        <f t="shared" si="1"/>
        <v>7897353304</v>
      </c>
      <c r="G23" s="6">
        <v>7.8271137E9</v>
      </c>
      <c r="H23" s="6">
        <v>13545.0</v>
      </c>
      <c r="I23" s="6">
        <v>927174.0</v>
      </c>
      <c r="J23" s="6">
        <v>6.3943211E7</v>
      </c>
      <c r="K23" s="4">
        <f t="shared" si="2"/>
        <v>-63016037</v>
      </c>
      <c r="L23" s="4">
        <f>I23+Oct!L23</f>
        <v>21118608</v>
      </c>
      <c r="M23" s="4">
        <f>J23+Oct!M23</f>
        <v>948829611.6</v>
      </c>
      <c r="N23" s="4">
        <f t="shared" si="3"/>
        <v>-927711003.6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1" t="s">
        <v>36</v>
      </c>
      <c r="D24" s="6">
        <v>3.43755504876E9</v>
      </c>
      <c r="E24" s="6">
        <v>485114.91</v>
      </c>
      <c r="F24" s="6">
        <f t="shared" si="1"/>
        <v>3437069934</v>
      </c>
      <c r="G24" s="6">
        <v>3.1214342951E9</v>
      </c>
      <c r="H24" s="6">
        <v>12071.0</v>
      </c>
      <c r="I24" s="6">
        <v>3.656423011E7</v>
      </c>
      <c r="J24" s="6">
        <v>2272955.73</v>
      </c>
      <c r="K24" s="4">
        <f t="shared" si="2"/>
        <v>34291274.38</v>
      </c>
      <c r="L24" s="4">
        <f>I24+Oct!L24</f>
        <v>474450590.9</v>
      </c>
      <c r="M24" s="4">
        <f>J24+Oct!M24</f>
        <v>36416053.65</v>
      </c>
      <c r="N24" s="4">
        <f t="shared" si="3"/>
        <v>438034537.2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f t="shared" si="4"/>
        <v>17</v>
      </c>
      <c r="C25" s="23" t="s">
        <v>37</v>
      </c>
      <c r="D25" s="6">
        <v>6.476055984E9</v>
      </c>
      <c r="E25" s="6">
        <v>3.3355178E7</v>
      </c>
      <c r="F25" s="6">
        <f t="shared" si="1"/>
        <v>6442700806</v>
      </c>
      <c r="G25" s="6">
        <v>6.283888936E9</v>
      </c>
      <c r="H25" s="6">
        <v>66904.0</v>
      </c>
      <c r="I25" s="6">
        <v>1.3929203E7</v>
      </c>
      <c r="J25" s="6">
        <v>3.8289943E7</v>
      </c>
      <c r="K25" s="4">
        <f t="shared" si="2"/>
        <v>-24360740</v>
      </c>
      <c r="L25" s="4">
        <f>I25+Oct!L25</f>
        <v>372006851.6</v>
      </c>
      <c r="M25" s="4">
        <f>J25+Oct!M25</f>
        <v>874617915.7</v>
      </c>
      <c r="N25" s="4">
        <f t="shared" si="3"/>
        <v>-502611064.1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f t="shared" si="4"/>
        <v>18</v>
      </c>
      <c r="C26" s="23" t="s">
        <v>38</v>
      </c>
      <c r="D26" s="6">
        <v>1.0768071364E10</v>
      </c>
      <c r="E26" s="6">
        <v>8.4439163E7</v>
      </c>
      <c r="F26" s="6">
        <f t="shared" si="1"/>
        <v>10683632201</v>
      </c>
      <c r="G26" s="6">
        <v>1.0648412917E10</v>
      </c>
      <c r="H26" s="6">
        <v>57817.0</v>
      </c>
      <c r="I26" s="6">
        <v>3.2985336E7</v>
      </c>
      <c r="J26" s="6">
        <v>1.48926625E8</v>
      </c>
      <c r="K26" s="4">
        <f t="shared" si="2"/>
        <v>-115941289</v>
      </c>
      <c r="L26" s="4">
        <f>I26+Oct!L26</f>
        <v>1470502341</v>
      </c>
      <c r="M26" s="4">
        <f>J26+Oct!M26</f>
        <v>2191730097</v>
      </c>
      <c r="N26" s="4">
        <f t="shared" si="3"/>
        <v>-721227756.8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5.8256223439E8</v>
      </c>
      <c r="E27" s="6">
        <v>3828155.46</v>
      </c>
      <c r="F27" s="6">
        <f t="shared" si="1"/>
        <v>578734078.9</v>
      </c>
      <c r="G27" s="6">
        <v>4.701583276E8</v>
      </c>
      <c r="H27" s="6">
        <v>1261.0</v>
      </c>
      <c r="I27" s="6">
        <v>378489.35</v>
      </c>
      <c r="J27" s="6">
        <v>182612.79</v>
      </c>
      <c r="K27" s="4">
        <f t="shared" si="2"/>
        <v>195876.56</v>
      </c>
      <c r="L27" s="4">
        <f>I27+Oct!L27</f>
        <v>9224820.38</v>
      </c>
      <c r="M27" s="4">
        <f>J27+Oct!M27</f>
        <v>9151776.13</v>
      </c>
      <c r="N27" s="4">
        <f t="shared" si="3"/>
        <v>73044.25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2.1327370537E8</v>
      </c>
      <c r="E29" s="6">
        <v>399100.31</v>
      </c>
      <c r="F29" s="6">
        <f t="shared" ref="F29:F32" si="5">D29-E29</f>
        <v>212874605.1</v>
      </c>
      <c r="G29" s="6">
        <v>2.0985370799E8</v>
      </c>
      <c r="H29" s="6">
        <v>2697.0</v>
      </c>
      <c r="I29" s="6">
        <v>4551181.29</v>
      </c>
      <c r="J29" s="6">
        <v>4129463.79</v>
      </c>
      <c r="K29" s="4">
        <f t="shared" ref="K29:K32" si="6">I29-J29</f>
        <v>421717.5</v>
      </c>
      <c r="L29" s="4">
        <f>I29+Oct!L29</f>
        <v>125647564.3</v>
      </c>
      <c r="M29" s="4">
        <f>J29+Oct!M29</f>
        <v>14846026.32</v>
      </c>
      <c r="N29" s="4">
        <f t="shared" ref="N29:N32" si="7">L29-M29</f>
        <v>110801538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132</v>
      </c>
      <c r="D30" s="6">
        <v>8.325192255E7</v>
      </c>
      <c r="E30" s="6">
        <v>5744536.83</v>
      </c>
      <c r="F30" s="6">
        <f t="shared" si="5"/>
        <v>77507385.72</v>
      </c>
      <c r="G30" s="6">
        <v>4159530.0</v>
      </c>
      <c r="H30" s="6">
        <v>1106.0</v>
      </c>
      <c r="I30" s="6">
        <v>2.679721621E7</v>
      </c>
      <c r="J30" s="6">
        <v>406280.55</v>
      </c>
      <c r="K30" s="4">
        <f t="shared" si="6"/>
        <v>26390935.66</v>
      </c>
      <c r="L30" s="4">
        <f>I30+Oct!L30</f>
        <v>78431814.46</v>
      </c>
      <c r="M30" s="4">
        <f>J30+Oct!M30</f>
        <v>421266.05</v>
      </c>
      <c r="N30" s="4">
        <f t="shared" si="7"/>
        <v>78010548.41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42</v>
      </c>
      <c r="D31" s="6">
        <v>3.0469016489E8</v>
      </c>
      <c r="E31" s="6">
        <v>906845.95</v>
      </c>
      <c r="F31" s="6">
        <f t="shared" si="5"/>
        <v>303783318.9</v>
      </c>
      <c r="G31" s="6">
        <v>2.73837158E8</v>
      </c>
      <c r="H31" s="6">
        <v>1305.0</v>
      </c>
      <c r="I31" s="6">
        <v>958843.69</v>
      </c>
      <c r="J31" s="6">
        <v>236416.85</v>
      </c>
      <c r="K31" s="4">
        <f t="shared" si="6"/>
        <v>722426.84</v>
      </c>
      <c r="L31" s="4">
        <f>I31+Oct!L31</f>
        <v>18613187.22</v>
      </c>
      <c r="M31" s="4">
        <f>J31+Oct!M31</f>
        <v>32860229.41</v>
      </c>
      <c r="N31" s="4">
        <f t="shared" si="7"/>
        <v>-14247042.19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6.13430984E8</v>
      </c>
      <c r="E32" s="6">
        <v>1.8620134E7</v>
      </c>
      <c r="F32" s="6">
        <f t="shared" si="5"/>
        <v>594810850</v>
      </c>
      <c r="G32" s="6">
        <v>5.88530843E8</v>
      </c>
      <c r="H32" s="6">
        <v>566601.0</v>
      </c>
      <c r="I32" s="6">
        <v>2.8326533E7</v>
      </c>
      <c r="J32" s="6">
        <v>8465575.0</v>
      </c>
      <c r="K32" s="4">
        <f t="shared" si="6"/>
        <v>19860958</v>
      </c>
      <c r="L32" s="4">
        <f>I32+Oct!L32</f>
        <v>324496480.4</v>
      </c>
      <c r="M32" s="4">
        <f>J32+Oct!M32</f>
        <v>190231658.4</v>
      </c>
      <c r="N32" s="4">
        <f t="shared" si="7"/>
        <v>134264821.9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43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44</v>
      </c>
      <c r="D34" s="6">
        <v>2.071287173E9</v>
      </c>
      <c r="E34" s="6">
        <v>1730098.0</v>
      </c>
      <c r="F34" s="6">
        <f>D34-E34</f>
        <v>2069557075</v>
      </c>
      <c r="G34" s="6">
        <v>2.061298032E9</v>
      </c>
      <c r="H34" s="6">
        <v>3315.0</v>
      </c>
      <c r="I34" s="6">
        <v>3861902.0</v>
      </c>
      <c r="J34" s="6">
        <v>0.0</v>
      </c>
      <c r="K34" s="4">
        <f>I34-J34</f>
        <v>3861902</v>
      </c>
      <c r="L34" s="4">
        <f>I34+Oct!L34</f>
        <v>74078205</v>
      </c>
      <c r="M34" s="4">
        <f>J34+Oct!M34</f>
        <v>155925336</v>
      </c>
      <c r="N34" s="4">
        <f>L34-M34</f>
        <v>-81847131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4" t="s">
        <v>45</v>
      </c>
      <c r="B35" s="25"/>
      <c r="C35" s="1"/>
      <c r="D35" s="54">
        <f t="shared" ref="D35:N35" si="9">SUM(D9:D34)</f>
        <v>63490321790</v>
      </c>
      <c r="E35" s="54">
        <f t="shared" si="9"/>
        <v>341938284.2</v>
      </c>
      <c r="F35" s="54">
        <f t="shared" si="9"/>
        <v>63148383506</v>
      </c>
      <c r="G35" s="54">
        <f t="shared" si="9"/>
        <v>59878430476</v>
      </c>
      <c r="H35" s="27">
        <f t="shared" si="9"/>
        <v>849448</v>
      </c>
      <c r="I35" s="54">
        <f t="shared" si="9"/>
        <v>194955094.3</v>
      </c>
      <c r="J35" s="54">
        <f t="shared" si="9"/>
        <v>390964351.6</v>
      </c>
      <c r="K35" s="54">
        <f t="shared" si="9"/>
        <v>-196009257.3</v>
      </c>
      <c r="L35" s="54">
        <f t="shared" si="9"/>
        <v>4637208913</v>
      </c>
      <c r="M35" s="54">
        <f t="shared" si="9"/>
        <v>7578770728</v>
      </c>
      <c r="N35" s="54">
        <f t="shared" si="9"/>
        <v>-2941561815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46</v>
      </c>
      <c r="B36" s="2"/>
      <c r="C36" s="3"/>
      <c r="D36" s="6"/>
      <c r="E36" s="6"/>
      <c r="F36" s="6"/>
      <c r="G36" s="6"/>
      <c r="H36" s="20"/>
      <c r="I36" s="6"/>
      <c r="J36" s="4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47</v>
      </c>
      <c r="D37" s="6">
        <v>2.569402598E7</v>
      </c>
      <c r="E37" s="6">
        <v>726986.66</v>
      </c>
      <c r="F37" s="6">
        <f t="shared" ref="F37:F38" si="10">D37-E37</f>
        <v>24967039.32</v>
      </c>
      <c r="G37" s="6">
        <v>2.412678335E7</v>
      </c>
      <c r="H37" s="6">
        <v>52.0</v>
      </c>
      <c r="I37" s="6">
        <v>74815.42</v>
      </c>
      <c r="J37" s="6">
        <v>0.0</v>
      </c>
      <c r="K37" s="4">
        <f t="shared" ref="K37:K38" si="11">I37-J37</f>
        <v>74815.42</v>
      </c>
      <c r="L37" s="4">
        <f>I37+Oct!L37</f>
        <v>289330.0781</v>
      </c>
      <c r="M37" s="4">
        <f>J37+Oct!M37</f>
        <v>507245.9939</v>
      </c>
      <c r="N37" s="4">
        <f t="shared" ref="N37:N38" si="12">L37-M37</f>
        <v>-217915.9158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48</v>
      </c>
      <c r="D38" s="6">
        <v>1.91978067E9</v>
      </c>
      <c r="E38" s="6">
        <v>1.4615505E7</v>
      </c>
      <c r="F38" s="6">
        <f t="shared" si="10"/>
        <v>1905165165</v>
      </c>
      <c r="G38" s="6">
        <v>0.0</v>
      </c>
      <c r="H38" s="6">
        <v>2925.0</v>
      </c>
      <c r="I38" s="6">
        <v>8334624.0</v>
      </c>
      <c r="J38" s="6">
        <v>1.083604E7</v>
      </c>
      <c r="K38" s="4">
        <f t="shared" si="11"/>
        <v>-2501416</v>
      </c>
      <c r="L38" s="4">
        <f>I38+Oct!L38</f>
        <v>72156260.47</v>
      </c>
      <c r="M38" s="4">
        <f>J38+Oct!M38</f>
        <v>174218147.4</v>
      </c>
      <c r="N38" s="4">
        <f t="shared" si="12"/>
        <v>-102061887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4" t="s">
        <v>49</v>
      </c>
      <c r="B39" s="25"/>
      <c r="C39" s="1"/>
      <c r="D39" s="54">
        <f t="shared" ref="D39:N39" si="13">SUM(D37:D38)</f>
        <v>1945474696</v>
      </c>
      <c r="E39" s="54">
        <f t="shared" si="13"/>
        <v>15342491.66</v>
      </c>
      <c r="F39" s="54">
        <f t="shared" si="13"/>
        <v>1930132204</v>
      </c>
      <c r="G39" s="54">
        <f t="shared" si="13"/>
        <v>24126783.35</v>
      </c>
      <c r="H39" s="27">
        <f t="shared" si="13"/>
        <v>2977</v>
      </c>
      <c r="I39" s="54">
        <f t="shared" si="13"/>
        <v>8409439.42</v>
      </c>
      <c r="J39" s="54">
        <f t="shared" si="13"/>
        <v>10836040</v>
      </c>
      <c r="K39" s="54">
        <f t="shared" si="13"/>
        <v>-2426600.58</v>
      </c>
      <c r="L39" s="54">
        <f t="shared" si="13"/>
        <v>72445590.55</v>
      </c>
      <c r="M39" s="54">
        <f t="shared" si="13"/>
        <v>174725393.4</v>
      </c>
      <c r="N39" s="54">
        <f t="shared" si="13"/>
        <v>-102279802.9</v>
      </c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50</v>
      </c>
      <c r="B40" s="25"/>
      <c r="C40" s="1"/>
      <c r="D40" s="54">
        <f t="shared" ref="D40:N40" si="14">D35+D39</f>
        <v>65435796486</v>
      </c>
      <c r="E40" s="54">
        <f t="shared" si="14"/>
        <v>357280775.9</v>
      </c>
      <c r="F40" s="54">
        <f t="shared" si="14"/>
        <v>65078515710</v>
      </c>
      <c r="G40" s="54">
        <f t="shared" si="14"/>
        <v>59902557259</v>
      </c>
      <c r="H40" s="27">
        <f t="shared" si="14"/>
        <v>852425</v>
      </c>
      <c r="I40" s="54">
        <f t="shared" si="14"/>
        <v>203364533.7</v>
      </c>
      <c r="J40" s="54">
        <f t="shared" si="14"/>
        <v>401800391.6</v>
      </c>
      <c r="K40" s="54">
        <f t="shared" si="14"/>
        <v>-198435857.9</v>
      </c>
      <c r="L40" s="54">
        <f t="shared" si="14"/>
        <v>4709654504</v>
      </c>
      <c r="M40" s="54">
        <f t="shared" si="14"/>
        <v>7753496121</v>
      </c>
      <c r="N40" s="54">
        <f t="shared" si="14"/>
        <v>-3043841618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51</v>
      </c>
      <c r="B41" s="2"/>
      <c r="C41" s="3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0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18"/>
      <c r="B43" s="2">
        <f>1+B38</f>
        <v>27</v>
      </c>
      <c r="C43" s="3" t="s">
        <v>52</v>
      </c>
      <c r="D43" s="6">
        <v>1.2102431872E8</v>
      </c>
      <c r="E43" s="6">
        <v>5353254.85</v>
      </c>
      <c r="F43" s="6">
        <f t="shared" ref="F43:F52" si="15">D43-E43</f>
        <v>115671063.9</v>
      </c>
      <c r="G43" s="6">
        <v>5.0727812E7</v>
      </c>
      <c r="H43" s="5">
        <v>710.0</v>
      </c>
      <c r="I43" s="6">
        <v>115096.32</v>
      </c>
      <c r="J43" s="4">
        <v>92255.31</v>
      </c>
      <c r="K43" s="4">
        <f t="shared" ref="K43:K52" si="16">I43-J43</f>
        <v>22841.01</v>
      </c>
      <c r="L43" s="4">
        <f>I43+Oct!L43</f>
        <v>3623762.49</v>
      </c>
      <c r="M43" s="4">
        <f>J43+Oct!M43</f>
        <v>4498426.18</v>
      </c>
      <c r="N43" s="4">
        <f t="shared" ref="N43:N52" si="17">L43-M43</f>
        <v>-874663.69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53</v>
      </c>
      <c r="D44" s="6">
        <v>5.3959001725E8</v>
      </c>
      <c r="E44" s="6">
        <v>4.720430914E7</v>
      </c>
      <c r="F44" s="6">
        <f t="shared" si="15"/>
        <v>492385708.1</v>
      </c>
      <c r="G44" s="6">
        <v>2.859555968E8</v>
      </c>
      <c r="H44" s="5">
        <v>2371.0</v>
      </c>
      <c r="I44" s="6">
        <v>595709.08</v>
      </c>
      <c r="J44" s="4">
        <v>1388028.46</v>
      </c>
      <c r="K44" s="4">
        <f t="shared" si="16"/>
        <v>-792319.38</v>
      </c>
      <c r="L44" s="4">
        <f>I44+Oct!L44</f>
        <v>8792619.54</v>
      </c>
      <c r="M44" s="4">
        <f>J44+Oct!M44</f>
        <v>113517039.1</v>
      </c>
      <c r="N44" s="4">
        <f t="shared" si="17"/>
        <v>-104724419.5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54</v>
      </c>
      <c r="D45" s="6">
        <v>9.37196088E8</v>
      </c>
      <c r="E45" s="6">
        <v>3633479.0</v>
      </c>
      <c r="F45" s="6">
        <f t="shared" si="15"/>
        <v>933562609</v>
      </c>
      <c r="G45" s="6">
        <v>4.38734059E8</v>
      </c>
      <c r="H45" s="5">
        <v>4471.0</v>
      </c>
      <c r="I45" s="6">
        <v>879549.0</v>
      </c>
      <c r="J45" s="4">
        <v>3702832.0</v>
      </c>
      <c r="K45" s="4">
        <f t="shared" si="16"/>
        <v>-2823283</v>
      </c>
      <c r="L45" s="4">
        <f>I45+Oct!L45</f>
        <v>19887456.55</v>
      </c>
      <c r="M45" s="4">
        <f>J45+Oct!M45</f>
        <v>121378448.1</v>
      </c>
      <c r="N45" s="4">
        <f t="shared" si="17"/>
        <v>-101490991.5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55</v>
      </c>
      <c r="D46" s="6">
        <v>2.7749537E8</v>
      </c>
      <c r="E46" s="6">
        <v>1141915.0</v>
      </c>
      <c r="F46" s="6">
        <f t="shared" si="15"/>
        <v>276353455</v>
      </c>
      <c r="G46" s="6">
        <v>1.52443885E8</v>
      </c>
      <c r="H46" s="5">
        <v>237.0</v>
      </c>
      <c r="I46" s="6">
        <v>35013.0</v>
      </c>
      <c r="J46" s="4">
        <v>114457.0</v>
      </c>
      <c r="K46" s="4">
        <f t="shared" si="16"/>
        <v>-79444</v>
      </c>
      <c r="L46" s="4">
        <f>I46+Oct!L46</f>
        <v>41133531.27</v>
      </c>
      <c r="M46" s="4">
        <f>J46+Oct!M46</f>
        <v>51350347.26</v>
      </c>
      <c r="N46" s="4">
        <f t="shared" si="17"/>
        <v>-10216815.99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56</v>
      </c>
      <c r="D47" s="6">
        <v>3.3206286241E8</v>
      </c>
      <c r="E47" s="6">
        <v>1543053.94</v>
      </c>
      <c r="F47" s="6">
        <f t="shared" si="15"/>
        <v>330519808.5</v>
      </c>
      <c r="G47" s="6">
        <v>1.4972773925E8</v>
      </c>
      <c r="H47" s="5">
        <v>50.0</v>
      </c>
      <c r="I47" s="6">
        <v>0.0</v>
      </c>
      <c r="J47" s="4">
        <v>315722.75</v>
      </c>
      <c r="K47" s="4">
        <f t="shared" si="16"/>
        <v>-315722.75</v>
      </c>
      <c r="L47" s="4">
        <f>I47+Oct!L47</f>
        <v>0</v>
      </c>
      <c r="M47" s="4">
        <f>J47+Oct!M47</f>
        <v>3026041.75</v>
      </c>
      <c r="N47" s="4">
        <f t="shared" si="17"/>
        <v>-3026041.75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57</v>
      </c>
      <c r="D48" s="6">
        <v>5.10303297E8</v>
      </c>
      <c r="E48" s="6">
        <v>1.7443608E7</v>
      </c>
      <c r="F48" s="6">
        <f t="shared" si="15"/>
        <v>492859689</v>
      </c>
      <c r="G48" s="6">
        <v>2.5116673E8</v>
      </c>
      <c r="H48" s="5">
        <v>9922.0</v>
      </c>
      <c r="I48" s="6">
        <v>188046.0</v>
      </c>
      <c r="J48" s="4">
        <v>5493989.0</v>
      </c>
      <c r="K48" s="4">
        <f t="shared" si="16"/>
        <v>-5305943</v>
      </c>
      <c r="L48" s="4">
        <f>I48+Oct!L48</f>
        <v>3550280.86</v>
      </c>
      <c r="M48" s="4">
        <f>J48+Oct!M48</f>
        <v>62971221.57</v>
      </c>
      <c r="N48" s="4">
        <f t="shared" si="17"/>
        <v>-59420940.71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58</v>
      </c>
      <c r="D49" s="6">
        <v>1.966766266E9</v>
      </c>
      <c r="E49" s="6">
        <v>2.4351071E7</v>
      </c>
      <c r="F49" s="6">
        <f t="shared" si="15"/>
        <v>1942415195</v>
      </c>
      <c r="G49" s="6">
        <v>9.498078182E8</v>
      </c>
      <c r="H49" s="5">
        <v>7862.0</v>
      </c>
      <c r="I49" s="6">
        <v>895524.0</v>
      </c>
      <c r="J49" s="4">
        <v>9947188.0</v>
      </c>
      <c r="K49" s="4">
        <f t="shared" si="16"/>
        <v>-9051664</v>
      </c>
      <c r="L49" s="4">
        <f>I49+Oct!L49</f>
        <v>23412437.04</v>
      </c>
      <c r="M49" s="4">
        <f>J49+Oct!M49</f>
        <v>157141060.4</v>
      </c>
      <c r="N49" s="4">
        <f t="shared" si="17"/>
        <v>-133728623.4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59</v>
      </c>
      <c r="D50" s="6">
        <v>1.17347272E8</v>
      </c>
      <c r="E50" s="6">
        <v>193058.0</v>
      </c>
      <c r="F50" s="6">
        <f t="shared" si="15"/>
        <v>117154214</v>
      </c>
      <c r="G50" s="6">
        <v>6.0196204E7</v>
      </c>
      <c r="H50" s="5">
        <v>186.0</v>
      </c>
      <c r="I50" s="6">
        <v>0.0</v>
      </c>
      <c r="J50" s="4">
        <v>48623.0</v>
      </c>
      <c r="K50" s="4">
        <f t="shared" si="16"/>
        <v>-48623</v>
      </c>
      <c r="L50" s="4">
        <f>I50+Oct!L50</f>
        <v>246291.67</v>
      </c>
      <c r="M50" s="4">
        <f>J50+Oct!M50</f>
        <v>20366112.55</v>
      </c>
      <c r="N50" s="4">
        <f t="shared" si="17"/>
        <v>-20119820.88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60</v>
      </c>
      <c r="D51" s="6">
        <v>6.69894496E9</v>
      </c>
      <c r="E51" s="6">
        <v>3.1354907E7</v>
      </c>
      <c r="F51" s="6">
        <f t="shared" si="15"/>
        <v>6667590053</v>
      </c>
      <c r="G51" s="6">
        <v>3.615606691E9</v>
      </c>
      <c r="H51" s="5">
        <v>54104.0</v>
      </c>
      <c r="I51" s="6">
        <v>6877098.0</v>
      </c>
      <c r="J51" s="4">
        <v>6.5311256E7</v>
      </c>
      <c r="K51" s="4">
        <f t="shared" si="16"/>
        <v>-58434158</v>
      </c>
      <c r="L51" s="4">
        <f>I51+Oct!L51</f>
        <v>94434260.15</v>
      </c>
      <c r="M51" s="4">
        <f>J51+Oct!M51</f>
        <v>663121438.2</v>
      </c>
      <c r="N51" s="4">
        <f t="shared" si="17"/>
        <v>-568687178.1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61</v>
      </c>
      <c r="D52" s="6">
        <v>6.41986809E8</v>
      </c>
      <c r="E52" s="6">
        <v>1.0777034E7</v>
      </c>
      <c r="F52" s="6">
        <f t="shared" si="15"/>
        <v>631209775</v>
      </c>
      <c r="G52" s="6">
        <v>3.78609533E8</v>
      </c>
      <c r="H52" s="5">
        <v>4999.0</v>
      </c>
      <c r="I52" s="6">
        <v>0.0</v>
      </c>
      <c r="J52" s="4">
        <v>6747516.0</v>
      </c>
      <c r="K52" s="4">
        <f t="shared" si="16"/>
        <v>-6747516</v>
      </c>
      <c r="L52" s="4">
        <f>I52+Oct!L52</f>
        <v>0</v>
      </c>
      <c r="M52" s="4">
        <f>J52+Oct!M52</f>
        <v>514765772.8</v>
      </c>
      <c r="N52" s="4">
        <f t="shared" si="17"/>
        <v>-514765772.8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5"/>
      <c r="I53" s="6"/>
      <c r="J53" s="4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62</v>
      </c>
      <c r="D54" s="6">
        <v>7.7619791E7</v>
      </c>
      <c r="E54" s="6">
        <v>447361.0</v>
      </c>
      <c r="F54" s="6">
        <f t="shared" ref="F54:F56" si="19">D54-E54</f>
        <v>77172430</v>
      </c>
      <c r="G54" s="6">
        <v>2.2747305E7</v>
      </c>
      <c r="H54" s="5">
        <v>1156.0</v>
      </c>
      <c r="I54" s="6">
        <v>480771.0</v>
      </c>
      <c r="J54" s="4">
        <v>81965.0</v>
      </c>
      <c r="K54" s="4">
        <f t="shared" ref="K54:K56" si="20">I54-J54</f>
        <v>398806</v>
      </c>
      <c r="L54" s="4">
        <f>I54+Oct!L54</f>
        <v>5454491.2</v>
      </c>
      <c r="M54" s="4">
        <f>J54+Oct!M54</f>
        <v>3524853.55</v>
      </c>
      <c r="N54" s="4">
        <f t="shared" ref="N54:N56" si="21">L54-M54</f>
        <v>1929637.65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63</v>
      </c>
      <c r="D55" s="6">
        <v>5.3930245E7</v>
      </c>
      <c r="E55" s="6">
        <v>321135.0</v>
      </c>
      <c r="F55" s="6">
        <f t="shared" si="19"/>
        <v>53609110</v>
      </c>
      <c r="G55" s="6">
        <v>4.1423795E7</v>
      </c>
      <c r="H55" s="5">
        <v>456.0</v>
      </c>
      <c r="I55" s="6">
        <v>277067.0</v>
      </c>
      <c r="J55" s="4">
        <v>152242.0</v>
      </c>
      <c r="K55" s="4">
        <f t="shared" si="20"/>
        <v>124825</v>
      </c>
      <c r="L55" s="4">
        <f>I55+Oct!L55</f>
        <v>2020693</v>
      </c>
      <c r="M55" s="4">
        <f>J55+Oct!M55</f>
        <v>2204636.19</v>
      </c>
      <c r="N55" s="4">
        <f t="shared" si="21"/>
        <v>-183943.19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64</v>
      </c>
      <c r="D56" s="6">
        <v>4.5669422E7</v>
      </c>
      <c r="E56" s="6">
        <v>336650.0</v>
      </c>
      <c r="F56" s="6">
        <f t="shared" si="19"/>
        <v>45332772</v>
      </c>
      <c r="G56" s="6">
        <v>3.7756885E7</v>
      </c>
      <c r="H56" s="5">
        <v>210.0</v>
      </c>
      <c r="I56" s="6">
        <v>68134.0</v>
      </c>
      <c r="J56" s="4">
        <v>35091.0</v>
      </c>
      <c r="K56" s="4">
        <f t="shared" si="20"/>
        <v>33043</v>
      </c>
      <c r="L56" s="4">
        <f>I56+Oct!L56</f>
        <v>622175</v>
      </c>
      <c r="M56" s="4">
        <f>J56+Oct!M56</f>
        <v>267981.96</v>
      </c>
      <c r="N56" s="4">
        <f t="shared" si="21"/>
        <v>354193.04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4" t="s">
        <v>45</v>
      </c>
      <c r="B57" s="24"/>
      <c r="C57" s="1"/>
      <c r="D57" s="54">
        <f t="shared" ref="D57:G57" si="23">SUM(D43:D56)</f>
        <v>12319936718</v>
      </c>
      <c r="E57" s="54">
        <f t="shared" si="23"/>
        <v>144100835.9</v>
      </c>
      <c r="F57" s="54">
        <f t="shared" si="23"/>
        <v>12175835882</v>
      </c>
      <c r="G57" s="54">
        <f t="shared" si="23"/>
        <v>6434904053</v>
      </c>
      <c r="H57" s="27">
        <f>SUM(H42:H56)</f>
        <v>86734</v>
      </c>
      <c r="I57" s="54">
        <f t="shared" ref="I57:N57" si="24">SUM(I43:I56)</f>
        <v>10412007.4</v>
      </c>
      <c r="J57" s="54">
        <f t="shared" si="24"/>
        <v>93431165.52</v>
      </c>
      <c r="K57" s="54">
        <f t="shared" si="24"/>
        <v>-83019158.12</v>
      </c>
      <c r="L57" s="54">
        <f t="shared" si="24"/>
        <v>203177998.8</v>
      </c>
      <c r="M57" s="54">
        <f t="shared" si="24"/>
        <v>1718133380</v>
      </c>
      <c r="N57" s="54">
        <f t="shared" si="24"/>
        <v>-1514955381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46</v>
      </c>
      <c r="B58" s="2"/>
      <c r="C58" s="3"/>
      <c r="D58" s="6"/>
      <c r="E58" s="6"/>
      <c r="F58" s="6"/>
      <c r="G58" s="6"/>
      <c r="H58" s="20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108</v>
      </c>
      <c r="D59" s="6">
        <v>7.044808438E7</v>
      </c>
      <c r="E59" s="6">
        <v>562580.73</v>
      </c>
      <c r="F59" s="6">
        <f t="shared" ref="F59:F62" si="25">D59-E59</f>
        <v>69885503.65</v>
      </c>
      <c r="G59" s="6">
        <v>0.0</v>
      </c>
      <c r="H59" s="20">
        <v>50.0</v>
      </c>
      <c r="I59" s="6">
        <v>0.0</v>
      </c>
      <c r="J59" s="6">
        <v>509332.33</v>
      </c>
      <c r="K59" s="4">
        <f t="shared" ref="K59:K62" si="26">I59-J59</f>
        <v>-509332.33</v>
      </c>
      <c r="L59" s="4">
        <f>I59+Oct!L59</f>
        <v>0</v>
      </c>
      <c r="M59" s="4">
        <f>J59+Oct!M59</f>
        <v>988511.6892</v>
      </c>
      <c r="N59" s="4">
        <f t="shared" ref="N59:N62" si="27">L59-M59</f>
        <v>-988511.6892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66</v>
      </c>
      <c r="D60" s="6">
        <v>3.32248994E8</v>
      </c>
      <c r="E60" s="6">
        <v>2.9780619E7</v>
      </c>
      <c r="F60" s="6">
        <f t="shared" si="25"/>
        <v>302468375</v>
      </c>
      <c r="G60" s="6">
        <v>1.62752824E8</v>
      </c>
      <c r="H60" s="20">
        <v>243.0</v>
      </c>
      <c r="I60" s="6">
        <v>0.0</v>
      </c>
      <c r="J60" s="6">
        <v>1362082.0</v>
      </c>
      <c r="K60" s="4">
        <f t="shared" si="26"/>
        <v>-1362082</v>
      </c>
      <c r="L60" s="4">
        <f>I60+Oct!L60</f>
        <v>5631.4684</v>
      </c>
      <c r="M60" s="4">
        <f>J60+Oct!M60</f>
        <v>19461197.77</v>
      </c>
      <c r="N60" s="4">
        <f t="shared" si="27"/>
        <v>-19455566.3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67</v>
      </c>
      <c r="D61" s="6">
        <v>1.469047093E9</v>
      </c>
      <c r="E61" s="6">
        <v>8119878.0</v>
      </c>
      <c r="F61" s="6">
        <f t="shared" si="25"/>
        <v>1460927215</v>
      </c>
      <c r="G61" s="6">
        <v>0.0</v>
      </c>
      <c r="H61" s="20">
        <v>4160.0</v>
      </c>
      <c r="I61" s="6">
        <v>1875790.0</v>
      </c>
      <c r="J61" s="6">
        <v>1.2453003E7</v>
      </c>
      <c r="K61" s="4">
        <f t="shared" si="26"/>
        <v>-10577213</v>
      </c>
      <c r="L61" s="4">
        <f>I61+Oct!L61</f>
        <v>17637667.29</v>
      </c>
      <c r="M61" s="4">
        <f>J61+Oct!M61</f>
        <v>178780392.2</v>
      </c>
      <c r="N61" s="4">
        <f t="shared" si="27"/>
        <v>-161142725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68</v>
      </c>
      <c r="D62" s="6">
        <v>2.54796816E8</v>
      </c>
      <c r="E62" s="6">
        <v>1287808.0</v>
      </c>
      <c r="F62" s="6">
        <f t="shared" si="25"/>
        <v>253509008</v>
      </c>
      <c r="G62" s="6">
        <v>0.0</v>
      </c>
      <c r="H62" s="20">
        <v>738.0</v>
      </c>
      <c r="I62" s="6">
        <v>76014.0</v>
      </c>
      <c r="J62" s="6">
        <v>2489376.0</v>
      </c>
      <c r="K62" s="4">
        <f t="shared" si="26"/>
        <v>-2413362</v>
      </c>
      <c r="L62" s="4">
        <f>I62+Oct!L62</f>
        <v>9792818.064</v>
      </c>
      <c r="M62" s="4">
        <f>J62+Oct!M62</f>
        <v>55937703.42</v>
      </c>
      <c r="N62" s="4">
        <f t="shared" si="27"/>
        <v>-46144885.35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4" t="s">
        <v>49</v>
      </c>
      <c r="B63" s="25"/>
      <c r="C63" s="1"/>
      <c r="D63" s="54">
        <f t="shared" ref="D63:N63" si="29">SUM(D59:D62)</f>
        <v>2126540987</v>
      </c>
      <c r="E63" s="54">
        <f t="shared" si="29"/>
        <v>39750885.73</v>
      </c>
      <c r="F63" s="54">
        <f t="shared" si="29"/>
        <v>2086790102</v>
      </c>
      <c r="G63" s="54">
        <f t="shared" si="29"/>
        <v>162752824</v>
      </c>
      <c r="H63" s="27">
        <f t="shared" si="29"/>
        <v>5191</v>
      </c>
      <c r="I63" s="54">
        <f t="shared" si="29"/>
        <v>1951804</v>
      </c>
      <c r="J63" s="54">
        <f t="shared" si="29"/>
        <v>16813793.33</v>
      </c>
      <c r="K63" s="54">
        <f t="shared" si="29"/>
        <v>-14861989.33</v>
      </c>
      <c r="L63" s="54">
        <f t="shared" si="29"/>
        <v>27436116.82</v>
      </c>
      <c r="M63" s="54">
        <f t="shared" si="29"/>
        <v>255167805.1</v>
      </c>
      <c r="N63" s="54">
        <f t="shared" si="29"/>
        <v>-227731688.3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69</v>
      </c>
      <c r="B64" s="25"/>
      <c r="C64" s="1"/>
      <c r="D64" s="54">
        <f t="shared" ref="D64:N64" si="30">D57+D63</f>
        <v>14446477706</v>
      </c>
      <c r="E64" s="54">
        <f t="shared" si="30"/>
        <v>183851721.7</v>
      </c>
      <c r="F64" s="54">
        <f t="shared" si="30"/>
        <v>14262625984</v>
      </c>
      <c r="G64" s="54">
        <f t="shared" si="30"/>
        <v>6597656877</v>
      </c>
      <c r="H64" s="27">
        <f t="shared" si="30"/>
        <v>91925</v>
      </c>
      <c r="I64" s="54">
        <f t="shared" si="30"/>
        <v>12363811.4</v>
      </c>
      <c r="J64" s="54">
        <f t="shared" si="30"/>
        <v>110244958.9</v>
      </c>
      <c r="K64" s="54">
        <f t="shared" si="30"/>
        <v>-97881147.45</v>
      </c>
      <c r="L64" s="54">
        <f t="shared" si="30"/>
        <v>230614115.6</v>
      </c>
      <c r="M64" s="54">
        <f t="shared" si="30"/>
        <v>1973301185</v>
      </c>
      <c r="N64" s="54">
        <f t="shared" si="30"/>
        <v>-1742687069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70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0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71</v>
      </c>
      <c r="D67" s="6">
        <v>3.7483605402E10</v>
      </c>
      <c r="E67" s="6">
        <v>3.60431313E8</v>
      </c>
      <c r="F67" s="6">
        <f t="shared" ref="F67:F77" si="31">D67-E67</f>
        <v>37123174089</v>
      </c>
      <c r="G67" s="6">
        <v>0.0</v>
      </c>
      <c r="H67" s="20">
        <v>23666.0</v>
      </c>
      <c r="I67" s="6">
        <v>1.70864583E8</v>
      </c>
      <c r="J67" s="4">
        <v>5.02383923E8</v>
      </c>
      <c r="K67" s="4">
        <f t="shared" ref="K67:K77" si="32">I67-J67</f>
        <v>-331519340</v>
      </c>
      <c r="L67" s="4">
        <f>I67+Oct!L67</f>
        <v>2369189204</v>
      </c>
      <c r="M67" s="4">
        <f>J67+Oct!M67</f>
        <v>6145222678</v>
      </c>
      <c r="N67" s="4">
        <f t="shared" ref="N67:N77" si="33">L67-M67</f>
        <v>-3776033474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72</v>
      </c>
      <c r="D68" s="6">
        <v>4.3868236079E8</v>
      </c>
      <c r="E68" s="6">
        <v>6256297.92</v>
      </c>
      <c r="F68" s="6">
        <f t="shared" si="31"/>
        <v>432426062.9</v>
      </c>
      <c r="G68" s="6">
        <v>0.0</v>
      </c>
      <c r="H68" s="20">
        <v>1051.0</v>
      </c>
      <c r="I68" s="6">
        <v>6164333.01</v>
      </c>
      <c r="J68" s="4">
        <v>3530828.5</v>
      </c>
      <c r="K68" s="4">
        <f t="shared" si="32"/>
        <v>2633504.51</v>
      </c>
      <c r="L68" s="4">
        <f>I68+Oct!L68</f>
        <v>88385561.78</v>
      </c>
      <c r="M68" s="4">
        <f>J68+Oct!M68</f>
        <v>125791140.9</v>
      </c>
      <c r="N68" s="4">
        <f t="shared" si="33"/>
        <v>-37405579.15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73</v>
      </c>
      <c r="D69" s="6">
        <v>9.2195821612E8</v>
      </c>
      <c r="E69" s="6">
        <v>1.736085427E7</v>
      </c>
      <c r="F69" s="6">
        <f t="shared" si="31"/>
        <v>904597361.9</v>
      </c>
      <c r="G69" s="6">
        <v>0.0</v>
      </c>
      <c r="H69" s="20">
        <v>1876.0</v>
      </c>
      <c r="I69" s="6">
        <v>1756671.85</v>
      </c>
      <c r="J69" s="4">
        <v>6018451.65</v>
      </c>
      <c r="K69" s="4">
        <f t="shared" si="32"/>
        <v>-4261779.8</v>
      </c>
      <c r="L69" s="4">
        <f>I69+Oct!L69</f>
        <v>54367916.78</v>
      </c>
      <c r="M69" s="4">
        <f>J69+Oct!M69</f>
        <v>171486025.4</v>
      </c>
      <c r="N69" s="4">
        <f t="shared" si="33"/>
        <v>-117118108.6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74</v>
      </c>
      <c r="D70" s="6">
        <v>1.96712905E8</v>
      </c>
      <c r="E70" s="6">
        <v>243385.0</v>
      </c>
      <c r="F70" s="6">
        <f t="shared" si="31"/>
        <v>196469520</v>
      </c>
      <c r="G70" s="6">
        <v>0.0</v>
      </c>
      <c r="H70" s="20">
        <v>178.0</v>
      </c>
      <c r="I70" s="6">
        <v>0.0</v>
      </c>
      <c r="J70" s="4">
        <v>2134289.0</v>
      </c>
      <c r="K70" s="4">
        <f t="shared" si="32"/>
        <v>-2134289</v>
      </c>
      <c r="L70" s="4">
        <f>I70+Oct!L70</f>
        <v>5411183.85</v>
      </c>
      <c r="M70" s="4">
        <f>J70+Oct!M70</f>
        <v>9199849.64</v>
      </c>
      <c r="N70" s="4">
        <f t="shared" si="33"/>
        <v>-3788665.79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75</v>
      </c>
      <c r="D71" s="6">
        <v>1.283818527E9</v>
      </c>
      <c r="E71" s="6">
        <v>5137368.0</v>
      </c>
      <c r="F71" s="6">
        <f t="shared" si="31"/>
        <v>1278681159</v>
      </c>
      <c r="G71" s="6">
        <v>0.0</v>
      </c>
      <c r="H71" s="20">
        <v>1813.0</v>
      </c>
      <c r="I71" s="6">
        <v>4125827.0</v>
      </c>
      <c r="J71" s="4">
        <v>1550249.0</v>
      </c>
      <c r="K71" s="4">
        <f t="shared" si="32"/>
        <v>2575578</v>
      </c>
      <c r="L71" s="4">
        <f>I71+Oct!L71</f>
        <v>302356495.1</v>
      </c>
      <c r="M71" s="4">
        <f>J71+Oct!M71</f>
        <v>333579877.7</v>
      </c>
      <c r="N71" s="4">
        <f t="shared" si="33"/>
        <v>-31223382.54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76</v>
      </c>
      <c r="D72" s="6">
        <v>6.72438179E8</v>
      </c>
      <c r="E72" s="6">
        <v>1.3358042E7</v>
      </c>
      <c r="F72" s="6">
        <f t="shared" si="31"/>
        <v>659080137</v>
      </c>
      <c r="G72" s="6">
        <v>0.0</v>
      </c>
      <c r="H72" s="20">
        <v>464.0</v>
      </c>
      <c r="I72" s="6">
        <v>2715039.0</v>
      </c>
      <c r="J72" s="4">
        <v>1027010.0</v>
      </c>
      <c r="K72" s="4">
        <f t="shared" si="32"/>
        <v>1688029</v>
      </c>
      <c r="L72" s="4">
        <f>I72+Oct!L72</f>
        <v>18812654.49</v>
      </c>
      <c r="M72" s="4">
        <f>J72+Oct!M72</f>
        <v>199682581.8</v>
      </c>
      <c r="N72" s="4">
        <f t="shared" si="33"/>
        <v>-180869927.3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77</v>
      </c>
      <c r="D73" s="6">
        <v>1.638930643E9</v>
      </c>
      <c r="E73" s="6">
        <v>3.0144043E7</v>
      </c>
      <c r="F73" s="6">
        <f t="shared" si="31"/>
        <v>1608786600</v>
      </c>
      <c r="G73" s="6">
        <v>0.0</v>
      </c>
      <c r="H73" s="20">
        <v>4881.0</v>
      </c>
      <c r="I73" s="6">
        <v>694831.0</v>
      </c>
      <c r="J73" s="4">
        <v>5512813.0</v>
      </c>
      <c r="K73" s="4">
        <f t="shared" si="32"/>
        <v>-4817982</v>
      </c>
      <c r="L73" s="4">
        <f>I73+Oct!L73</f>
        <v>34690087.15</v>
      </c>
      <c r="M73" s="4">
        <f>J73+Oct!M73</f>
        <v>158674069.6</v>
      </c>
      <c r="N73" s="4">
        <f t="shared" si="33"/>
        <v>-123983982.5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78</v>
      </c>
      <c r="D74" s="6">
        <v>3.2404432059E8</v>
      </c>
      <c r="E74" s="6">
        <v>516582.69</v>
      </c>
      <c r="F74" s="6">
        <f t="shared" si="31"/>
        <v>323527737.9</v>
      </c>
      <c r="G74" s="6">
        <v>0.0</v>
      </c>
      <c r="H74" s="20">
        <v>4036.0</v>
      </c>
      <c r="I74" s="6">
        <v>596660.58</v>
      </c>
      <c r="J74" s="4">
        <v>2912486.06</v>
      </c>
      <c r="K74" s="4">
        <f t="shared" si="32"/>
        <v>-2315825.48</v>
      </c>
      <c r="L74" s="4">
        <f>I74+Oct!L74</f>
        <v>43911225.33</v>
      </c>
      <c r="M74" s="4">
        <f>J74+Oct!M74</f>
        <v>34449406.67</v>
      </c>
      <c r="N74" s="4">
        <f t="shared" si="33"/>
        <v>9461818.66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79</v>
      </c>
      <c r="D75" s="6">
        <v>1.59401301402E9</v>
      </c>
      <c r="E75" s="6">
        <v>1.0946901387E8</v>
      </c>
      <c r="F75" s="6">
        <f t="shared" si="31"/>
        <v>1484544000</v>
      </c>
      <c r="G75" s="6">
        <v>0.0</v>
      </c>
      <c r="H75" s="20">
        <v>714.0</v>
      </c>
      <c r="I75" s="6">
        <v>2.507649446E7</v>
      </c>
      <c r="J75" s="4">
        <v>130124.89</v>
      </c>
      <c r="K75" s="4">
        <f t="shared" si="32"/>
        <v>24946369.57</v>
      </c>
      <c r="L75" s="4">
        <f>I75+Oct!L75</f>
        <v>256666541.6</v>
      </c>
      <c r="M75" s="4">
        <f>J75+Oct!M75</f>
        <v>6478453.52</v>
      </c>
      <c r="N75" s="4">
        <f t="shared" si="33"/>
        <v>250188088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80</v>
      </c>
      <c r="D76" s="6">
        <v>5.636471004E9</v>
      </c>
      <c r="E76" s="6">
        <v>1.3448567E7</v>
      </c>
      <c r="F76" s="6">
        <f t="shared" si="31"/>
        <v>5623022437</v>
      </c>
      <c r="G76" s="6">
        <v>0.0</v>
      </c>
      <c r="H76" s="20">
        <v>18018.0</v>
      </c>
      <c r="I76" s="6">
        <v>7.3933547E7</v>
      </c>
      <c r="J76" s="4">
        <v>1.12008247E8</v>
      </c>
      <c r="K76" s="4">
        <f t="shared" si="32"/>
        <v>-38074700</v>
      </c>
      <c r="L76" s="4">
        <f>I76+Oct!L76</f>
        <v>1801585817</v>
      </c>
      <c r="M76" s="4">
        <f>J76+Oct!M76</f>
        <v>857677815</v>
      </c>
      <c r="N76" s="4">
        <f t="shared" si="33"/>
        <v>943908002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81</v>
      </c>
      <c r="D77" s="6">
        <v>1.25295884E8</v>
      </c>
      <c r="E77" s="6">
        <v>438462.0</v>
      </c>
      <c r="F77" s="6">
        <f t="shared" si="31"/>
        <v>124857422</v>
      </c>
      <c r="G77" s="6">
        <v>0.0</v>
      </c>
      <c r="H77" s="20">
        <v>2746.0</v>
      </c>
      <c r="I77" s="6">
        <v>474685.0</v>
      </c>
      <c r="J77" s="4">
        <v>2342307.0</v>
      </c>
      <c r="K77" s="4">
        <f t="shared" si="32"/>
        <v>-1867622</v>
      </c>
      <c r="L77" s="4">
        <f>I77+Oct!L77</f>
        <v>11165724.44</v>
      </c>
      <c r="M77" s="4">
        <f>J77+Oct!M77</f>
        <v>28756901.71</v>
      </c>
      <c r="N77" s="4">
        <f t="shared" si="33"/>
        <v>-17591177.27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" t="s">
        <v>133</v>
      </c>
      <c r="B78" s="25"/>
      <c r="C78" s="1"/>
      <c r="D78" s="9"/>
      <c r="E78" s="9"/>
      <c r="F78" s="6"/>
      <c r="G78" s="9"/>
      <c r="H78" s="62"/>
      <c r="I78" s="9"/>
      <c r="J78" s="7"/>
      <c r="K78" s="4"/>
      <c r="L78" s="7"/>
      <c r="M78" s="7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2.0" customHeight="1">
      <c r="A79" s="18"/>
      <c r="B79" s="2">
        <f>1+B77</f>
        <v>55</v>
      </c>
      <c r="C79" s="3" t="s">
        <v>134</v>
      </c>
      <c r="D79" s="6">
        <v>7.0324985237E8</v>
      </c>
      <c r="E79" s="6">
        <v>229100.0</v>
      </c>
      <c r="F79" s="6">
        <f>D79-E79</f>
        <v>703020752.4</v>
      </c>
      <c r="G79" s="6">
        <v>0.0</v>
      </c>
      <c r="H79" s="20">
        <v>13.0</v>
      </c>
      <c r="I79" s="6">
        <v>0.0</v>
      </c>
      <c r="J79" s="4">
        <v>0.0</v>
      </c>
      <c r="K79" s="4">
        <f>I79-J79</f>
        <v>0</v>
      </c>
      <c r="L79" s="4">
        <v>7.0E8</v>
      </c>
      <c r="M79" s="4">
        <f>J79</f>
        <v>0</v>
      </c>
      <c r="N79" s="4">
        <f>L79-M79</f>
        <v>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4" t="s">
        <v>45</v>
      </c>
      <c r="B80" s="1"/>
      <c r="C80" s="1"/>
      <c r="D80" s="54">
        <f t="shared" ref="D80:N80" si="35">SUM(D67:D79)</f>
        <v>51019220308</v>
      </c>
      <c r="E80" s="54">
        <f t="shared" si="35"/>
        <v>557033028.8</v>
      </c>
      <c r="F80" s="54">
        <f t="shared" si="35"/>
        <v>50462187279</v>
      </c>
      <c r="G80" s="54">
        <f t="shared" si="35"/>
        <v>0</v>
      </c>
      <c r="H80" s="27">
        <f t="shared" si="35"/>
        <v>59456</v>
      </c>
      <c r="I80" s="54">
        <f t="shared" si="35"/>
        <v>286402671.9</v>
      </c>
      <c r="J80" s="54">
        <f t="shared" si="35"/>
        <v>639550729.1</v>
      </c>
      <c r="K80" s="54">
        <f t="shared" si="35"/>
        <v>-353148057.2</v>
      </c>
      <c r="L80" s="54">
        <f t="shared" si="35"/>
        <v>5686542412</v>
      </c>
      <c r="M80" s="54">
        <f t="shared" si="35"/>
        <v>8070998800</v>
      </c>
      <c r="N80" s="54">
        <f t="shared" si="35"/>
        <v>-2384456388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46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82</v>
      </c>
      <c r="D82" s="6">
        <v>1.2830059531E10</v>
      </c>
      <c r="E82" s="6">
        <v>1.10226428E8</v>
      </c>
      <c r="F82" s="6">
        <f t="shared" ref="F82:F88" si="36">D82-E82</f>
        <v>12719833103</v>
      </c>
      <c r="G82" s="6">
        <v>0.0</v>
      </c>
      <c r="H82" s="20">
        <v>7970.0</v>
      </c>
      <c r="I82" s="6">
        <v>1.3533841E7</v>
      </c>
      <c r="J82" s="4">
        <v>1.17308883E8</v>
      </c>
      <c r="K82" s="4">
        <f t="shared" ref="K82:K88" si="37">I82-J82</f>
        <v>-103775042</v>
      </c>
      <c r="L82" s="4">
        <f>I82+Oct!L80</f>
        <v>454052676.4</v>
      </c>
      <c r="M82" s="4">
        <f>J82+Oct!M80</f>
        <v>1814544833</v>
      </c>
      <c r="N82" s="4">
        <f t="shared" ref="N82:N88" si="38">L82-M82</f>
        <v>-1360492157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83</v>
      </c>
      <c r="D83" s="6">
        <v>3.0952395249E8</v>
      </c>
      <c r="E83" s="6">
        <v>5.670152083E7</v>
      </c>
      <c r="F83" s="6">
        <f t="shared" si="36"/>
        <v>252822431.7</v>
      </c>
      <c r="G83" s="6">
        <v>0.0</v>
      </c>
      <c r="H83" s="20">
        <v>148.0</v>
      </c>
      <c r="I83" s="6">
        <v>0.0</v>
      </c>
      <c r="J83" s="4">
        <v>488380.08</v>
      </c>
      <c r="K83" s="4">
        <f t="shared" si="37"/>
        <v>-488380.08</v>
      </c>
      <c r="L83" s="4">
        <f>I83+Oct!L81</f>
        <v>1340693.708</v>
      </c>
      <c r="M83" s="4">
        <f>J83+Oct!M81</f>
        <v>6889745.988</v>
      </c>
      <c r="N83" s="4">
        <f t="shared" si="38"/>
        <v>-5549052.28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84</v>
      </c>
      <c r="D84" s="6">
        <v>4.46075182E8</v>
      </c>
      <c r="E84" s="6">
        <v>3270673.0</v>
      </c>
      <c r="F84" s="6">
        <f t="shared" si="36"/>
        <v>442804509</v>
      </c>
      <c r="G84" s="6">
        <v>0.0</v>
      </c>
      <c r="H84" s="20">
        <v>162.0</v>
      </c>
      <c r="I84" s="6">
        <v>453159.0</v>
      </c>
      <c r="J84" s="4">
        <v>1572146.0</v>
      </c>
      <c r="K84" s="4">
        <f t="shared" si="37"/>
        <v>-1118987</v>
      </c>
      <c r="L84" s="4">
        <f>I84+Oct!L82</f>
        <v>20571487.46</v>
      </c>
      <c r="M84" s="4">
        <f>J84+Oct!M82</f>
        <v>16571434.96</v>
      </c>
      <c r="N84" s="4">
        <f t="shared" si="38"/>
        <v>4000052.5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109</v>
      </c>
      <c r="D85" s="6">
        <v>6.4667837E7</v>
      </c>
      <c r="E85" s="6">
        <v>1.5271335E7</v>
      </c>
      <c r="F85" s="6">
        <f t="shared" si="36"/>
        <v>49396502</v>
      </c>
      <c r="G85" s="6">
        <v>0.0</v>
      </c>
      <c r="H85" s="20">
        <v>27.0</v>
      </c>
      <c r="I85" s="6">
        <v>0.0</v>
      </c>
      <c r="J85" s="4">
        <v>0.0</v>
      </c>
      <c r="K85" s="4">
        <f t="shared" si="37"/>
        <v>0</v>
      </c>
      <c r="L85" s="4">
        <f>I85+Oct!L83</f>
        <v>0</v>
      </c>
      <c r="M85" s="4">
        <f>J85+Oct!M83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86</v>
      </c>
      <c r="D86" s="6">
        <v>1.869593431E9</v>
      </c>
      <c r="E86" s="6">
        <v>2.3773606E7</v>
      </c>
      <c r="F86" s="6">
        <f t="shared" si="36"/>
        <v>1845819825</v>
      </c>
      <c r="G86" s="6">
        <v>0.0</v>
      </c>
      <c r="H86" s="20">
        <v>1811.0</v>
      </c>
      <c r="I86" s="6">
        <v>10986.0</v>
      </c>
      <c r="J86" s="4">
        <v>1.0034727E7</v>
      </c>
      <c r="K86" s="4">
        <f t="shared" si="37"/>
        <v>-10023741</v>
      </c>
      <c r="L86" s="4">
        <f>I86+Oct!L84</f>
        <v>1594674.851</v>
      </c>
      <c r="M86" s="4">
        <f>J86+Oct!M84</f>
        <v>191682300.9</v>
      </c>
      <c r="N86" s="4">
        <f t="shared" si="38"/>
        <v>-190087626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87</v>
      </c>
      <c r="D87" s="6">
        <v>2.3071178416E8</v>
      </c>
      <c r="E87" s="6">
        <v>1180033.02</v>
      </c>
      <c r="F87" s="6">
        <f t="shared" si="36"/>
        <v>229531751.1</v>
      </c>
      <c r="G87" s="6">
        <v>0.0</v>
      </c>
      <c r="H87" s="20">
        <v>117.0</v>
      </c>
      <c r="I87" s="6">
        <v>138712.5</v>
      </c>
      <c r="J87" s="4">
        <v>0.0</v>
      </c>
      <c r="K87" s="4">
        <f t="shared" si="37"/>
        <v>138712.5</v>
      </c>
      <c r="L87" s="4">
        <f>I87+Oct!L85</f>
        <v>1781183.5</v>
      </c>
      <c r="M87" s="4">
        <f>J87+Oct!M85</f>
        <v>7748924.047</v>
      </c>
      <c r="N87" s="4">
        <f t="shared" si="38"/>
        <v>-5967740.547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88</v>
      </c>
      <c r="D88" s="6">
        <v>5.82203911E8</v>
      </c>
      <c r="E88" s="6">
        <v>4076652.0</v>
      </c>
      <c r="F88" s="6">
        <f t="shared" si="36"/>
        <v>578127259</v>
      </c>
      <c r="G88" s="6">
        <v>0.0</v>
      </c>
      <c r="H88" s="20">
        <v>2574.0</v>
      </c>
      <c r="I88" s="6">
        <v>1805238.0</v>
      </c>
      <c r="J88" s="4">
        <v>2442474.0</v>
      </c>
      <c r="K88" s="4">
        <f t="shared" si="37"/>
        <v>-637236</v>
      </c>
      <c r="L88" s="4">
        <f>I88+Oct!L86</f>
        <v>229470552.2</v>
      </c>
      <c r="M88" s="4">
        <f>J88+Oct!M86</f>
        <v>90439455.9</v>
      </c>
      <c r="N88" s="4">
        <f t="shared" si="38"/>
        <v>139031096.3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4" t="s">
        <v>89</v>
      </c>
      <c r="B89" s="25"/>
      <c r="C89" s="29"/>
      <c r="D89" s="54">
        <f t="shared" ref="D89:N89" si="40">SUM(D82:D88)</f>
        <v>16332835629</v>
      </c>
      <c r="E89" s="54">
        <f t="shared" si="40"/>
        <v>214500247.9</v>
      </c>
      <c r="F89" s="54">
        <f t="shared" si="40"/>
        <v>16118335381</v>
      </c>
      <c r="G89" s="54">
        <f t="shared" si="40"/>
        <v>0</v>
      </c>
      <c r="H89" s="54">
        <f t="shared" si="40"/>
        <v>12809</v>
      </c>
      <c r="I89" s="54">
        <f t="shared" si="40"/>
        <v>15941936.5</v>
      </c>
      <c r="J89" s="54">
        <f t="shared" si="40"/>
        <v>131846610.1</v>
      </c>
      <c r="K89" s="54">
        <f t="shared" si="40"/>
        <v>-115904673.6</v>
      </c>
      <c r="L89" s="54">
        <f t="shared" si="40"/>
        <v>708811268.1</v>
      </c>
      <c r="M89" s="54">
        <f t="shared" si="40"/>
        <v>2127876695</v>
      </c>
      <c r="N89" s="54">
        <f t="shared" si="40"/>
        <v>-1419065427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90</v>
      </c>
      <c r="D90" s="6">
        <v>9.39620681E8</v>
      </c>
      <c r="E90" s="6">
        <v>8334074.0</v>
      </c>
      <c r="F90" s="6">
        <f>D90-E90</f>
        <v>931286607</v>
      </c>
      <c r="G90" s="6">
        <v>0.0</v>
      </c>
      <c r="H90" s="20">
        <v>613.0</v>
      </c>
      <c r="I90" s="6">
        <v>1064365.0</v>
      </c>
      <c r="J90" s="4">
        <v>1.0167137E7</v>
      </c>
      <c r="K90" s="4">
        <f>I90-J90</f>
        <v>-9102772</v>
      </c>
      <c r="L90" s="4">
        <f>I90+Oct!L88</f>
        <v>43453423.16</v>
      </c>
      <c r="M90" s="4">
        <f>J90+Oct!M88</f>
        <v>56057958.84</v>
      </c>
      <c r="N90" s="4">
        <f>L90-M90</f>
        <v>-12604535.69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4" t="s">
        <v>91</v>
      </c>
      <c r="B91" s="29"/>
      <c r="C91" s="1"/>
      <c r="D91" s="54">
        <f t="shared" ref="D91:N91" si="41">SUM(D90)</f>
        <v>939620681</v>
      </c>
      <c r="E91" s="54">
        <f t="shared" si="41"/>
        <v>8334074</v>
      </c>
      <c r="F91" s="54">
        <f t="shared" si="41"/>
        <v>931286607</v>
      </c>
      <c r="G91" s="54">
        <f t="shared" si="41"/>
        <v>0</v>
      </c>
      <c r="H91" s="27">
        <f t="shared" si="41"/>
        <v>613</v>
      </c>
      <c r="I91" s="54">
        <f t="shared" si="41"/>
        <v>1064365</v>
      </c>
      <c r="J91" s="54">
        <f t="shared" si="41"/>
        <v>10167137</v>
      </c>
      <c r="K91" s="54">
        <f t="shared" si="41"/>
        <v>-9102772</v>
      </c>
      <c r="L91" s="54">
        <f t="shared" si="41"/>
        <v>43453423.16</v>
      </c>
      <c r="M91" s="54">
        <f t="shared" si="41"/>
        <v>56057958.84</v>
      </c>
      <c r="N91" s="54">
        <f t="shared" si="41"/>
        <v>-12604535.69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92</v>
      </c>
      <c r="B92" s="25"/>
      <c r="C92" s="29"/>
      <c r="D92" s="54">
        <f t="shared" ref="D92:N92" si="42">D80+D89+D91</f>
        <v>68291676618</v>
      </c>
      <c r="E92" s="54">
        <f t="shared" si="42"/>
        <v>779867350.6</v>
      </c>
      <c r="F92" s="54">
        <f t="shared" si="42"/>
        <v>67511809267</v>
      </c>
      <c r="G92" s="54">
        <f t="shared" si="42"/>
        <v>0</v>
      </c>
      <c r="H92" s="27">
        <f t="shared" si="42"/>
        <v>72878</v>
      </c>
      <c r="I92" s="54">
        <f t="shared" si="42"/>
        <v>303408973.4</v>
      </c>
      <c r="J92" s="54">
        <f t="shared" si="42"/>
        <v>781564476.2</v>
      </c>
      <c r="K92" s="54">
        <f t="shared" si="42"/>
        <v>-478155502.8</v>
      </c>
      <c r="L92" s="54">
        <f t="shared" si="42"/>
        <v>6438807103</v>
      </c>
      <c r="M92" s="54">
        <f t="shared" si="42"/>
        <v>10254933454</v>
      </c>
      <c r="N92" s="54">
        <f t="shared" si="42"/>
        <v>-3816126351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93</v>
      </c>
      <c r="B93" s="2"/>
      <c r="C93" s="30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30"/>
      <c r="D94" s="6"/>
      <c r="E94" s="6"/>
      <c r="F94" s="6"/>
      <c r="G94" s="6"/>
      <c r="H94" s="20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f>1+B90</f>
        <v>64</v>
      </c>
      <c r="C95" s="3" t="s">
        <v>94</v>
      </c>
      <c r="D95" s="6">
        <v>2.750551931E10</v>
      </c>
      <c r="E95" s="6">
        <v>1.71173431E8</v>
      </c>
      <c r="F95" s="6">
        <f t="shared" ref="F95:F97" si="43">D95-E95</f>
        <v>27334345879</v>
      </c>
      <c r="G95" s="6">
        <v>0.0</v>
      </c>
      <c r="H95" s="20">
        <v>26054.0</v>
      </c>
      <c r="I95" s="6">
        <v>347404.0</v>
      </c>
      <c r="J95" s="4">
        <v>8.30306502E8</v>
      </c>
      <c r="K95" s="4">
        <f t="shared" ref="K95:K97" si="44">I95-J95</f>
        <v>-829959098</v>
      </c>
      <c r="L95" s="4">
        <f>I95+Oct!L93</f>
        <v>9185167949</v>
      </c>
      <c r="M95" s="4">
        <f>J95+Oct!M93</f>
        <v>17292501814</v>
      </c>
      <c r="N95" s="4">
        <f t="shared" ref="N95:N97" si="45">L95-M95</f>
        <v>-8107333865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f t="shared" ref="B96:B97" si="46">1+B95</f>
        <v>65</v>
      </c>
      <c r="C96" s="3" t="s">
        <v>95</v>
      </c>
      <c r="D96" s="6">
        <v>2.922381591E9</v>
      </c>
      <c r="E96" s="6">
        <v>5046883.0</v>
      </c>
      <c r="F96" s="6">
        <f t="shared" si="43"/>
        <v>2917334708</v>
      </c>
      <c r="G96" s="6">
        <v>0.0</v>
      </c>
      <c r="H96" s="20">
        <v>937.0</v>
      </c>
      <c r="I96" s="6">
        <v>2.8299722E8</v>
      </c>
      <c r="J96" s="4">
        <v>7.0239681E7</v>
      </c>
      <c r="K96" s="4">
        <f t="shared" si="44"/>
        <v>212757539</v>
      </c>
      <c r="L96" s="4">
        <f>I96+Oct!L94</f>
        <v>1633402685</v>
      </c>
      <c r="M96" s="4">
        <f>J96+Oct!M94</f>
        <v>1616943408</v>
      </c>
      <c r="N96" s="4">
        <f t="shared" si="45"/>
        <v>16459276.93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"/>
      <c r="B97" s="2">
        <f t="shared" si="46"/>
        <v>66</v>
      </c>
      <c r="C97" s="3" t="s">
        <v>96</v>
      </c>
      <c r="D97" s="6">
        <v>2.1595949692E10</v>
      </c>
      <c r="E97" s="6">
        <v>2.10730748E8</v>
      </c>
      <c r="F97" s="6">
        <f t="shared" si="43"/>
        <v>21385218944</v>
      </c>
      <c r="G97" s="6">
        <v>0.0</v>
      </c>
      <c r="H97" s="20">
        <v>69762.0</v>
      </c>
      <c r="I97" s="6">
        <v>3.30544476E8</v>
      </c>
      <c r="J97" s="4">
        <v>2.291573815E9</v>
      </c>
      <c r="K97" s="4">
        <f t="shared" si="44"/>
        <v>-1961029339</v>
      </c>
      <c r="L97" s="4">
        <f>I97+Oct!L95</f>
        <v>19514632677</v>
      </c>
      <c r="M97" s="4">
        <f>J97+Oct!M95</f>
        <v>51219711806</v>
      </c>
      <c r="N97" s="4">
        <f t="shared" si="45"/>
        <v>-31705079129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40</v>
      </c>
      <c r="B98" s="2"/>
      <c r="C98" s="3"/>
      <c r="D98" s="6"/>
      <c r="E98" s="6"/>
      <c r="F98" s="6"/>
      <c r="G98" s="6"/>
      <c r="H98" s="20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f>1+B97</f>
        <v>67</v>
      </c>
      <c r="C99" s="3" t="s">
        <v>94</v>
      </c>
      <c r="D99" s="6">
        <v>8.428260101E9</v>
      </c>
      <c r="E99" s="6">
        <v>1.10130261E8</v>
      </c>
      <c r="F99" s="6">
        <f>D99-E99</f>
        <v>8318129840</v>
      </c>
      <c r="G99" s="6">
        <v>0.0</v>
      </c>
      <c r="H99" s="20">
        <v>8284.0</v>
      </c>
      <c r="I99" s="6">
        <v>9.16578503E8</v>
      </c>
      <c r="J99" s="4">
        <v>6.74586189E8</v>
      </c>
      <c r="K99" s="4">
        <f>I99-J99</f>
        <v>241992314</v>
      </c>
      <c r="L99" s="4">
        <f>I99+Oct!L97</f>
        <v>13350687003</v>
      </c>
      <c r="M99" s="4">
        <f>J99+Oct!M97</f>
        <v>8781329315</v>
      </c>
      <c r="N99" s="4">
        <f>L99-M99</f>
        <v>4569357687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45</v>
      </c>
      <c r="B100" s="2"/>
      <c r="C100" s="3"/>
      <c r="D100" s="54">
        <f t="shared" ref="D100:N100" si="47">SUM(D95:D97)+D99</f>
        <v>60452110694</v>
      </c>
      <c r="E100" s="54">
        <f t="shared" si="47"/>
        <v>497081323</v>
      </c>
      <c r="F100" s="54">
        <f t="shared" si="47"/>
        <v>59955029371</v>
      </c>
      <c r="G100" s="54">
        <f t="shared" si="47"/>
        <v>0</v>
      </c>
      <c r="H100" s="27">
        <f t="shared" si="47"/>
        <v>105037</v>
      </c>
      <c r="I100" s="54">
        <f t="shared" si="47"/>
        <v>1530467603</v>
      </c>
      <c r="J100" s="54">
        <f t="shared" si="47"/>
        <v>3866706187</v>
      </c>
      <c r="K100" s="54">
        <f t="shared" si="47"/>
        <v>-2336238584</v>
      </c>
      <c r="L100" s="54">
        <f t="shared" si="47"/>
        <v>43683890313</v>
      </c>
      <c r="M100" s="54">
        <f t="shared" si="47"/>
        <v>78910486343</v>
      </c>
      <c r="N100" s="54">
        <f t="shared" si="47"/>
        <v>-35226596030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 t="s">
        <v>46</v>
      </c>
      <c r="B101" s="2"/>
      <c r="C101" s="3"/>
      <c r="D101" s="6"/>
      <c r="E101" s="6"/>
      <c r="F101" s="6"/>
      <c r="G101" s="6"/>
      <c r="H101" s="20"/>
      <c r="I101" s="6"/>
      <c r="J101" s="4"/>
      <c r="K101" s="4"/>
      <c r="L101" s="4"/>
      <c r="M101" s="4"/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f>1+B99</f>
        <v>68</v>
      </c>
      <c r="C102" s="3" t="s">
        <v>97</v>
      </c>
      <c r="D102" s="6">
        <v>2.587252245E9</v>
      </c>
      <c r="E102" s="6">
        <v>1.9502083E7</v>
      </c>
      <c r="F102" s="6">
        <f>D102-E102</f>
        <v>2567750162</v>
      </c>
      <c r="G102" s="6">
        <v>0.0</v>
      </c>
      <c r="H102" s="20">
        <v>3599.0</v>
      </c>
      <c r="I102" s="6">
        <v>5.1767782E7</v>
      </c>
      <c r="J102" s="6">
        <v>1.04159449E8</v>
      </c>
      <c r="K102" s="4">
        <f>I102-J102</f>
        <v>-52391667</v>
      </c>
      <c r="L102" s="4">
        <f>I102+Oct!L100</f>
        <v>5113481672</v>
      </c>
      <c r="M102" s="4">
        <f>J102+Oct!M100</f>
        <v>9247783535</v>
      </c>
      <c r="N102" s="4">
        <f>L102-M102</f>
        <v>-4134301863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4" t="s">
        <v>89</v>
      </c>
      <c r="B103" s="2"/>
      <c r="C103" s="3"/>
      <c r="D103" s="54">
        <f t="shared" ref="D103:N103" si="48">SUM(D102)</f>
        <v>2587252245</v>
      </c>
      <c r="E103" s="54">
        <f t="shared" si="48"/>
        <v>19502083</v>
      </c>
      <c r="F103" s="54">
        <f t="shared" si="48"/>
        <v>2567750162</v>
      </c>
      <c r="G103" s="54">
        <f t="shared" si="48"/>
        <v>0</v>
      </c>
      <c r="H103" s="27">
        <f t="shared" si="48"/>
        <v>3599</v>
      </c>
      <c r="I103" s="54">
        <f t="shared" si="48"/>
        <v>51767782</v>
      </c>
      <c r="J103" s="54">
        <f t="shared" si="48"/>
        <v>104159449</v>
      </c>
      <c r="K103" s="54">
        <f t="shared" si="48"/>
        <v>-52391667</v>
      </c>
      <c r="L103" s="54">
        <f t="shared" si="48"/>
        <v>5113481672</v>
      </c>
      <c r="M103" s="54">
        <f t="shared" si="48"/>
        <v>9247783535</v>
      </c>
      <c r="N103" s="54">
        <f t="shared" si="48"/>
        <v>-4134301863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" t="s">
        <v>98</v>
      </c>
      <c r="B104" s="2"/>
      <c r="C104" s="3"/>
      <c r="D104" s="54">
        <f t="shared" ref="D104:N104" si="49">D100+D103</f>
        <v>63039362939</v>
      </c>
      <c r="E104" s="54">
        <f t="shared" si="49"/>
        <v>516583406</v>
      </c>
      <c r="F104" s="54">
        <f t="shared" si="49"/>
        <v>62522779533</v>
      </c>
      <c r="G104" s="54">
        <f t="shared" si="49"/>
        <v>0</v>
      </c>
      <c r="H104" s="27">
        <f t="shared" si="49"/>
        <v>108636</v>
      </c>
      <c r="I104" s="54">
        <f t="shared" si="49"/>
        <v>1582235385</v>
      </c>
      <c r="J104" s="54">
        <f t="shared" si="49"/>
        <v>3970865636</v>
      </c>
      <c r="K104" s="54">
        <f t="shared" si="49"/>
        <v>-2388630251</v>
      </c>
      <c r="L104" s="54">
        <f t="shared" si="49"/>
        <v>48797371985</v>
      </c>
      <c r="M104" s="54">
        <f t="shared" si="49"/>
        <v>88158269878</v>
      </c>
      <c r="N104" s="54">
        <f t="shared" si="49"/>
        <v>-39360897893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99</v>
      </c>
      <c r="B105" s="2"/>
      <c r="C105" s="3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8" t="s">
        <v>100</v>
      </c>
      <c r="B106" s="2"/>
      <c r="C106" s="3"/>
      <c r="D106" s="6"/>
      <c r="E106" s="6"/>
      <c r="F106" s="6"/>
      <c r="G106" s="6"/>
      <c r="H106" s="20"/>
      <c r="I106" s="6"/>
      <c r="J106" s="6"/>
      <c r="K106" s="4"/>
      <c r="L106" s="4"/>
      <c r="M106" s="4"/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/>
      <c r="B107" s="2">
        <f>1+B102</f>
        <v>69</v>
      </c>
      <c r="C107" s="3" t="s">
        <v>104</v>
      </c>
      <c r="D107" s="6">
        <v>8.806390842E9</v>
      </c>
      <c r="E107" s="6">
        <v>8.2647806E7</v>
      </c>
      <c r="F107" s="6">
        <f t="shared" ref="F107:F109" si="50">D107-E107</f>
        <v>8723743036</v>
      </c>
      <c r="G107" s="6">
        <v>0.0</v>
      </c>
      <c r="H107" s="20">
        <v>111443.0</v>
      </c>
      <c r="I107" s="6">
        <v>2.9183711E7</v>
      </c>
      <c r="J107" s="6">
        <v>1.23821614E8</v>
      </c>
      <c r="K107" s="4">
        <f t="shared" ref="K107:K109" si="51">I107-J107</f>
        <v>-94637903</v>
      </c>
      <c r="L107" s="4">
        <f>I107+Oct!L105</f>
        <v>818609194.9</v>
      </c>
      <c r="M107" s="4">
        <f>J107+Oct!M105</f>
        <v>1432344892</v>
      </c>
      <c r="N107" s="4">
        <f t="shared" ref="N107:N109" si="52">L107-M107</f>
        <v>-613735697.5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f t="shared" ref="B108:B109" si="53">1+B107</f>
        <v>70</v>
      </c>
      <c r="C108" s="3" t="s">
        <v>102</v>
      </c>
      <c r="D108" s="6">
        <v>3.213384332E9</v>
      </c>
      <c r="E108" s="6">
        <v>2.6514885E7</v>
      </c>
      <c r="F108" s="6">
        <f t="shared" si="50"/>
        <v>3186869447</v>
      </c>
      <c r="G108" s="6">
        <v>0.0</v>
      </c>
      <c r="H108" s="20">
        <v>6650.0</v>
      </c>
      <c r="I108" s="6">
        <v>4.3802522E7</v>
      </c>
      <c r="J108" s="6">
        <v>5.7196386E7</v>
      </c>
      <c r="K108" s="4">
        <f t="shared" si="51"/>
        <v>-13393864</v>
      </c>
      <c r="L108" s="4">
        <f>I108+Oct!L106</f>
        <v>470131083.1</v>
      </c>
      <c r="M108" s="4">
        <f>J108+Oct!M106</f>
        <v>985851054.7</v>
      </c>
      <c r="N108" s="4">
        <f t="shared" si="52"/>
        <v>-515719971.6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si="53"/>
        <v>71</v>
      </c>
      <c r="C109" s="3" t="s">
        <v>129</v>
      </c>
      <c r="D109" s="6">
        <v>4.56079561E8</v>
      </c>
      <c r="E109" s="6">
        <v>2.1534186E7</v>
      </c>
      <c r="F109" s="6">
        <f t="shared" si="50"/>
        <v>434545375</v>
      </c>
      <c r="G109" s="6">
        <v>0.0</v>
      </c>
      <c r="H109" s="20">
        <v>832.0</v>
      </c>
      <c r="I109" s="6">
        <v>1.48011397E8</v>
      </c>
      <c r="J109" s="6">
        <v>1075168.0</v>
      </c>
      <c r="K109" s="4">
        <f t="shared" si="51"/>
        <v>146936229</v>
      </c>
      <c r="L109" s="4">
        <f>I109+Oct!L107</f>
        <v>433714793</v>
      </c>
      <c r="M109" s="4">
        <f>J109+Oct!M107</f>
        <v>1099606</v>
      </c>
      <c r="N109" s="4">
        <f t="shared" si="52"/>
        <v>432615187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24" t="s">
        <v>45</v>
      </c>
      <c r="B110" s="2"/>
      <c r="C110" s="3"/>
      <c r="D110" s="54">
        <f t="shared" ref="D110:N110" si="54">D107+D108+D109</f>
        <v>12475854735</v>
      </c>
      <c r="E110" s="54">
        <f t="shared" si="54"/>
        <v>130696877</v>
      </c>
      <c r="F110" s="54">
        <f t="shared" si="54"/>
        <v>12345157858</v>
      </c>
      <c r="G110" s="54">
        <f t="shared" si="54"/>
        <v>0</v>
      </c>
      <c r="H110" s="26">
        <f t="shared" si="54"/>
        <v>118925</v>
      </c>
      <c r="I110" s="54">
        <f t="shared" si="54"/>
        <v>220997630</v>
      </c>
      <c r="J110" s="54">
        <f t="shared" si="54"/>
        <v>182093168</v>
      </c>
      <c r="K110" s="54">
        <f t="shared" si="54"/>
        <v>38904462</v>
      </c>
      <c r="L110" s="54">
        <f t="shared" si="54"/>
        <v>1722455071</v>
      </c>
      <c r="M110" s="54">
        <f t="shared" si="54"/>
        <v>2419295553</v>
      </c>
      <c r="N110" s="54">
        <f t="shared" si="54"/>
        <v>-696840482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18" t="s">
        <v>103</v>
      </c>
      <c r="B111" s="2"/>
      <c r="C111" s="3"/>
      <c r="D111" s="6"/>
      <c r="E111" s="6"/>
      <c r="F111" s="6"/>
      <c r="G111" s="6"/>
      <c r="H111" s="20"/>
      <c r="I111" s="6"/>
      <c r="J111" s="6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"/>
      <c r="B112" s="2">
        <f>1+B109</f>
        <v>72</v>
      </c>
      <c r="C112" s="3" t="s">
        <v>104</v>
      </c>
      <c r="D112" s="6">
        <v>9.491429544E9</v>
      </c>
      <c r="E112" s="6">
        <v>4.6428853E7</v>
      </c>
      <c r="F112" s="6">
        <f>D112-E112</f>
        <v>9445000691</v>
      </c>
      <c r="G112" s="6">
        <v>0.0</v>
      </c>
      <c r="H112" s="20">
        <v>7812.0</v>
      </c>
      <c r="I112" s="6">
        <v>2.0470467E7</v>
      </c>
      <c r="J112" s="6">
        <v>1.16762225E8</v>
      </c>
      <c r="K112" s="4">
        <f>I112-J112</f>
        <v>-96291758</v>
      </c>
      <c r="L112" s="4">
        <f>I112+Oct!L110</f>
        <v>515532323.8</v>
      </c>
      <c r="M112" s="4">
        <f>J112+Oct!M110</f>
        <v>1146369030</v>
      </c>
      <c r="N112" s="4">
        <f>L112-M112</f>
        <v>-630836705.9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24" t="s">
        <v>89</v>
      </c>
      <c r="B113" s="25"/>
      <c r="C113" s="1"/>
      <c r="D113" s="54">
        <f t="shared" ref="D113:N113" si="55">SUM(D112)</f>
        <v>9491429544</v>
      </c>
      <c r="E113" s="54">
        <f t="shared" si="55"/>
        <v>46428853</v>
      </c>
      <c r="F113" s="54">
        <f t="shared" si="55"/>
        <v>9445000691</v>
      </c>
      <c r="G113" s="54">
        <f t="shared" si="55"/>
        <v>0</v>
      </c>
      <c r="H113" s="27">
        <f t="shared" si="55"/>
        <v>7812</v>
      </c>
      <c r="I113" s="54">
        <f t="shared" si="55"/>
        <v>20470467</v>
      </c>
      <c r="J113" s="54">
        <f t="shared" si="55"/>
        <v>116762225</v>
      </c>
      <c r="K113" s="54">
        <f t="shared" si="55"/>
        <v>-96291758</v>
      </c>
      <c r="L113" s="54">
        <f t="shared" si="55"/>
        <v>515532323.8</v>
      </c>
      <c r="M113" s="54">
        <f t="shared" si="55"/>
        <v>1146369030</v>
      </c>
      <c r="N113" s="54">
        <f t="shared" si="55"/>
        <v>-630836705.9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1" t="s">
        <v>105</v>
      </c>
      <c r="B114" s="31"/>
      <c r="C114" s="29"/>
      <c r="D114" s="54">
        <f t="shared" ref="D114:N114" si="56">SUM(D110+D113)</f>
        <v>21967284279</v>
      </c>
      <c r="E114" s="54">
        <f t="shared" si="56"/>
        <v>177125730</v>
      </c>
      <c r="F114" s="54">
        <f t="shared" si="56"/>
        <v>21790158549</v>
      </c>
      <c r="G114" s="54">
        <f t="shared" si="56"/>
        <v>0</v>
      </c>
      <c r="H114" s="27">
        <f t="shared" si="56"/>
        <v>126737</v>
      </c>
      <c r="I114" s="54">
        <f t="shared" si="56"/>
        <v>241468097</v>
      </c>
      <c r="J114" s="54">
        <f t="shared" si="56"/>
        <v>298855393</v>
      </c>
      <c r="K114" s="54">
        <f t="shared" si="56"/>
        <v>-57387296</v>
      </c>
      <c r="L114" s="54">
        <f t="shared" si="56"/>
        <v>2237987395</v>
      </c>
      <c r="M114" s="54">
        <f t="shared" si="56"/>
        <v>3565664583</v>
      </c>
      <c r="N114" s="54">
        <f t="shared" si="56"/>
        <v>-1327677188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2" t="s">
        <v>106</v>
      </c>
      <c r="B115" s="33"/>
      <c r="C115" s="34"/>
      <c r="D115" s="55">
        <f t="shared" ref="D115:N115" si="57">D40+D64+D92+D104+D114</f>
        <v>233180598027</v>
      </c>
      <c r="E115" s="55">
        <f t="shared" si="57"/>
        <v>2014708984</v>
      </c>
      <c r="F115" s="55">
        <f t="shared" si="57"/>
        <v>231165889043</v>
      </c>
      <c r="G115" s="55">
        <f t="shared" si="57"/>
        <v>66500214137</v>
      </c>
      <c r="H115" s="36">
        <f t="shared" si="57"/>
        <v>1252601</v>
      </c>
      <c r="I115" s="55">
        <f t="shared" si="57"/>
        <v>2342840801</v>
      </c>
      <c r="J115" s="55">
        <f t="shared" si="57"/>
        <v>5563330856</v>
      </c>
      <c r="K115" s="55">
        <f t="shared" si="57"/>
        <v>-3220490055</v>
      </c>
      <c r="L115" s="55">
        <f t="shared" si="57"/>
        <v>62414435102</v>
      </c>
      <c r="M115" s="55">
        <f t="shared" si="57"/>
        <v>111705665220</v>
      </c>
      <c r="N115" s="55">
        <f t="shared" si="57"/>
        <v>-49291230118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2.0" customHeight="1">
      <c r="A116" s="3"/>
      <c r="B116" s="2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59" t="s">
        <v>111</v>
      </c>
      <c r="B117" s="37"/>
      <c r="C117" s="3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0" t="s">
        <v>135</v>
      </c>
      <c r="B118" s="37"/>
      <c r="C118" s="3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0" t="s">
        <v>136</v>
      </c>
      <c r="B119" s="63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61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61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137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4.31198078E9</v>
      </c>
      <c r="E9" s="6">
        <v>1.2664168E7</v>
      </c>
      <c r="F9" s="6">
        <f t="shared" ref="F9:F27" si="1">D9-E9</f>
        <v>4299316612</v>
      </c>
      <c r="G9" s="6">
        <v>4.054164701E9</v>
      </c>
      <c r="H9" s="6">
        <v>6732.0</v>
      </c>
      <c r="I9" s="6">
        <v>4479973.0</v>
      </c>
      <c r="J9" s="6">
        <v>3.4783796E7</v>
      </c>
      <c r="K9" s="4">
        <f t="shared" ref="K9:K27" si="2">I9-J9</f>
        <v>-30303823</v>
      </c>
      <c r="L9" s="4">
        <f>I9+Nov!L9</f>
        <v>93126055.19</v>
      </c>
      <c r="M9" s="4">
        <f>J9+Nov!M9</f>
        <v>554524149.1</v>
      </c>
      <c r="N9" s="4">
        <f t="shared" ref="N9:N27" si="3">L9-M9</f>
        <v>-461398093.9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7.8211426715E8</v>
      </c>
      <c r="E10" s="6">
        <v>1056158.2</v>
      </c>
      <c r="F10" s="6">
        <f t="shared" si="1"/>
        <v>781058109</v>
      </c>
      <c r="G10" s="6">
        <v>7.2006718028E8</v>
      </c>
      <c r="H10" s="6">
        <v>4109.0</v>
      </c>
      <c r="I10" s="6">
        <v>2496269.2</v>
      </c>
      <c r="J10" s="6">
        <v>5523187.29</v>
      </c>
      <c r="K10" s="4">
        <f t="shared" si="2"/>
        <v>-3026918.09</v>
      </c>
      <c r="L10" s="4">
        <f>I10+Nov!L10</f>
        <v>55565812.16</v>
      </c>
      <c r="M10" s="4">
        <f>J10+Nov!M10</f>
        <v>87196597.92</v>
      </c>
      <c r="N10" s="4">
        <f t="shared" si="3"/>
        <v>-31630785.76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1.37788250461E9</v>
      </c>
      <c r="E11" s="6">
        <v>1162094.08</v>
      </c>
      <c r="F11" s="6">
        <f t="shared" si="1"/>
        <v>1376720411</v>
      </c>
      <c r="G11" s="6">
        <v>1.3057304489E9</v>
      </c>
      <c r="H11" s="6">
        <v>2721.0</v>
      </c>
      <c r="I11" s="6">
        <v>6637802.43</v>
      </c>
      <c r="J11" s="6">
        <v>1.652463753E7</v>
      </c>
      <c r="K11" s="4">
        <f t="shared" si="2"/>
        <v>-9886835.1</v>
      </c>
      <c r="L11" s="4">
        <f>I11+Nov!L11</f>
        <v>519939468.1</v>
      </c>
      <c r="M11" s="4">
        <f>J11+Nov!M11</f>
        <v>509034207.7</v>
      </c>
      <c r="N11" s="4">
        <f t="shared" si="3"/>
        <v>10905260.38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3.5842170512E8</v>
      </c>
      <c r="E12" s="6">
        <v>7336887.01</v>
      </c>
      <c r="F12" s="6">
        <f t="shared" si="1"/>
        <v>351084818.1</v>
      </c>
      <c r="G12" s="6">
        <v>2.4453486999E8</v>
      </c>
      <c r="H12" s="6">
        <v>1774.0</v>
      </c>
      <c r="I12" s="6">
        <v>2558931.0</v>
      </c>
      <c r="J12" s="6">
        <v>159173.41</v>
      </c>
      <c r="K12" s="4">
        <f t="shared" si="2"/>
        <v>2399757.59</v>
      </c>
      <c r="L12" s="4">
        <f>I12+Nov!L12</f>
        <v>11120389.52</v>
      </c>
      <c r="M12" s="4">
        <f>J12+Nov!M12</f>
        <v>4374202.53</v>
      </c>
      <c r="N12" s="4">
        <f t="shared" si="3"/>
        <v>6746186.99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4.56263967E8</v>
      </c>
      <c r="E13" s="6">
        <v>1140304.0</v>
      </c>
      <c r="F13" s="6">
        <f t="shared" si="1"/>
        <v>455123663</v>
      </c>
      <c r="G13" s="6">
        <v>3.86134937E8</v>
      </c>
      <c r="H13" s="6">
        <v>1331.0</v>
      </c>
      <c r="I13" s="6">
        <v>534506.0</v>
      </c>
      <c r="J13" s="6">
        <v>347377.0</v>
      </c>
      <c r="K13" s="4">
        <f t="shared" si="2"/>
        <v>187129</v>
      </c>
      <c r="L13" s="4">
        <f>I13+Nov!L13</f>
        <v>7377391.54</v>
      </c>
      <c r="M13" s="4">
        <f>J13+Nov!M13</f>
        <v>43326351.44</v>
      </c>
      <c r="N13" s="4">
        <f t="shared" si="3"/>
        <v>-35948959.9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4.372593276E9</v>
      </c>
      <c r="E14" s="6">
        <v>1.8913931E7</v>
      </c>
      <c r="F14" s="6">
        <f t="shared" si="1"/>
        <v>4353679345</v>
      </c>
      <c r="G14" s="6">
        <v>4.002731474E9</v>
      </c>
      <c r="H14" s="6">
        <v>15536.0</v>
      </c>
      <c r="I14" s="6">
        <v>3.04624573E8</v>
      </c>
      <c r="J14" s="6">
        <v>2.7565134E7</v>
      </c>
      <c r="K14" s="4">
        <f t="shared" si="2"/>
        <v>277059439</v>
      </c>
      <c r="L14" s="4">
        <f>I14+Nov!L14</f>
        <v>627237966.5</v>
      </c>
      <c r="M14" s="4">
        <f>J14+Nov!M14</f>
        <v>506691625.5</v>
      </c>
      <c r="N14" s="4">
        <f t="shared" si="3"/>
        <v>120546341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1.01172899E8</v>
      </c>
      <c r="E15" s="6">
        <v>330621.0</v>
      </c>
      <c r="F15" s="6">
        <f t="shared" si="1"/>
        <v>100842278</v>
      </c>
      <c r="G15" s="6">
        <v>9.7548292E7</v>
      </c>
      <c r="H15" s="6">
        <v>515.0</v>
      </c>
      <c r="I15" s="6">
        <v>306500.0</v>
      </c>
      <c r="J15" s="6">
        <v>1618169.0</v>
      </c>
      <c r="K15" s="4">
        <f t="shared" si="2"/>
        <v>-1311669</v>
      </c>
      <c r="L15" s="4">
        <f>I15+Nov!L15</f>
        <v>13726690.73</v>
      </c>
      <c r="M15" s="4">
        <f>J15+Nov!M15</f>
        <v>13072480.93</v>
      </c>
      <c r="N15" s="4">
        <f t="shared" si="3"/>
        <v>654209.8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1.28459666E8</v>
      </c>
      <c r="E16" s="6">
        <v>904091.0</v>
      </c>
      <c r="F16" s="6">
        <f t="shared" si="1"/>
        <v>127555575</v>
      </c>
      <c r="G16" s="6">
        <v>1.19584091E8</v>
      </c>
      <c r="H16" s="6">
        <v>50.0</v>
      </c>
      <c r="I16" s="6">
        <v>0.0</v>
      </c>
      <c r="J16" s="6">
        <v>0.0</v>
      </c>
      <c r="K16" s="4">
        <f t="shared" si="2"/>
        <v>0</v>
      </c>
      <c r="L16" s="4">
        <f>I16+Nov!L16</f>
        <v>100241.49</v>
      </c>
      <c r="M16" s="4">
        <f>J16+Nov!M16</f>
        <v>2461357.93</v>
      </c>
      <c r="N16" s="4">
        <f t="shared" si="3"/>
        <v>-2361116.44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1.217494365E9</v>
      </c>
      <c r="E17" s="6">
        <v>4.0421849E7</v>
      </c>
      <c r="F17" s="6">
        <f t="shared" si="1"/>
        <v>1177072516</v>
      </c>
      <c r="G17" s="6">
        <v>1.195020681E9</v>
      </c>
      <c r="H17" s="6">
        <v>11713.0</v>
      </c>
      <c r="I17" s="6">
        <v>0.0</v>
      </c>
      <c r="J17" s="6">
        <v>1.5130561E7</v>
      </c>
      <c r="K17" s="4">
        <f t="shared" si="2"/>
        <v>-15130561</v>
      </c>
      <c r="L17" s="4">
        <f>I17+Nov!L17</f>
        <v>0</v>
      </c>
      <c r="M17" s="4">
        <f>J17+Nov!M17</f>
        <v>131105683.7</v>
      </c>
      <c r="N17" s="4">
        <f t="shared" si="3"/>
        <v>-131105683.7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3.495595789E9</v>
      </c>
      <c r="E18" s="6">
        <v>3.8923883E7</v>
      </c>
      <c r="F18" s="6">
        <f t="shared" si="1"/>
        <v>3456671906</v>
      </c>
      <c r="G18" s="6">
        <v>3.319782429E9</v>
      </c>
      <c r="H18" s="6">
        <v>11611.0</v>
      </c>
      <c r="I18" s="6">
        <v>1746024.0</v>
      </c>
      <c r="J18" s="6">
        <v>6.3346435E7</v>
      </c>
      <c r="K18" s="4">
        <f t="shared" si="2"/>
        <v>-61600411</v>
      </c>
      <c r="L18" s="4">
        <f>I18+Nov!L18</f>
        <v>30093907.7</v>
      </c>
      <c r="M18" s="4">
        <f>J18+Nov!M18</f>
        <v>394437687.5</v>
      </c>
      <c r="N18" s="4">
        <f t="shared" si="3"/>
        <v>-364343779.8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2.22897409849E9</v>
      </c>
      <c r="E19" s="6">
        <v>5137021.36</v>
      </c>
      <c r="F19" s="6">
        <f t="shared" si="1"/>
        <v>2223837077</v>
      </c>
      <c r="G19" s="6">
        <v>2.03564607813E9</v>
      </c>
      <c r="H19" s="6">
        <v>5092.0</v>
      </c>
      <c r="I19" s="6">
        <v>1123909.07</v>
      </c>
      <c r="J19" s="6">
        <v>4751900.8</v>
      </c>
      <c r="K19" s="4">
        <f t="shared" si="2"/>
        <v>-3627991.73</v>
      </c>
      <c r="L19" s="4">
        <f>I19+Nov!L19</f>
        <v>150176051.2</v>
      </c>
      <c r="M19" s="4">
        <f>J19+Nov!M19</f>
        <v>74373741.38</v>
      </c>
      <c r="N19" s="4">
        <f t="shared" si="3"/>
        <v>75802309.78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9.40063321942E9</v>
      </c>
      <c r="E20" s="6">
        <v>5.184706528E7</v>
      </c>
      <c r="F20" s="6">
        <f t="shared" si="1"/>
        <v>9348786154</v>
      </c>
      <c r="G20" s="6">
        <v>8.71408917784E9</v>
      </c>
      <c r="H20" s="6">
        <v>34389.0</v>
      </c>
      <c r="I20" s="6">
        <v>6332635.78</v>
      </c>
      <c r="J20" s="6">
        <v>2.652961206E7</v>
      </c>
      <c r="K20" s="4">
        <f t="shared" si="2"/>
        <v>-20196976.28</v>
      </c>
      <c r="L20" s="4">
        <f>I20+Nov!L20</f>
        <v>162407558.8</v>
      </c>
      <c r="M20" s="4">
        <f>J20+Nov!M20</f>
        <v>674935605.7</v>
      </c>
      <c r="N20" s="4">
        <f t="shared" si="3"/>
        <v>-512528046.9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3.135116723E8</v>
      </c>
      <c r="E21" s="6">
        <v>824776.23</v>
      </c>
      <c r="F21" s="6">
        <f t="shared" si="1"/>
        <v>312686896.1</v>
      </c>
      <c r="G21" s="6">
        <v>3.1074968981E8</v>
      </c>
      <c r="H21" s="6">
        <v>956.0</v>
      </c>
      <c r="I21" s="6">
        <v>322482.89</v>
      </c>
      <c r="J21" s="6">
        <v>62547.54</v>
      </c>
      <c r="K21" s="4">
        <f t="shared" si="2"/>
        <v>259935.35</v>
      </c>
      <c r="L21" s="4">
        <f>I21+Nov!L21</f>
        <v>3856476.89</v>
      </c>
      <c r="M21" s="4">
        <f>J21+Nov!M21</f>
        <v>9966599.74</v>
      </c>
      <c r="N21" s="4">
        <f t="shared" si="3"/>
        <v>-6110122.85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3.79527790899E9</v>
      </c>
      <c r="E22" s="6">
        <v>9490763.81</v>
      </c>
      <c r="F22" s="6">
        <f t="shared" si="1"/>
        <v>3785787145</v>
      </c>
      <c r="G22" s="6">
        <v>3.70830982363E9</v>
      </c>
      <c r="H22" s="6">
        <v>25530.0</v>
      </c>
      <c r="I22" s="6">
        <v>9896328.35</v>
      </c>
      <c r="J22" s="6">
        <v>1.114943695E7</v>
      </c>
      <c r="K22" s="4">
        <f t="shared" si="2"/>
        <v>-1253108.6</v>
      </c>
      <c r="L22" s="4">
        <f>I22+Nov!L22</f>
        <v>334970375.2</v>
      </c>
      <c r="M22" s="4">
        <f>J22+Nov!M22</f>
        <v>325732433.9</v>
      </c>
      <c r="N22" s="4">
        <f t="shared" si="3"/>
        <v>9237941.34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8.048702093E9</v>
      </c>
      <c r="E23" s="6">
        <v>1.4457777E7</v>
      </c>
      <c r="F23" s="6">
        <f t="shared" si="1"/>
        <v>8034244316</v>
      </c>
      <c r="G23" s="6">
        <v>7.965673038E9</v>
      </c>
      <c r="H23" s="6">
        <v>13462.0</v>
      </c>
      <c r="I23" s="6">
        <v>2411323.0</v>
      </c>
      <c r="J23" s="6">
        <v>1.55120686E8</v>
      </c>
      <c r="K23" s="4">
        <f t="shared" si="2"/>
        <v>-152709363</v>
      </c>
      <c r="L23" s="4">
        <f>I23+Nov!L23</f>
        <v>23529931</v>
      </c>
      <c r="M23" s="4">
        <f>J23+Nov!M23</f>
        <v>1103950298</v>
      </c>
      <c r="N23" s="4">
        <f t="shared" si="3"/>
        <v>-1080420367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1" t="s">
        <v>36</v>
      </c>
      <c r="D24" s="6">
        <v>3.67872489874E9</v>
      </c>
      <c r="E24" s="6">
        <v>2.595363342E7</v>
      </c>
      <c r="F24" s="6">
        <f t="shared" si="1"/>
        <v>3652771265</v>
      </c>
      <c r="G24" s="6">
        <v>3.3930673396E9</v>
      </c>
      <c r="H24" s="6">
        <v>12500.0</v>
      </c>
      <c r="I24" s="6">
        <v>6.711436471E7</v>
      </c>
      <c r="J24" s="6">
        <v>5.423782208E7</v>
      </c>
      <c r="K24" s="4">
        <f t="shared" si="2"/>
        <v>12876542.63</v>
      </c>
      <c r="L24" s="4">
        <f>I24+Nov!L24</f>
        <v>541564955.6</v>
      </c>
      <c r="M24" s="4">
        <f>J24+Nov!M24</f>
        <v>90653875.73</v>
      </c>
      <c r="N24" s="4">
        <f t="shared" si="3"/>
        <v>450911079.9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f t="shared" si="4"/>
        <v>17</v>
      </c>
      <c r="C25" s="23" t="s">
        <v>37</v>
      </c>
      <c r="D25" s="6">
        <v>6.665780669E9</v>
      </c>
      <c r="E25" s="6">
        <v>6.3736826E7</v>
      </c>
      <c r="F25" s="6">
        <f t="shared" si="1"/>
        <v>6602043843</v>
      </c>
      <c r="G25" s="6">
        <v>6.377796549E9</v>
      </c>
      <c r="H25" s="6">
        <v>66920.0</v>
      </c>
      <c r="I25" s="6">
        <v>5.8326521E7</v>
      </c>
      <c r="J25" s="6">
        <v>1.68592761E8</v>
      </c>
      <c r="K25" s="4">
        <f t="shared" si="2"/>
        <v>-110266240</v>
      </c>
      <c r="L25" s="4">
        <f>I25+Nov!L25</f>
        <v>430333372.6</v>
      </c>
      <c r="M25" s="4">
        <f>J25+Nov!M25</f>
        <v>1043210677</v>
      </c>
      <c r="N25" s="4">
        <f t="shared" si="3"/>
        <v>-612877304.1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f t="shared" si="4"/>
        <v>18</v>
      </c>
      <c r="C26" s="23" t="s">
        <v>38</v>
      </c>
      <c r="D26" s="6">
        <v>1.0964131785E10</v>
      </c>
      <c r="E26" s="6">
        <v>1.10402507E8</v>
      </c>
      <c r="F26" s="6">
        <f t="shared" si="1"/>
        <v>10853729278</v>
      </c>
      <c r="G26" s="6">
        <v>1.0829375528E10</v>
      </c>
      <c r="H26" s="6">
        <v>57841.0</v>
      </c>
      <c r="I26" s="6">
        <v>2.7471356E7</v>
      </c>
      <c r="J26" s="6">
        <v>2.48533507E8</v>
      </c>
      <c r="K26" s="4">
        <f t="shared" si="2"/>
        <v>-221062151</v>
      </c>
      <c r="L26" s="4">
        <f>I26+Nov!L26</f>
        <v>1497973697</v>
      </c>
      <c r="M26" s="4">
        <f>J26+Nov!M26</f>
        <v>2440263604</v>
      </c>
      <c r="N26" s="4">
        <f t="shared" si="3"/>
        <v>-942289907.8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6.0220633765E8</v>
      </c>
      <c r="E27" s="6">
        <v>1.641169052E7</v>
      </c>
      <c r="F27" s="6">
        <f t="shared" si="1"/>
        <v>585794647.1</v>
      </c>
      <c r="G27" s="6">
        <v>4.807886229E8</v>
      </c>
      <c r="H27" s="6">
        <v>1256.0</v>
      </c>
      <c r="I27" s="6">
        <v>1073701.59</v>
      </c>
      <c r="J27" s="6">
        <v>6617953.19</v>
      </c>
      <c r="K27" s="4">
        <f t="shared" si="2"/>
        <v>-5544251.6</v>
      </c>
      <c r="L27" s="4">
        <f>I27+Nov!L27</f>
        <v>10298521.97</v>
      </c>
      <c r="M27" s="4">
        <f>J27+Nov!M27</f>
        <v>15769729.32</v>
      </c>
      <c r="N27" s="4">
        <f t="shared" si="3"/>
        <v>-5471207.35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2.2981351541E8</v>
      </c>
      <c r="E29" s="6">
        <v>822694.18</v>
      </c>
      <c r="F29" s="6">
        <f t="shared" ref="F29:F32" si="5">D29-E29</f>
        <v>228990821.2</v>
      </c>
      <c r="G29" s="6">
        <v>2.2573643158E8</v>
      </c>
      <c r="H29" s="6">
        <v>2788.0</v>
      </c>
      <c r="I29" s="6">
        <v>9864269.06</v>
      </c>
      <c r="J29" s="6">
        <v>1558346.95</v>
      </c>
      <c r="K29" s="4">
        <f t="shared" ref="K29:K32" si="6">I29-J29</f>
        <v>8305922.11</v>
      </c>
      <c r="L29" s="4">
        <f>I29+Nov!L29</f>
        <v>135511833.4</v>
      </c>
      <c r="M29" s="4">
        <f>J29+Nov!M29</f>
        <v>16404373.27</v>
      </c>
      <c r="N29" s="4">
        <f t="shared" ref="N29:N32" si="7">L29-M29</f>
        <v>119107460.1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132</v>
      </c>
      <c r="D30" s="6">
        <v>1.1153443605E8</v>
      </c>
      <c r="E30" s="6">
        <v>1315788.54</v>
      </c>
      <c r="F30" s="6">
        <f t="shared" si="5"/>
        <v>110218647.5</v>
      </c>
      <c r="G30" s="6">
        <v>6.7911579E7</v>
      </c>
      <c r="H30" s="6">
        <v>1444.0</v>
      </c>
      <c r="I30" s="6">
        <v>3.188708724E7</v>
      </c>
      <c r="J30" s="6">
        <v>395094.89</v>
      </c>
      <c r="K30" s="4">
        <f t="shared" si="6"/>
        <v>31491992.35</v>
      </c>
      <c r="L30" s="4">
        <f>I30+Nov!L30</f>
        <v>110318901.7</v>
      </c>
      <c r="M30" s="4">
        <f>J30+Nov!M30</f>
        <v>816360.94</v>
      </c>
      <c r="N30" s="4">
        <f t="shared" si="7"/>
        <v>109502540.8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42</v>
      </c>
      <c r="D31" s="6">
        <v>3.1604607644E8</v>
      </c>
      <c r="E31" s="6">
        <v>1428397.12</v>
      </c>
      <c r="F31" s="6">
        <f t="shared" si="5"/>
        <v>314617679.3</v>
      </c>
      <c r="G31" s="6">
        <v>2.898751598E8</v>
      </c>
      <c r="H31" s="6">
        <v>1287.0</v>
      </c>
      <c r="I31" s="6">
        <v>449197.17</v>
      </c>
      <c r="J31" s="6">
        <v>1131085.27</v>
      </c>
      <c r="K31" s="4">
        <f t="shared" si="6"/>
        <v>-681888.1</v>
      </c>
      <c r="L31" s="4">
        <f>I31+Nov!L31</f>
        <v>19062384.39</v>
      </c>
      <c r="M31" s="4">
        <f>J31+Nov!M31</f>
        <v>33991314.68</v>
      </c>
      <c r="N31" s="4">
        <f t="shared" si="7"/>
        <v>-14928930.29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6.18585393E8</v>
      </c>
      <c r="E32" s="6">
        <v>1899301.0</v>
      </c>
      <c r="F32" s="6">
        <f t="shared" si="5"/>
        <v>616686092</v>
      </c>
      <c r="G32" s="6">
        <v>6.09939583E8</v>
      </c>
      <c r="H32" s="6">
        <v>573660.0</v>
      </c>
      <c r="I32" s="6">
        <v>1.1504402E7</v>
      </c>
      <c r="J32" s="6">
        <v>1.1547209E7</v>
      </c>
      <c r="K32" s="4">
        <f t="shared" si="6"/>
        <v>-42807</v>
      </c>
      <c r="L32" s="4">
        <f>I32+Nov!L32</f>
        <v>336000882.4</v>
      </c>
      <c r="M32" s="4">
        <f>J32+Nov!M32</f>
        <v>201778867.4</v>
      </c>
      <c r="N32" s="4">
        <f t="shared" si="7"/>
        <v>134222014.9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43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44</v>
      </c>
      <c r="D34" s="6">
        <v>2.141422481E9</v>
      </c>
      <c r="E34" s="6">
        <v>1655853.0</v>
      </c>
      <c r="F34" s="6">
        <f>D34-E34</f>
        <v>2139766628</v>
      </c>
      <c r="G34" s="6">
        <v>2.129183895E9</v>
      </c>
      <c r="H34" s="6">
        <v>3288.0</v>
      </c>
      <c r="I34" s="6">
        <v>0.0</v>
      </c>
      <c r="J34" s="6">
        <v>7041407.0</v>
      </c>
      <c r="K34" s="4">
        <f>I34-J34</f>
        <v>-7041407</v>
      </c>
      <c r="L34" s="4">
        <f>I34+Nov!L34</f>
        <v>74078205</v>
      </c>
      <c r="M34" s="4">
        <f>J34+Nov!M34</f>
        <v>162966743</v>
      </c>
      <c r="N34" s="4">
        <f>L34-M34</f>
        <v>-88888538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4" t="s">
        <v>45</v>
      </c>
      <c r="B35" s="25"/>
      <c r="C35" s="1"/>
      <c r="D35" s="54">
        <f t="shared" ref="D35:N35" si="9">SUM(D9:D34)</f>
        <v>65717323803</v>
      </c>
      <c r="E35" s="54">
        <f t="shared" si="9"/>
        <v>428238080.8</v>
      </c>
      <c r="F35" s="54">
        <f t="shared" si="9"/>
        <v>65289085723</v>
      </c>
      <c r="G35" s="54">
        <f t="shared" si="9"/>
        <v>62583441599</v>
      </c>
      <c r="H35" s="27">
        <f t="shared" si="9"/>
        <v>856505</v>
      </c>
      <c r="I35" s="54">
        <f t="shared" si="9"/>
        <v>551162156.5</v>
      </c>
      <c r="J35" s="54">
        <f t="shared" si="9"/>
        <v>862267840</v>
      </c>
      <c r="K35" s="54">
        <f t="shared" si="9"/>
        <v>-311105683.5</v>
      </c>
      <c r="L35" s="54">
        <f t="shared" si="9"/>
        <v>5188371069</v>
      </c>
      <c r="M35" s="54">
        <f t="shared" si="9"/>
        <v>8441038568</v>
      </c>
      <c r="N35" s="54">
        <f t="shared" si="9"/>
        <v>-3252667499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46</v>
      </c>
      <c r="B36" s="2"/>
      <c r="C36" s="3"/>
      <c r="D36" s="6"/>
      <c r="E36" s="6"/>
      <c r="F36" s="6"/>
      <c r="G36" s="6"/>
      <c r="H36" s="20"/>
      <c r="I36" s="6"/>
      <c r="J36" s="4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47</v>
      </c>
      <c r="D37" s="6">
        <v>2.560301713E7</v>
      </c>
      <c r="E37" s="6">
        <v>223517.62</v>
      </c>
      <c r="F37" s="6">
        <f t="shared" ref="F37:F38" si="10">D37-E37</f>
        <v>25379499.51</v>
      </c>
      <c r="G37" s="6">
        <v>2.451774907E7</v>
      </c>
      <c r="H37" s="6">
        <v>52.0</v>
      </c>
      <c r="I37" s="6">
        <v>149343.41</v>
      </c>
      <c r="J37" s="6">
        <v>0.0</v>
      </c>
      <c r="K37" s="4">
        <f t="shared" ref="K37:K38" si="11">I37-J37</f>
        <v>149343.41</v>
      </c>
      <c r="L37" s="4">
        <f>I37+Nov!L37</f>
        <v>438673.4881</v>
      </c>
      <c r="M37" s="4">
        <f>J37+Nov!M37</f>
        <v>507245.9939</v>
      </c>
      <c r="N37" s="4">
        <f t="shared" ref="N37:N38" si="12">L37-M37</f>
        <v>-68572.50575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48</v>
      </c>
      <c r="D38" s="6">
        <v>2.022662997E9</v>
      </c>
      <c r="E38" s="6">
        <v>6.6606317E7</v>
      </c>
      <c r="F38" s="6">
        <f t="shared" si="10"/>
        <v>1956056680</v>
      </c>
      <c r="G38" s="6">
        <v>0.0</v>
      </c>
      <c r="H38" s="6">
        <v>2935.0</v>
      </c>
      <c r="I38" s="6">
        <v>1.300721E7</v>
      </c>
      <c r="J38" s="6">
        <v>3.6189835E7</v>
      </c>
      <c r="K38" s="4">
        <f t="shared" si="11"/>
        <v>-23182625</v>
      </c>
      <c r="L38" s="4">
        <f>I38+Nov!L38</f>
        <v>85163470.47</v>
      </c>
      <c r="M38" s="4">
        <f>J38+Nov!M38</f>
        <v>210407982.4</v>
      </c>
      <c r="N38" s="4">
        <f t="shared" si="12"/>
        <v>-125244512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4" t="s">
        <v>49</v>
      </c>
      <c r="B39" s="25"/>
      <c r="C39" s="1"/>
      <c r="D39" s="54">
        <f t="shared" ref="D39:N39" si="13">SUM(D37:D38)</f>
        <v>2048266014</v>
      </c>
      <c r="E39" s="54">
        <f t="shared" si="13"/>
        <v>66829834.62</v>
      </c>
      <c r="F39" s="54">
        <f t="shared" si="13"/>
        <v>1981436180</v>
      </c>
      <c r="G39" s="54">
        <f t="shared" si="13"/>
        <v>24517749.07</v>
      </c>
      <c r="H39" s="27">
        <f t="shared" si="13"/>
        <v>2987</v>
      </c>
      <c r="I39" s="54">
        <f t="shared" si="13"/>
        <v>13156553.41</v>
      </c>
      <c r="J39" s="54">
        <f t="shared" si="13"/>
        <v>36189835</v>
      </c>
      <c r="K39" s="54">
        <f t="shared" si="13"/>
        <v>-23033281.59</v>
      </c>
      <c r="L39" s="54">
        <f t="shared" si="13"/>
        <v>85602143.96</v>
      </c>
      <c r="M39" s="54">
        <f t="shared" si="13"/>
        <v>210915228.4</v>
      </c>
      <c r="N39" s="54">
        <f t="shared" si="13"/>
        <v>-125313084.5</v>
      </c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50</v>
      </c>
      <c r="B40" s="25"/>
      <c r="C40" s="1"/>
      <c r="D40" s="54">
        <f t="shared" ref="D40:N40" si="14">D35+D39</f>
        <v>67765589818</v>
      </c>
      <c r="E40" s="54">
        <f t="shared" si="14"/>
        <v>495067915.4</v>
      </c>
      <c r="F40" s="54">
        <f t="shared" si="14"/>
        <v>67270521902</v>
      </c>
      <c r="G40" s="54">
        <f t="shared" si="14"/>
        <v>62607959349</v>
      </c>
      <c r="H40" s="27">
        <f t="shared" si="14"/>
        <v>859492</v>
      </c>
      <c r="I40" s="54">
        <f t="shared" si="14"/>
        <v>564318709.9</v>
      </c>
      <c r="J40" s="54">
        <f t="shared" si="14"/>
        <v>898457675</v>
      </c>
      <c r="K40" s="54">
        <f t="shared" si="14"/>
        <v>-334138965.1</v>
      </c>
      <c r="L40" s="54">
        <f t="shared" si="14"/>
        <v>5273973213</v>
      </c>
      <c r="M40" s="54">
        <f t="shared" si="14"/>
        <v>8651953796</v>
      </c>
      <c r="N40" s="54">
        <f t="shared" si="14"/>
        <v>-3377980583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51</v>
      </c>
      <c r="B41" s="2"/>
      <c r="C41" s="3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0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4.9026043622E8</v>
      </c>
      <c r="E43" s="6">
        <v>1363605.56</v>
      </c>
      <c r="F43" s="6">
        <f t="shared" ref="F43:F52" si="15">D43-E43</f>
        <v>488896830.7</v>
      </c>
      <c r="G43" s="6">
        <v>2.7949878755E8</v>
      </c>
      <c r="H43" s="5">
        <v>2370.0</v>
      </c>
      <c r="I43" s="6">
        <v>1553392.59</v>
      </c>
      <c r="J43" s="4">
        <v>1.769629247E7</v>
      </c>
      <c r="K43" s="4">
        <f t="shared" ref="K43:K52" si="16">I43-J43</f>
        <v>-16142899.88</v>
      </c>
      <c r="L43" s="4">
        <f>I43+Nov!L44</f>
        <v>10346012.13</v>
      </c>
      <c r="M43" s="4">
        <f>J43+Nov!M44</f>
        <v>131213331.5</v>
      </c>
      <c r="N43" s="4">
        <f t="shared" ref="N43:N52" si="17">L43-M43</f>
        <v>-120867319.4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138</v>
      </c>
      <c r="D44" s="6">
        <v>1.2053907096E8</v>
      </c>
      <c r="E44" s="6">
        <v>371101.68</v>
      </c>
      <c r="F44" s="6">
        <f t="shared" si="15"/>
        <v>120167969.3</v>
      </c>
      <c r="G44" s="6">
        <v>5.31847514E7</v>
      </c>
      <c r="H44" s="5">
        <v>710.0</v>
      </c>
      <c r="I44" s="6">
        <v>198063.36</v>
      </c>
      <c r="J44" s="4">
        <v>195256.52</v>
      </c>
      <c r="K44" s="4">
        <f t="shared" si="16"/>
        <v>2806.84</v>
      </c>
      <c r="L44" s="4">
        <f>I44+Nov!L43</f>
        <v>3821825.85</v>
      </c>
      <c r="M44" s="4">
        <f>J44+Nov!M43</f>
        <v>4693682.7</v>
      </c>
      <c r="N44" s="4">
        <f t="shared" si="17"/>
        <v>-871856.85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54</v>
      </c>
      <c r="D45" s="6">
        <v>9.56709077E8</v>
      </c>
      <c r="E45" s="6">
        <v>5192733.0</v>
      </c>
      <c r="F45" s="6">
        <f t="shared" si="15"/>
        <v>951516344</v>
      </c>
      <c r="G45" s="6">
        <v>5.32743429E8</v>
      </c>
      <c r="H45" s="5">
        <v>4451.0</v>
      </c>
      <c r="I45" s="6">
        <v>1015265.0</v>
      </c>
      <c r="J45" s="4">
        <v>4382850.0</v>
      </c>
      <c r="K45" s="4">
        <f t="shared" si="16"/>
        <v>-3367585</v>
      </c>
      <c r="L45" s="4">
        <f>I45+Nov!L45</f>
        <v>20902721.55</v>
      </c>
      <c r="M45" s="4">
        <f>J45+Nov!M45</f>
        <v>125761298.1</v>
      </c>
      <c r="N45" s="4">
        <f t="shared" si="17"/>
        <v>-104858576.5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55</v>
      </c>
      <c r="D46" s="6">
        <v>2.81465699E8</v>
      </c>
      <c r="E46" s="6">
        <v>848548.0</v>
      </c>
      <c r="F46" s="6">
        <f t="shared" si="15"/>
        <v>280617151</v>
      </c>
      <c r="G46" s="6">
        <v>2.31126704E8</v>
      </c>
      <c r="H46" s="5">
        <v>236.0</v>
      </c>
      <c r="I46" s="6">
        <v>82536.0</v>
      </c>
      <c r="J46" s="4">
        <v>3074951.0</v>
      </c>
      <c r="K46" s="4">
        <f t="shared" si="16"/>
        <v>-2992415</v>
      </c>
      <c r="L46" s="4">
        <f>I46+Nov!L46</f>
        <v>41216067.27</v>
      </c>
      <c r="M46" s="4">
        <f>J46+Nov!M46</f>
        <v>54425298.26</v>
      </c>
      <c r="N46" s="4">
        <f t="shared" si="17"/>
        <v>-13209230.99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56</v>
      </c>
      <c r="D47" s="6">
        <v>3.200762595E8</v>
      </c>
      <c r="E47" s="6">
        <v>1561026.19</v>
      </c>
      <c r="F47" s="6">
        <f t="shared" si="15"/>
        <v>318515233.3</v>
      </c>
      <c r="G47" s="6">
        <v>1.5669682773E8</v>
      </c>
      <c r="H47" s="5">
        <v>49.0</v>
      </c>
      <c r="I47" s="6">
        <v>0.0</v>
      </c>
      <c r="J47" s="4">
        <v>9896174.0</v>
      </c>
      <c r="K47" s="4">
        <f t="shared" si="16"/>
        <v>-9896174</v>
      </c>
      <c r="L47" s="4">
        <f>I47+Nov!L47</f>
        <v>0</v>
      </c>
      <c r="M47" s="4">
        <f>J47+Nov!M47</f>
        <v>12922215.75</v>
      </c>
      <c r="N47" s="4">
        <f t="shared" si="17"/>
        <v>-12922215.75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57</v>
      </c>
      <c r="D48" s="6">
        <v>5.20044766E8</v>
      </c>
      <c r="E48" s="6">
        <v>1.7487074E7</v>
      </c>
      <c r="F48" s="6">
        <f t="shared" si="15"/>
        <v>502557692</v>
      </c>
      <c r="G48" s="6">
        <v>2.55004345E8</v>
      </c>
      <c r="H48" s="5">
        <v>9899.0</v>
      </c>
      <c r="I48" s="6">
        <v>211159.0</v>
      </c>
      <c r="J48" s="4">
        <v>2676257.0</v>
      </c>
      <c r="K48" s="4">
        <f t="shared" si="16"/>
        <v>-2465098</v>
      </c>
      <c r="L48" s="4">
        <f>I48+Nov!L48</f>
        <v>3761439.86</v>
      </c>
      <c r="M48" s="4">
        <f>J48+Nov!M48</f>
        <v>65647478.57</v>
      </c>
      <c r="N48" s="4">
        <f t="shared" si="17"/>
        <v>-61886038.71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58</v>
      </c>
      <c r="D49" s="6">
        <v>1.994582812E9</v>
      </c>
      <c r="E49" s="6">
        <v>2.4203832E7</v>
      </c>
      <c r="F49" s="6">
        <f t="shared" si="15"/>
        <v>1970378980</v>
      </c>
      <c r="G49" s="6">
        <v>9.80424483E8</v>
      </c>
      <c r="H49" s="5">
        <v>7840.0</v>
      </c>
      <c r="I49" s="6">
        <v>794991.0</v>
      </c>
      <c r="J49" s="4">
        <v>1.8618272E7</v>
      </c>
      <c r="K49" s="4">
        <f t="shared" si="16"/>
        <v>-17823281</v>
      </c>
      <c r="L49" s="4">
        <f>I49+Nov!L49</f>
        <v>24207428.04</v>
      </c>
      <c r="M49" s="4">
        <f>J49+Nov!M49</f>
        <v>175759332.4</v>
      </c>
      <c r="N49" s="4">
        <f t="shared" si="17"/>
        <v>-151551904.4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59</v>
      </c>
      <c r="D50" s="6">
        <v>1.19651134E8</v>
      </c>
      <c r="E50" s="6">
        <v>155682.0</v>
      </c>
      <c r="F50" s="6">
        <f t="shared" si="15"/>
        <v>119495452</v>
      </c>
      <c r="G50" s="6">
        <v>6.111258E7</v>
      </c>
      <c r="H50" s="5">
        <v>184.0</v>
      </c>
      <c r="I50" s="6">
        <v>0.0</v>
      </c>
      <c r="J50" s="4">
        <v>149481.0</v>
      </c>
      <c r="K50" s="4">
        <f t="shared" si="16"/>
        <v>-149481</v>
      </c>
      <c r="L50" s="4">
        <f>I50+Nov!L50</f>
        <v>246291.67</v>
      </c>
      <c r="M50" s="4">
        <f>J50+Nov!M50</f>
        <v>20515593.55</v>
      </c>
      <c r="N50" s="4">
        <f t="shared" si="17"/>
        <v>-20269301.88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60</v>
      </c>
      <c r="D51" s="6">
        <v>6.76428513E9</v>
      </c>
      <c r="E51" s="6">
        <v>2.6720308E7</v>
      </c>
      <c r="F51" s="6">
        <f t="shared" si="15"/>
        <v>6737564822</v>
      </c>
      <c r="G51" s="6">
        <v>3.641428052E9</v>
      </c>
      <c r="H51" s="5">
        <v>54120.0</v>
      </c>
      <c r="I51" s="6">
        <v>6898403.0</v>
      </c>
      <c r="J51" s="4">
        <v>1.15794423E8</v>
      </c>
      <c r="K51" s="4">
        <f t="shared" si="16"/>
        <v>-108896020</v>
      </c>
      <c r="L51" s="4">
        <f>I51+Nov!L51</f>
        <v>101332663.2</v>
      </c>
      <c r="M51" s="4">
        <f>J51+Nov!M51</f>
        <v>778915861.2</v>
      </c>
      <c r="N51" s="4">
        <f t="shared" si="17"/>
        <v>-677583198.1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61</v>
      </c>
      <c r="D52" s="6">
        <v>6.34038998E8</v>
      </c>
      <c r="E52" s="6">
        <v>2345132.0</v>
      </c>
      <c r="F52" s="6">
        <f t="shared" si="15"/>
        <v>631693866</v>
      </c>
      <c r="G52" s="6">
        <v>0.0</v>
      </c>
      <c r="H52" s="5">
        <v>4999.0</v>
      </c>
      <c r="I52" s="6">
        <v>0.0</v>
      </c>
      <c r="J52" s="4">
        <v>1.9643424E7</v>
      </c>
      <c r="K52" s="4">
        <f t="shared" si="16"/>
        <v>-19643424</v>
      </c>
      <c r="L52" s="4">
        <f>I52+Nov!L52</f>
        <v>0</v>
      </c>
      <c r="M52" s="4">
        <f>J52+Nov!M52</f>
        <v>534409196.8</v>
      </c>
      <c r="N52" s="4">
        <f t="shared" si="17"/>
        <v>-534409196.8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5"/>
      <c r="I53" s="6"/>
      <c r="J53" s="4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62</v>
      </c>
      <c r="D54" s="6">
        <v>7.8602959E7</v>
      </c>
      <c r="E54" s="6">
        <v>334273.0</v>
      </c>
      <c r="F54" s="6">
        <f t="shared" ref="F54:F56" si="19">D54-E54</f>
        <v>78268686</v>
      </c>
      <c r="G54" s="6">
        <v>2.3575846E7</v>
      </c>
      <c r="H54" s="5">
        <v>1159.0</v>
      </c>
      <c r="I54" s="6">
        <v>288136.0</v>
      </c>
      <c r="J54" s="4">
        <v>344522.0</v>
      </c>
      <c r="K54" s="4">
        <f t="shared" ref="K54:K56" si="20">I54-J54</f>
        <v>-56386</v>
      </c>
      <c r="L54" s="4">
        <f>I54+Nov!L54</f>
        <v>5742627.2</v>
      </c>
      <c r="M54" s="4">
        <f>J54+Nov!M54</f>
        <v>3869375.55</v>
      </c>
      <c r="N54" s="4">
        <f t="shared" ref="N54:N56" si="21">L54-M54</f>
        <v>1873251.65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63</v>
      </c>
      <c r="D55" s="6">
        <v>5.5652526E7</v>
      </c>
      <c r="E55" s="6">
        <v>270235.0</v>
      </c>
      <c r="F55" s="6">
        <f t="shared" si="19"/>
        <v>55382291</v>
      </c>
      <c r="G55" s="6">
        <v>4.295805E7</v>
      </c>
      <c r="H55" s="5">
        <v>457.0</v>
      </c>
      <c r="I55" s="6">
        <v>174100.0</v>
      </c>
      <c r="J55" s="4">
        <v>282083.0</v>
      </c>
      <c r="K55" s="4">
        <f t="shared" si="20"/>
        <v>-107983</v>
      </c>
      <c r="L55" s="4">
        <f>I55+Nov!L55</f>
        <v>2194793</v>
      </c>
      <c r="M55" s="4">
        <f>J55+Nov!M55</f>
        <v>2486719.19</v>
      </c>
      <c r="N55" s="4">
        <f t="shared" si="21"/>
        <v>-291926.19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64</v>
      </c>
      <c r="D56" s="6">
        <v>4.7223925E7</v>
      </c>
      <c r="E56" s="6">
        <v>251907.0</v>
      </c>
      <c r="F56" s="6">
        <f t="shared" si="19"/>
        <v>46972018</v>
      </c>
      <c r="G56" s="6">
        <v>3.9157231E7</v>
      </c>
      <c r="H56" s="5">
        <v>210.0</v>
      </c>
      <c r="I56" s="6">
        <v>33000.0</v>
      </c>
      <c r="J56" s="4">
        <v>7872.0</v>
      </c>
      <c r="K56" s="4">
        <f t="shared" si="20"/>
        <v>25128</v>
      </c>
      <c r="L56" s="4">
        <f>I56+Nov!L56</f>
        <v>655175</v>
      </c>
      <c r="M56" s="4">
        <f>J56+Nov!M56</f>
        <v>275853.96</v>
      </c>
      <c r="N56" s="4">
        <f t="shared" si="21"/>
        <v>379321.04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4" t="s">
        <v>45</v>
      </c>
      <c r="B57" s="24"/>
      <c r="C57" s="1"/>
      <c r="D57" s="54">
        <f t="shared" ref="D57:G57" si="23">SUM(D43:D56)</f>
        <v>12383132793</v>
      </c>
      <c r="E57" s="54">
        <f t="shared" si="23"/>
        <v>81105457.43</v>
      </c>
      <c r="F57" s="54">
        <f t="shared" si="23"/>
        <v>12302027335</v>
      </c>
      <c r="G57" s="54">
        <f t="shared" si="23"/>
        <v>6296911087</v>
      </c>
      <c r="H57" s="27">
        <f>SUM(H42:H56)</f>
        <v>86684</v>
      </c>
      <c r="I57" s="54">
        <f t="shared" ref="I57:N57" si="24">SUM(I43:I56)</f>
        <v>11249045.95</v>
      </c>
      <c r="J57" s="54">
        <f t="shared" si="24"/>
        <v>192761858</v>
      </c>
      <c r="K57" s="54">
        <f t="shared" si="24"/>
        <v>-181512812</v>
      </c>
      <c r="L57" s="54">
        <f t="shared" si="24"/>
        <v>214427044.7</v>
      </c>
      <c r="M57" s="54">
        <f t="shared" si="24"/>
        <v>1910895238</v>
      </c>
      <c r="N57" s="54">
        <f t="shared" si="24"/>
        <v>-1696468193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46</v>
      </c>
      <c r="B58" s="2"/>
      <c r="C58" s="3"/>
      <c r="D58" s="6"/>
      <c r="E58" s="6"/>
      <c r="F58" s="6"/>
      <c r="G58" s="6"/>
      <c r="H58" s="20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108</v>
      </c>
      <c r="D59" s="6">
        <v>7.246915001E7</v>
      </c>
      <c r="E59" s="6">
        <v>500348.61</v>
      </c>
      <c r="F59" s="6">
        <f t="shared" ref="F59:F62" si="25">D59-E59</f>
        <v>71968801.4</v>
      </c>
      <c r="G59" s="6">
        <v>0.0</v>
      </c>
      <c r="H59" s="20">
        <v>50.0</v>
      </c>
      <c r="I59" s="6">
        <v>0.0</v>
      </c>
      <c r="J59" s="6">
        <v>0.0</v>
      </c>
      <c r="K59" s="4">
        <f t="shared" ref="K59:K62" si="26">I59-J59</f>
        <v>0</v>
      </c>
      <c r="L59" s="4">
        <f>I59+Nov!L59</f>
        <v>0</v>
      </c>
      <c r="M59" s="4">
        <f>J59+Nov!M59</f>
        <v>988511.6892</v>
      </c>
      <c r="N59" s="4">
        <f t="shared" ref="N59:N62" si="27">L59-M59</f>
        <v>-988511.6892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66</v>
      </c>
      <c r="D60" s="6">
        <v>3.3968156E8</v>
      </c>
      <c r="E60" s="6">
        <v>3.0373241E7</v>
      </c>
      <c r="F60" s="6">
        <f t="shared" si="25"/>
        <v>309308319</v>
      </c>
      <c r="G60" s="6">
        <v>1.61518601E8</v>
      </c>
      <c r="H60" s="20">
        <v>241.0</v>
      </c>
      <c r="I60" s="6">
        <v>27653.0</v>
      </c>
      <c r="J60" s="6">
        <v>2708120.0</v>
      </c>
      <c r="K60" s="4">
        <f t="shared" si="26"/>
        <v>-2680467</v>
      </c>
      <c r="L60" s="4">
        <f>I60+Nov!L60</f>
        <v>33284.4684</v>
      </c>
      <c r="M60" s="4">
        <f>J60+Nov!M60</f>
        <v>22169317.77</v>
      </c>
      <c r="N60" s="4">
        <f t="shared" si="27"/>
        <v>-22136033.3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67</v>
      </c>
      <c r="D61" s="6">
        <v>1.507483478E9</v>
      </c>
      <c r="E61" s="6">
        <v>1.8787363E7</v>
      </c>
      <c r="F61" s="6">
        <f t="shared" si="25"/>
        <v>1488696115</v>
      </c>
      <c r="G61" s="6">
        <v>0.0</v>
      </c>
      <c r="H61" s="20">
        <v>4163.0</v>
      </c>
      <c r="I61" s="6">
        <v>981519.0</v>
      </c>
      <c r="J61" s="6">
        <v>3.0509587E7</v>
      </c>
      <c r="K61" s="4">
        <f t="shared" si="26"/>
        <v>-29528068</v>
      </c>
      <c r="L61" s="4">
        <f>I61+Nov!L61</f>
        <v>18619186.29</v>
      </c>
      <c r="M61" s="4">
        <f>J61+Nov!M61</f>
        <v>209289979.2</v>
      </c>
      <c r="N61" s="4">
        <f t="shared" si="27"/>
        <v>-190670793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68</v>
      </c>
      <c r="D62" s="6">
        <v>2.55147939E8</v>
      </c>
      <c r="E62" s="6">
        <v>2618151.0</v>
      </c>
      <c r="F62" s="6">
        <f t="shared" si="25"/>
        <v>252529788</v>
      </c>
      <c r="G62" s="6">
        <v>0.0</v>
      </c>
      <c r="H62" s="20">
        <v>740.0</v>
      </c>
      <c r="I62" s="6">
        <v>0.0</v>
      </c>
      <c r="J62" s="6">
        <v>1.0556078E7</v>
      </c>
      <c r="K62" s="4">
        <f t="shared" si="26"/>
        <v>-10556078</v>
      </c>
      <c r="L62" s="4">
        <f>I62+Nov!L62</f>
        <v>9792818.064</v>
      </c>
      <c r="M62" s="4">
        <f>J62+Nov!M62</f>
        <v>66493781.42</v>
      </c>
      <c r="N62" s="4">
        <f t="shared" si="27"/>
        <v>-56700963.35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4" t="s">
        <v>49</v>
      </c>
      <c r="B63" s="25"/>
      <c r="C63" s="1"/>
      <c r="D63" s="54">
        <f t="shared" ref="D63:N63" si="29">SUM(D59:D62)</f>
        <v>2174782127</v>
      </c>
      <c r="E63" s="54">
        <f t="shared" si="29"/>
        <v>52279103.61</v>
      </c>
      <c r="F63" s="54">
        <f t="shared" si="29"/>
        <v>2122503023</v>
      </c>
      <c r="G63" s="54">
        <f t="shared" si="29"/>
        <v>161518601</v>
      </c>
      <c r="H63" s="27">
        <f t="shared" si="29"/>
        <v>5194</v>
      </c>
      <c r="I63" s="54">
        <f t="shared" si="29"/>
        <v>1009172</v>
      </c>
      <c r="J63" s="54">
        <f t="shared" si="29"/>
        <v>43773785</v>
      </c>
      <c r="K63" s="54">
        <f t="shared" si="29"/>
        <v>-42764613</v>
      </c>
      <c r="L63" s="54">
        <f t="shared" si="29"/>
        <v>28445288.82</v>
      </c>
      <c r="M63" s="54">
        <f t="shared" si="29"/>
        <v>298941590.1</v>
      </c>
      <c r="N63" s="54">
        <f t="shared" si="29"/>
        <v>-270496301.3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69</v>
      </c>
      <c r="B64" s="25"/>
      <c r="C64" s="1"/>
      <c r="D64" s="54">
        <f t="shared" ref="D64:N64" si="30">D57+D63</f>
        <v>14557914920</v>
      </c>
      <c r="E64" s="54">
        <f t="shared" si="30"/>
        <v>133384561</v>
      </c>
      <c r="F64" s="54">
        <f t="shared" si="30"/>
        <v>14424530359</v>
      </c>
      <c r="G64" s="54">
        <f t="shared" si="30"/>
        <v>6458429688</v>
      </c>
      <c r="H64" s="27">
        <f t="shared" si="30"/>
        <v>91878</v>
      </c>
      <c r="I64" s="54">
        <f t="shared" si="30"/>
        <v>12258217.95</v>
      </c>
      <c r="J64" s="54">
        <f t="shared" si="30"/>
        <v>236535643</v>
      </c>
      <c r="K64" s="54">
        <f t="shared" si="30"/>
        <v>-224277425</v>
      </c>
      <c r="L64" s="54">
        <f t="shared" si="30"/>
        <v>242872333.5</v>
      </c>
      <c r="M64" s="54">
        <f t="shared" si="30"/>
        <v>2209836828</v>
      </c>
      <c r="N64" s="54">
        <f t="shared" si="30"/>
        <v>-1966964494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70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0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71</v>
      </c>
      <c r="D67" s="6">
        <v>3.6844415263E10</v>
      </c>
      <c r="E67" s="6">
        <v>2.20803597E8</v>
      </c>
      <c r="F67" s="6">
        <f t="shared" ref="F67:F77" si="31">D67-E67</f>
        <v>36623611666</v>
      </c>
      <c r="G67" s="6">
        <v>0.0</v>
      </c>
      <c r="H67" s="20">
        <v>23612.0</v>
      </c>
      <c r="I67" s="6">
        <v>1.91159367E8</v>
      </c>
      <c r="J67" s="4">
        <v>8.23496001E8</v>
      </c>
      <c r="K67" s="4">
        <f t="shared" ref="K67:K77" si="32">I67-J67</f>
        <v>-632336634</v>
      </c>
      <c r="L67" s="4">
        <f>I67+Nov!L67</f>
        <v>2560348571</v>
      </c>
      <c r="M67" s="4">
        <f>J67+Nov!M67</f>
        <v>6968718679</v>
      </c>
      <c r="N67" s="4">
        <f t="shared" ref="N67:N77" si="33">L67-M67</f>
        <v>-4408370108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72</v>
      </c>
      <c r="D68" s="6">
        <v>4.3534179667E8</v>
      </c>
      <c r="E68" s="6">
        <v>4364296.88</v>
      </c>
      <c r="F68" s="6">
        <f t="shared" si="31"/>
        <v>430977499.8</v>
      </c>
      <c r="G68" s="6">
        <v>0.0</v>
      </c>
      <c r="H68" s="20">
        <v>1041.0</v>
      </c>
      <c r="I68" s="6">
        <v>4042979.69</v>
      </c>
      <c r="J68" s="4">
        <v>6058021.74</v>
      </c>
      <c r="K68" s="4">
        <f t="shared" si="32"/>
        <v>-2015042.05</v>
      </c>
      <c r="L68" s="4">
        <f>I68+Nov!L68</f>
        <v>92428541.47</v>
      </c>
      <c r="M68" s="4">
        <f>J68+Nov!M68</f>
        <v>131849162.7</v>
      </c>
      <c r="N68" s="4">
        <f t="shared" si="33"/>
        <v>-39420621.2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73</v>
      </c>
      <c r="D69" s="6">
        <v>9.1999397782E8</v>
      </c>
      <c r="E69" s="6">
        <v>1.473987827E7</v>
      </c>
      <c r="F69" s="6">
        <f t="shared" si="31"/>
        <v>905254099.6</v>
      </c>
      <c r="G69" s="6">
        <v>0.0</v>
      </c>
      <c r="H69" s="20">
        <v>1870.0</v>
      </c>
      <c r="I69" s="6">
        <v>1.7105653483E8</v>
      </c>
      <c r="J69" s="4">
        <v>1.7177693075E8</v>
      </c>
      <c r="K69" s="4">
        <f t="shared" si="32"/>
        <v>-720395.92</v>
      </c>
      <c r="L69" s="4">
        <f>I69+Nov!L69</f>
        <v>225424451.6</v>
      </c>
      <c r="M69" s="4">
        <f>J69+Nov!M69</f>
        <v>343262956.2</v>
      </c>
      <c r="N69" s="4">
        <f t="shared" si="33"/>
        <v>-117838504.6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74</v>
      </c>
      <c r="D70" s="6">
        <v>1.97367925E8</v>
      </c>
      <c r="E70" s="6">
        <v>189908.0</v>
      </c>
      <c r="F70" s="6">
        <f t="shared" si="31"/>
        <v>197178017</v>
      </c>
      <c r="G70" s="6">
        <v>0.0</v>
      </c>
      <c r="H70" s="20">
        <v>171.0</v>
      </c>
      <c r="I70" s="6">
        <v>0.0</v>
      </c>
      <c r="J70" s="4">
        <v>1327478.0</v>
      </c>
      <c r="K70" s="4">
        <f t="shared" si="32"/>
        <v>-1327478</v>
      </c>
      <c r="L70" s="4">
        <f>I70+Nov!L70</f>
        <v>5411183.85</v>
      </c>
      <c r="M70" s="4">
        <f>J70+Nov!M70</f>
        <v>10527327.64</v>
      </c>
      <c r="N70" s="4">
        <f t="shared" si="33"/>
        <v>-5116143.79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75</v>
      </c>
      <c r="D71" s="6">
        <v>1.281403933E9</v>
      </c>
      <c r="E71" s="6">
        <v>5732677.0</v>
      </c>
      <c r="F71" s="6">
        <f t="shared" si="31"/>
        <v>1275671256</v>
      </c>
      <c r="G71" s="6">
        <v>0.0</v>
      </c>
      <c r="H71" s="20">
        <v>1812.0</v>
      </c>
      <c r="I71" s="6">
        <v>639217.0</v>
      </c>
      <c r="J71" s="4">
        <v>1.1356828E7</v>
      </c>
      <c r="K71" s="4">
        <f t="shared" si="32"/>
        <v>-10717611</v>
      </c>
      <c r="L71" s="4">
        <f>I71+Nov!L71</f>
        <v>302995712.1</v>
      </c>
      <c r="M71" s="4">
        <f>J71+Nov!M71</f>
        <v>344936705.7</v>
      </c>
      <c r="N71" s="4">
        <f t="shared" si="33"/>
        <v>-41940993.54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76</v>
      </c>
      <c r="D72" s="6">
        <v>5.91701203E8</v>
      </c>
      <c r="E72" s="6">
        <v>1.3045057E7</v>
      </c>
      <c r="F72" s="6">
        <f t="shared" si="31"/>
        <v>578656146</v>
      </c>
      <c r="G72" s="6">
        <v>0.0</v>
      </c>
      <c r="H72" s="20">
        <v>459.0</v>
      </c>
      <c r="I72" s="6">
        <v>2079618.0</v>
      </c>
      <c r="J72" s="4">
        <v>8.4893963E7</v>
      </c>
      <c r="K72" s="4">
        <f t="shared" si="32"/>
        <v>-82814345</v>
      </c>
      <c r="L72" s="4">
        <f>I72+Nov!L72</f>
        <v>20892272.49</v>
      </c>
      <c r="M72" s="4">
        <f>J72+Nov!M72</f>
        <v>284576544.8</v>
      </c>
      <c r="N72" s="4">
        <f t="shared" si="33"/>
        <v>-263684272.3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77</v>
      </c>
      <c r="D73" s="6">
        <v>1.628854083E9</v>
      </c>
      <c r="E73" s="6">
        <v>3.1521033E7</v>
      </c>
      <c r="F73" s="6">
        <f t="shared" si="31"/>
        <v>1597333050</v>
      </c>
      <c r="G73" s="6">
        <v>0.0</v>
      </c>
      <c r="H73" s="20">
        <v>4862.0</v>
      </c>
      <c r="I73" s="6">
        <v>1869722.0</v>
      </c>
      <c r="J73" s="4">
        <v>2.9257E7</v>
      </c>
      <c r="K73" s="4">
        <f t="shared" si="32"/>
        <v>-27387278</v>
      </c>
      <c r="L73" s="4">
        <f>I73+Nov!L73</f>
        <v>36559809.15</v>
      </c>
      <c r="M73" s="4">
        <f>J73+Nov!M73</f>
        <v>187931069.6</v>
      </c>
      <c r="N73" s="4">
        <f t="shared" si="33"/>
        <v>-151371260.5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78</v>
      </c>
      <c r="D74" s="6">
        <v>3.2781569087E8</v>
      </c>
      <c r="E74" s="6">
        <v>1311629.88</v>
      </c>
      <c r="F74" s="6">
        <f t="shared" si="31"/>
        <v>326504061</v>
      </c>
      <c r="G74" s="6">
        <v>0.0</v>
      </c>
      <c r="H74" s="20">
        <v>4032.0</v>
      </c>
      <c r="I74" s="6">
        <v>1039845.52</v>
      </c>
      <c r="J74" s="4">
        <v>1139462.92</v>
      </c>
      <c r="K74" s="4">
        <f t="shared" si="32"/>
        <v>-99617.4</v>
      </c>
      <c r="L74" s="4">
        <f>I74+Nov!L74</f>
        <v>44951070.85</v>
      </c>
      <c r="M74" s="4">
        <f>J74+Nov!M74</f>
        <v>35588869.59</v>
      </c>
      <c r="N74" s="4">
        <f t="shared" si="33"/>
        <v>9362201.26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79</v>
      </c>
      <c r="D75" s="6">
        <v>1.51871852861E9</v>
      </c>
      <c r="E75" s="6">
        <v>3919706.4</v>
      </c>
      <c r="F75" s="6">
        <f t="shared" si="31"/>
        <v>1514798822</v>
      </c>
      <c r="G75" s="6">
        <v>0.0</v>
      </c>
      <c r="H75" s="20">
        <v>795.0</v>
      </c>
      <c r="I75" s="6">
        <v>2.502936276E7</v>
      </c>
      <c r="J75" s="4">
        <v>95095.8</v>
      </c>
      <c r="K75" s="4">
        <f t="shared" si="32"/>
        <v>24934266.96</v>
      </c>
      <c r="L75" s="4">
        <f>I75+Nov!L75</f>
        <v>281695904.3</v>
      </c>
      <c r="M75" s="4">
        <f>J75+Nov!M75</f>
        <v>6573549.32</v>
      </c>
      <c r="N75" s="4">
        <f t="shared" si="33"/>
        <v>275122355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80</v>
      </c>
      <c r="D76" s="6">
        <v>5.953562936E9</v>
      </c>
      <c r="E76" s="6">
        <v>9982119.0</v>
      </c>
      <c r="F76" s="6">
        <f t="shared" si="31"/>
        <v>5943580817</v>
      </c>
      <c r="G76" s="6">
        <v>0.0</v>
      </c>
      <c r="H76" s="20">
        <v>18119.0</v>
      </c>
      <c r="I76" s="6">
        <v>3.73579996E8</v>
      </c>
      <c r="J76" s="4">
        <v>9.8679338E7</v>
      </c>
      <c r="K76" s="4">
        <f t="shared" si="32"/>
        <v>274900658</v>
      </c>
      <c r="L76" s="4">
        <f>I76+Nov!L76</f>
        <v>2175165813</v>
      </c>
      <c r="M76" s="4">
        <f>J76+Nov!M76</f>
        <v>956357153</v>
      </c>
      <c r="N76" s="4">
        <f t="shared" si="33"/>
        <v>1218808660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81</v>
      </c>
      <c r="D77" s="6">
        <v>1.25878492E8</v>
      </c>
      <c r="E77" s="6">
        <v>469447.0</v>
      </c>
      <c r="F77" s="6">
        <f t="shared" si="31"/>
        <v>125409045</v>
      </c>
      <c r="G77" s="6">
        <v>0.0</v>
      </c>
      <c r="H77" s="20">
        <v>2755.0</v>
      </c>
      <c r="I77" s="6">
        <v>351696.0</v>
      </c>
      <c r="J77" s="4">
        <v>697320.0</v>
      </c>
      <c r="K77" s="4">
        <f t="shared" si="32"/>
        <v>-345624</v>
      </c>
      <c r="L77" s="4">
        <f>I77+Nov!L77</f>
        <v>11517420.44</v>
      </c>
      <c r="M77" s="4">
        <f>J77+Nov!M77</f>
        <v>29454221.71</v>
      </c>
      <c r="N77" s="4">
        <f t="shared" si="33"/>
        <v>-17936801.27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139</v>
      </c>
      <c r="B78" s="2"/>
      <c r="C78" s="3"/>
      <c r="D78" s="6"/>
      <c r="E78" s="6"/>
      <c r="F78" s="6"/>
      <c r="G78" s="6"/>
      <c r="H78" s="20"/>
      <c r="I78" s="6"/>
      <c r="J78" s="4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140</v>
      </c>
      <c r="D79" s="6">
        <v>7.0687683982E8</v>
      </c>
      <c r="E79" s="6">
        <v>226100.0</v>
      </c>
      <c r="F79" s="6">
        <f>D79-E79</f>
        <v>706650739.8</v>
      </c>
      <c r="G79" s="6">
        <v>0.0</v>
      </c>
      <c r="H79" s="20">
        <v>13.0</v>
      </c>
      <c r="I79" s="6">
        <v>0.0</v>
      </c>
      <c r="J79" s="4">
        <v>0.0</v>
      </c>
      <c r="K79" s="4">
        <f>I79-J79</f>
        <v>0</v>
      </c>
      <c r="L79" s="4">
        <f>I79+Nov!L79</f>
        <v>700000000</v>
      </c>
      <c r="M79" s="4">
        <f>J79+Nov!M79</f>
        <v>0</v>
      </c>
      <c r="N79" s="4">
        <f>L79-M79</f>
        <v>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4" t="s">
        <v>45</v>
      </c>
      <c r="B80" s="1"/>
      <c r="C80" s="1"/>
      <c r="D80" s="54">
        <f t="shared" ref="D80:N80" si="35">SUM(D67:D79)</f>
        <v>50531930669</v>
      </c>
      <c r="E80" s="54">
        <f t="shared" si="35"/>
        <v>306305449.4</v>
      </c>
      <c r="F80" s="54">
        <f t="shared" si="35"/>
        <v>50225625219</v>
      </c>
      <c r="G80" s="54">
        <f t="shared" si="35"/>
        <v>0</v>
      </c>
      <c r="H80" s="27">
        <f t="shared" si="35"/>
        <v>59541</v>
      </c>
      <c r="I80" s="54">
        <f t="shared" si="35"/>
        <v>770848338.8</v>
      </c>
      <c r="J80" s="54">
        <f t="shared" si="35"/>
        <v>1228777439</v>
      </c>
      <c r="K80" s="54">
        <f t="shared" si="35"/>
        <v>-457929100.4</v>
      </c>
      <c r="L80" s="54">
        <f t="shared" si="35"/>
        <v>6457390750</v>
      </c>
      <c r="M80" s="54">
        <f t="shared" si="35"/>
        <v>9299776239</v>
      </c>
      <c r="N80" s="54">
        <f t="shared" si="35"/>
        <v>-2842385489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46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82</v>
      </c>
      <c r="D82" s="6">
        <v>1.2790243292E10</v>
      </c>
      <c r="E82" s="6">
        <v>1.23855282E8</v>
      </c>
      <c r="F82" s="6">
        <f t="shared" ref="F82:F88" si="36">D82-E82</f>
        <v>12666388010</v>
      </c>
      <c r="G82" s="6">
        <v>0.0</v>
      </c>
      <c r="H82" s="20">
        <v>7937.0</v>
      </c>
      <c r="I82" s="6">
        <v>2.0472174E7</v>
      </c>
      <c r="J82" s="4">
        <v>1.31891355E8</v>
      </c>
      <c r="K82" s="4">
        <f t="shared" ref="K82:K88" si="37">I82-J82</f>
        <v>-111419181</v>
      </c>
      <c r="L82" s="4">
        <f>I82+Nov!L82</f>
        <v>474524850.4</v>
      </c>
      <c r="M82" s="4">
        <f>J82+Nov!M82</f>
        <v>1946436188</v>
      </c>
      <c r="N82" s="4">
        <f t="shared" ref="N82:N88" si="38">L82-M82</f>
        <v>-1471911338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83</v>
      </c>
      <c r="D83" s="6">
        <v>2.5774283679E8</v>
      </c>
      <c r="E83" s="6">
        <v>979085.56</v>
      </c>
      <c r="F83" s="6">
        <f t="shared" si="36"/>
        <v>256763751.2</v>
      </c>
      <c r="G83" s="6">
        <v>0.0</v>
      </c>
      <c r="H83" s="20">
        <v>147.0</v>
      </c>
      <c r="I83" s="6">
        <v>0.0</v>
      </c>
      <c r="J83" s="4">
        <v>146888.86</v>
      </c>
      <c r="K83" s="4">
        <f t="shared" si="37"/>
        <v>-146888.86</v>
      </c>
      <c r="L83" s="4">
        <f>I83+Nov!L83</f>
        <v>1340693.708</v>
      </c>
      <c r="M83" s="4">
        <f>J83+Nov!M83</f>
        <v>7036634.848</v>
      </c>
      <c r="N83" s="4">
        <f t="shared" si="38"/>
        <v>-5695941.14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84</v>
      </c>
      <c r="D84" s="6">
        <v>4.36304404E8</v>
      </c>
      <c r="E84" s="6">
        <v>1023705.0</v>
      </c>
      <c r="F84" s="6">
        <f t="shared" si="36"/>
        <v>435280699</v>
      </c>
      <c r="G84" s="6">
        <v>0.0</v>
      </c>
      <c r="H84" s="20">
        <v>160.0</v>
      </c>
      <c r="I84" s="6">
        <v>399030.0</v>
      </c>
      <c r="J84" s="4">
        <v>1.5807425E7</v>
      </c>
      <c r="K84" s="4">
        <f t="shared" si="37"/>
        <v>-15408395</v>
      </c>
      <c r="L84" s="4">
        <f>I84+Nov!L84</f>
        <v>20970517.46</v>
      </c>
      <c r="M84" s="4">
        <f>J84+Nov!M84</f>
        <v>32378859.96</v>
      </c>
      <c r="N84" s="4">
        <f t="shared" si="38"/>
        <v>-11408342.5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109</v>
      </c>
      <c r="D85" s="6">
        <v>6.5572286E7</v>
      </c>
      <c r="E85" s="6">
        <v>1.5406102E7</v>
      </c>
      <c r="F85" s="6">
        <f t="shared" si="36"/>
        <v>50166184</v>
      </c>
      <c r="G85" s="6">
        <v>0.0</v>
      </c>
      <c r="H85" s="20">
        <v>27.0</v>
      </c>
      <c r="I85" s="6">
        <v>0.0</v>
      </c>
      <c r="J85" s="4">
        <v>0.0</v>
      </c>
      <c r="K85" s="4">
        <f t="shared" si="37"/>
        <v>0</v>
      </c>
      <c r="L85" s="4">
        <f>I85+Nov!L85</f>
        <v>0</v>
      </c>
      <c r="M85" s="4">
        <f>J85+Nov!M85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86</v>
      </c>
      <c r="D86" s="6">
        <v>1.933557024E9</v>
      </c>
      <c r="E86" s="6">
        <v>2.3708843E7</v>
      </c>
      <c r="F86" s="6">
        <f t="shared" si="36"/>
        <v>1909848181</v>
      </c>
      <c r="G86" s="6">
        <v>0.0</v>
      </c>
      <c r="H86" s="20">
        <v>1802.0</v>
      </c>
      <c r="I86" s="6">
        <v>185966.0</v>
      </c>
      <c r="J86" s="4">
        <v>1.0479535E7</v>
      </c>
      <c r="K86" s="4">
        <f t="shared" si="37"/>
        <v>-10293569</v>
      </c>
      <c r="L86" s="4">
        <f>I86+Nov!L86</f>
        <v>1780640.851</v>
      </c>
      <c r="M86" s="4">
        <f>J86+Nov!M86</f>
        <v>202161835.9</v>
      </c>
      <c r="N86" s="4">
        <f t="shared" si="38"/>
        <v>-200381195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87</v>
      </c>
      <c r="D87" s="6">
        <v>2.3095219008E8</v>
      </c>
      <c r="E87" s="6">
        <v>1274663.04</v>
      </c>
      <c r="F87" s="6">
        <f t="shared" si="36"/>
        <v>229677527</v>
      </c>
      <c r="G87" s="6">
        <v>0.0</v>
      </c>
      <c r="H87" s="20">
        <v>117.0</v>
      </c>
      <c r="I87" s="6">
        <v>160573.0</v>
      </c>
      <c r="J87" s="4">
        <v>0.0</v>
      </c>
      <c r="K87" s="4">
        <f t="shared" si="37"/>
        <v>160573</v>
      </c>
      <c r="L87" s="4">
        <f>I87+Nov!L87</f>
        <v>1941756.5</v>
      </c>
      <c r="M87" s="4">
        <f>J87+Nov!M87</f>
        <v>7748924.047</v>
      </c>
      <c r="N87" s="4">
        <f t="shared" si="38"/>
        <v>-5807167.547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88</v>
      </c>
      <c r="D88" s="6">
        <v>5.95880769E8</v>
      </c>
      <c r="E88" s="6">
        <v>4744398.0</v>
      </c>
      <c r="F88" s="6">
        <f t="shared" si="36"/>
        <v>591136371</v>
      </c>
      <c r="G88" s="6">
        <v>0.0</v>
      </c>
      <c r="H88" s="20">
        <v>2578.0</v>
      </c>
      <c r="I88" s="6">
        <v>110060.0</v>
      </c>
      <c r="J88" s="4">
        <v>1.3112102E7</v>
      </c>
      <c r="K88" s="4">
        <f t="shared" si="37"/>
        <v>-13002042</v>
      </c>
      <c r="L88" s="4">
        <f>I88+Nov!L88</f>
        <v>229580612.2</v>
      </c>
      <c r="M88" s="4">
        <f>J88+Nov!M88</f>
        <v>103551557.9</v>
      </c>
      <c r="N88" s="4">
        <f t="shared" si="38"/>
        <v>126029054.3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4" t="s">
        <v>89</v>
      </c>
      <c r="B89" s="25"/>
      <c r="C89" s="29"/>
      <c r="D89" s="54">
        <f t="shared" ref="D89:N89" si="40">SUM(D82:D88)</f>
        <v>16310252802</v>
      </c>
      <c r="E89" s="54">
        <f t="shared" si="40"/>
        <v>170992078.6</v>
      </c>
      <c r="F89" s="54">
        <f t="shared" si="40"/>
        <v>16139260723</v>
      </c>
      <c r="G89" s="54">
        <f t="shared" si="40"/>
        <v>0</v>
      </c>
      <c r="H89" s="54">
        <f t="shared" si="40"/>
        <v>12768</v>
      </c>
      <c r="I89" s="54">
        <f t="shared" si="40"/>
        <v>21327803</v>
      </c>
      <c r="J89" s="54">
        <f t="shared" si="40"/>
        <v>171437305.9</v>
      </c>
      <c r="K89" s="54">
        <f t="shared" si="40"/>
        <v>-150109502.9</v>
      </c>
      <c r="L89" s="54">
        <f t="shared" si="40"/>
        <v>730139071.1</v>
      </c>
      <c r="M89" s="54">
        <f t="shared" si="40"/>
        <v>2299314001</v>
      </c>
      <c r="N89" s="54">
        <f t="shared" si="40"/>
        <v>-1569174930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90</v>
      </c>
      <c r="D90" s="6">
        <v>9.51196478E8</v>
      </c>
      <c r="E90" s="6">
        <v>9878161.0</v>
      </c>
      <c r="F90" s="6">
        <f>D90-E90</f>
        <v>941318317</v>
      </c>
      <c r="G90" s="6">
        <v>0.0</v>
      </c>
      <c r="H90" s="20">
        <v>612.0</v>
      </c>
      <c r="I90" s="6">
        <v>589797.0</v>
      </c>
      <c r="J90" s="4">
        <v>7385061.0</v>
      </c>
      <c r="K90" s="4">
        <f>I90-J90</f>
        <v>-6795264</v>
      </c>
      <c r="L90" s="4">
        <f>I90+Nov!L90</f>
        <v>44043220.16</v>
      </c>
      <c r="M90" s="4">
        <f>J90+Nov!M90</f>
        <v>63443019.84</v>
      </c>
      <c r="N90" s="4">
        <f>L90-M90</f>
        <v>-19399799.69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4" t="s">
        <v>91</v>
      </c>
      <c r="B91" s="29"/>
      <c r="C91" s="1"/>
      <c r="D91" s="54">
        <f t="shared" ref="D91:N91" si="41">SUM(D90)</f>
        <v>951196478</v>
      </c>
      <c r="E91" s="54">
        <f t="shared" si="41"/>
        <v>9878161</v>
      </c>
      <c r="F91" s="54">
        <f t="shared" si="41"/>
        <v>941318317</v>
      </c>
      <c r="G91" s="54">
        <f t="shared" si="41"/>
        <v>0</v>
      </c>
      <c r="H91" s="27">
        <f t="shared" si="41"/>
        <v>612</v>
      </c>
      <c r="I91" s="54">
        <f t="shared" si="41"/>
        <v>589797</v>
      </c>
      <c r="J91" s="54">
        <f t="shared" si="41"/>
        <v>7385061</v>
      </c>
      <c r="K91" s="54">
        <f t="shared" si="41"/>
        <v>-6795264</v>
      </c>
      <c r="L91" s="54">
        <f t="shared" si="41"/>
        <v>44043220.16</v>
      </c>
      <c r="M91" s="54">
        <f t="shared" si="41"/>
        <v>63443019.84</v>
      </c>
      <c r="N91" s="54">
        <f t="shared" si="41"/>
        <v>-19399799.69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92</v>
      </c>
      <c r="B92" s="25"/>
      <c r="C92" s="29"/>
      <c r="D92" s="54">
        <f t="shared" ref="D92:N92" si="42">D80+D89+D91</f>
        <v>67793379949</v>
      </c>
      <c r="E92" s="54">
        <f t="shared" si="42"/>
        <v>487175689</v>
      </c>
      <c r="F92" s="54">
        <f t="shared" si="42"/>
        <v>67306204260</v>
      </c>
      <c r="G92" s="54">
        <f t="shared" si="42"/>
        <v>0</v>
      </c>
      <c r="H92" s="27">
        <f t="shared" si="42"/>
        <v>72921</v>
      </c>
      <c r="I92" s="54">
        <f t="shared" si="42"/>
        <v>792765938.8</v>
      </c>
      <c r="J92" s="54">
        <f t="shared" si="42"/>
        <v>1407599806</v>
      </c>
      <c r="K92" s="54">
        <f t="shared" si="42"/>
        <v>-614833867.3</v>
      </c>
      <c r="L92" s="54">
        <f t="shared" si="42"/>
        <v>7231573042</v>
      </c>
      <c r="M92" s="54">
        <f t="shared" si="42"/>
        <v>11662533260</v>
      </c>
      <c r="N92" s="54">
        <f t="shared" si="42"/>
        <v>-4430960218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93</v>
      </c>
      <c r="B93" s="2"/>
      <c r="C93" s="30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30"/>
      <c r="D94" s="6"/>
      <c r="E94" s="6"/>
      <c r="F94" s="6"/>
      <c r="G94" s="6"/>
      <c r="H94" s="20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f>1+B90</f>
        <v>64</v>
      </c>
      <c r="C95" s="3" t="s">
        <v>94</v>
      </c>
      <c r="D95" s="6">
        <v>2.6963727715E10</v>
      </c>
      <c r="E95" s="6">
        <v>2.3390882E7</v>
      </c>
      <c r="F95" s="6">
        <f t="shared" ref="F95:F97" si="43">D95-E95</f>
        <v>26940336833</v>
      </c>
      <c r="G95" s="6">
        <v>0.0</v>
      </c>
      <c r="H95" s="20">
        <v>25769.0</v>
      </c>
      <c r="I95" s="6">
        <v>337229.0</v>
      </c>
      <c r="J95" s="4">
        <v>4.72772961E8</v>
      </c>
      <c r="K95" s="4">
        <f t="shared" ref="K95:K97" si="44">I95-J95</f>
        <v>-472435732</v>
      </c>
      <c r="L95" s="4">
        <f>I95+Nov!L95</f>
        <v>9185505178</v>
      </c>
      <c r="M95" s="4">
        <f>J95+Nov!M95</f>
        <v>17765274775</v>
      </c>
      <c r="N95" s="4">
        <f t="shared" ref="N95:N97" si="45">L95-M95</f>
        <v>-8579769597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f t="shared" ref="B96:B97" si="46">1+B95</f>
        <v>65</v>
      </c>
      <c r="C96" s="3" t="s">
        <v>95</v>
      </c>
      <c r="D96" s="6">
        <v>3.250083103E9</v>
      </c>
      <c r="E96" s="6">
        <v>1.0351816E7</v>
      </c>
      <c r="F96" s="6">
        <f t="shared" si="43"/>
        <v>3239731287</v>
      </c>
      <c r="G96" s="6">
        <v>0.0</v>
      </c>
      <c r="H96" s="20">
        <v>953.0</v>
      </c>
      <c r="I96" s="6">
        <v>7.28180291E8</v>
      </c>
      <c r="J96" s="4">
        <v>4.14115246E8</v>
      </c>
      <c r="K96" s="4">
        <f t="shared" si="44"/>
        <v>314065045</v>
      </c>
      <c r="L96" s="4">
        <f>I96+Nov!L96</f>
        <v>2361582976</v>
      </c>
      <c r="M96" s="4">
        <f>J96+Nov!M96</f>
        <v>2031058654</v>
      </c>
      <c r="N96" s="4">
        <f t="shared" si="45"/>
        <v>330524321.9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"/>
      <c r="B97" s="2">
        <f t="shared" si="46"/>
        <v>66</v>
      </c>
      <c r="C97" s="3" t="s">
        <v>96</v>
      </c>
      <c r="D97" s="6">
        <v>2.0871993564E10</v>
      </c>
      <c r="E97" s="6">
        <v>1.20544977E8</v>
      </c>
      <c r="F97" s="6">
        <f t="shared" si="43"/>
        <v>20751448587</v>
      </c>
      <c r="G97" s="6">
        <v>0.0</v>
      </c>
      <c r="H97" s="20">
        <v>69934.0</v>
      </c>
      <c r="I97" s="6">
        <v>5.70218405E8</v>
      </c>
      <c r="J97" s="4">
        <v>1.255484299E9</v>
      </c>
      <c r="K97" s="4">
        <f t="shared" si="44"/>
        <v>-685265894</v>
      </c>
      <c r="L97" s="4">
        <f>I97+Nov!L97</f>
        <v>20084851082</v>
      </c>
      <c r="M97" s="4">
        <f>J97+Nov!M97</f>
        <v>52475196105</v>
      </c>
      <c r="N97" s="4">
        <f t="shared" si="45"/>
        <v>-32390345023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40</v>
      </c>
      <c r="B98" s="2"/>
      <c r="C98" s="3"/>
      <c r="D98" s="6"/>
      <c r="E98" s="6"/>
      <c r="F98" s="6"/>
      <c r="G98" s="6"/>
      <c r="H98" s="20"/>
      <c r="I98" s="6"/>
      <c r="J98" s="4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f>1+B97</f>
        <v>67</v>
      </c>
      <c r="C99" s="3" t="s">
        <v>94</v>
      </c>
      <c r="D99" s="6">
        <v>8.191426943E9</v>
      </c>
      <c r="E99" s="6">
        <v>7211978.0</v>
      </c>
      <c r="F99" s="6">
        <f>D99-E99</f>
        <v>8184214965</v>
      </c>
      <c r="G99" s="6">
        <v>0.0</v>
      </c>
      <c r="H99" s="20">
        <v>8702.0</v>
      </c>
      <c r="I99" s="6">
        <v>9.27972883E8</v>
      </c>
      <c r="J99" s="4">
        <v>1.096074052E9</v>
      </c>
      <c r="K99" s="4">
        <f>I99-J99</f>
        <v>-168101169</v>
      </c>
      <c r="L99" s="4">
        <f>I99+Nov!L99</f>
        <v>14278659886</v>
      </c>
      <c r="M99" s="4">
        <f>J99+Nov!M99</f>
        <v>9877403367</v>
      </c>
      <c r="N99" s="4">
        <f>L99-M99</f>
        <v>4401256518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4" t="s">
        <v>45</v>
      </c>
      <c r="B100" s="2"/>
      <c r="C100" s="3"/>
      <c r="D100" s="54">
        <f t="shared" ref="D100:N100" si="47">SUM(D95:D97)+D99</f>
        <v>59277231325</v>
      </c>
      <c r="E100" s="54">
        <f t="shared" si="47"/>
        <v>161499653</v>
      </c>
      <c r="F100" s="54">
        <f t="shared" si="47"/>
        <v>59115731672</v>
      </c>
      <c r="G100" s="54">
        <f t="shared" si="47"/>
        <v>0</v>
      </c>
      <c r="H100" s="27">
        <f t="shared" si="47"/>
        <v>105358</v>
      </c>
      <c r="I100" s="54">
        <f t="shared" si="47"/>
        <v>2226708808</v>
      </c>
      <c r="J100" s="54">
        <f t="shared" si="47"/>
        <v>3238446558</v>
      </c>
      <c r="K100" s="54">
        <f t="shared" si="47"/>
        <v>-1011737750</v>
      </c>
      <c r="L100" s="54">
        <f t="shared" si="47"/>
        <v>45910599121</v>
      </c>
      <c r="M100" s="54">
        <f t="shared" si="47"/>
        <v>82148932901</v>
      </c>
      <c r="N100" s="54">
        <f t="shared" si="47"/>
        <v>-36238333780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 t="s">
        <v>46</v>
      </c>
      <c r="B101" s="2"/>
      <c r="C101" s="3"/>
      <c r="D101" s="6"/>
      <c r="E101" s="6"/>
      <c r="F101" s="6"/>
      <c r="G101" s="6"/>
      <c r="H101" s="20"/>
      <c r="I101" s="6"/>
      <c r="J101" s="4"/>
      <c r="K101" s="4"/>
      <c r="L101" s="4"/>
      <c r="M101" s="4"/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f>1+B99</f>
        <v>68</v>
      </c>
      <c r="C102" s="3" t="s">
        <v>97</v>
      </c>
      <c r="D102" s="6">
        <v>2.359584145E9</v>
      </c>
      <c r="E102" s="6">
        <v>7231325.0</v>
      </c>
      <c r="F102" s="6">
        <f>D102-E102</f>
        <v>2352352820</v>
      </c>
      <c r="G102" s="6">
        <v>0.0</v>
      </c>
      <c r="H102" s="20">
        <v>3611.0</v>
      </c>
      <c r="I102" s="6">
        <v>4.140519E7</v>
      </c>
      <c r="J102" s="6">
        <v>2.59524455E8</v>
      </c>
      <c r="K102" s="4">
        <f>I102-J102</f>
        <v>-218119265</v>
      </c>
      <c r="L102" s="4">
        <f>I102+Nov!L102</f>
        <v>5154886862</v>
      </c>
      <c r="M102" s="4">
        <f>J102+Nov!M102</f>
        <v>9507307990</v>
      </c>
      <c r="N102" s="4">
        <f>L102-M102</f>
        <v>-4352421128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4" t="s">
        <v>89</v>
      </c>
      <c r="B103" s="2"/>
      <c r="C103" s="3"/>
      <c r="D103" s="54">
        <f t="shared" ref="D103:N103" si="48">SUM(D102)</f>
        <v>2359584145</v>
      </c>
      <c r="E103" s="54">
        <f t="shared" si="48"/>
        <v>7231325</v>
      </c>
      <c r="F103" s="54">
        <f t="shared" si="48"/>
        <v>2352352820</v>
      </c>
      <c r="G103" s="54">
        <f t="shared" si="48"/>
        <v>0</v>
      </c>
      <c r="H103" s="27">
        <f t="shared" si="48"/>
        <v>3611</v>
      </c>
      <c r="I103" s="54">
        <f t="shared" si="48"/>
        <v>41405190</v>
      </c>
      <c r="J103" s="54">
        <f t="shared" si="48"/>
        <v>259524455</v>
      </c>
      <c r="K103" s="54">
        <f t="shared" si="48"/>
        <v>-218119265</v>
      </c>
      <c r="L103" s="54">
        <f t="shared" si="48"/>
        <v>5154886862</v>
      </c>
      <c r="M103" s="54">
        <f t="shared" si="48"/>
        <v>9507307990</v>
      </c>
      <c r="N103" s="54">
        <f t="shared" si="48"/>
        <v>-4352421128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" t="s">
        <v>98</v>
      </c>
      <c r="B104" s="2"/>
      <c r="C104" s="3"/>
      <c r="D104" s="54">
        <f t="shared" ref="D104:N104" si="49">D100+D103</f>
        <v>61636815470</v>
      </c>
      <c r="E104" s="54">
        <f t="shared" si="49"/>
        <v>168730978</v>
      </c>
      <c r="F104" s="54">
        <f t="shared" si="49"/>
        <v>61468084492</v>
      </c>
      <c r="G104" s="54">
        <f t="shared" si="49"/>
        <v>0</v>
      </c>
      <c r="H104" s="27">
        <f t="shared" si="49"/>
        <v>108969</v>
      </c>
      <c r="I104" s="54">
        <f t="shared" si="49"/>
        <v>2268113998</v>
      </c>
      <c r="J104" s="54">
        <f t="shared" si="49"/>
        <v>3497971013</v>
      </c>
      <c r="K104" s="54">
        <f t="shared" si="49"/>
        <v>-1229857015</v>
      </c>
      <c r="L104" s="54">
        <f t="shared" si="49"/>
        <v>51065485983</v>
      </c>
      <c r="M104" s="54">
        <f t="shared" si="49"/>
        <v>91656240891</v>
      </c>
      <c r="N104" s="54">
        <f t="shared" si="49"/>
        <v>-40590754908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99</v>
      </c>
      <c r="B105" s="2"/>
      <c r="C105" s="3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8" t="s">
        <v>100</v>
      </c>
      <c r="B106" s="2"/>
      <c r="C106" s="3"/>
      <c r="D106" s="6"/>
      <c r="E106" s="6"/>
      <c r="F106" s="6"/>
      <c r="G106" s="6"/>
      <c r="H106" s="20"/>
      <c r="I106" s="6"/>
      <c r="J106" s="6"/>
      <c r="K106" s="4"/>
      <c r="L106" s="4"/>
      <c r="M106" s="4"/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/>
      <c r="B107" s="2">
        <f>1+B102</f>
        <v>69</v>
      </c>
      <c r="C107" s="3" t="s">
        <v>104</v>
      </c>
      <c r="D107" s="6">
        <v>9.055628711E9</v>
      </c>
      <c r="E107" s="6">
        <v>9.3857238E7</v>
      </c>
      <c r="F107" s="6">
        <f t="shared" ref="F107:F109" si="50">D107-E107</f>
        <v>8961771473</v>
      </c>
      <c r="G107" s="6">
        <v>0.0</v>
      </c>
      <c r="H107" s="20">
        <v>126545.0</v>
      </c>
      <c r="I107" s="6">
        <v>4.7759418E7</v>
      </c>
      <c r="J107" s="6">
        <v>1.2527914E8</v>
      </c>
      <c r="K107" s="4">
        <f t="shared" ref="K107:K109" si="51">I107-J107</f>
        <v>-77519722</v>
      </c>
      <c r="L107" s="4">
        <f>I107+Nov!L107</f>
        <v>866368612.9</v>
      </c>
      <c r="M107" s="4">
        <f>J107+Nov!M107</f>
        <v>1557624032</v>
      </c>
      <c r="N107" s="4">
        <f t="shared" ref="N107:N109" si="52">L107-M107</f>
        <v>-691255419.5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f t="shared" ref="B108:B109" si="53">1+B107</f>
        <v>70</v>
      </c>
      <c r="C108" s="3" t="s">
        <v>102</v>
      </c>
      <c r="D108" s="6">
        <v>3.314660613E9</v>
      </c>
      <c r="E108" s="6">
        <v>4.4496513E7</v>
      </c>
      <c r="F108" s="6">
        <f t="shared" si="50"/>
        <v>3270164100</v>
      </c>
      <c r="G108" s="6">
        <v>0.0</v>
      </c>
      <c r="H108" s="20">
        <v>6726.0</v>
      </c>
      <c r="I108" s="6">
        <v>5.5559975E7</v>
      </c>
      <c r="J108" s="6">
        <v>1.2662689E8</v>
      </c>
      <c r="K108" s="4">
        <f t="shared" si="51"/>
        <v>-71066915</v>
      </c>
      <c r="L108" s="4">
        <f>I108+Nov!L108</f>
        <v>525691058.1</v>
      </c>
      <c r="M108" s="4">
        <f>J108+Nov!M108</f>
        <v>1112477945</v>
      </c>
      <c r="N108" s="4">
        <f t="shared" si="52"/>
        <v>-586786886.6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si="53"/>
        <v>71</v>
      </c>
      <c r="C109" s="3" t="s">
        <v>129</v>
      </c>
      <c r="D109" s="6">
        <v>5.82487765E8</v>
      </c>
      <c r="E109" s="6">
        <v>8.853645E7</v>
      </c>
      <c r="F109" s="6">
        <f t="shared" si="50"/>
        <v>493951315</v>
      </c>
      <c r="G109" s="6">
        <v>0.0</v>
      </c>
      <c r="H109" s="20">
        <v>987.0</v>
      </c>
      <c r="I109" s="6">
        <v>4.7339321E7</v>
      </c>
      <c r="J109" s="6">
        <v>116923.0</v>
      </c>
      <c r="K109" s="4">
        <f t="shared" si="51"/>
        <v>47222398</v>
      </c>
      <c r="L109" s="4">
        <f>I109+Nov!L109</f>
        <v>481054114</v>
      </c>
      <c r="M109" s="4">
        <f>J109+Nov!M109</f>
        <v>1216529</v>
      </c>
      <c r="N109" s="4">
        <f t="shared" si="52"/>
        <v>479837585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24" t="s">
        <v>45</v>
      </c>
      <c r="B110" s="2"/>
      <c r="C110" s="3"/>
      <c r="D110" s="54">
        <f t="shared" ref="D110:N110" si="54">D107+D108+D109</f>
        <v>12952777089</v>
      </c>
      <c r="E110" s="54">
        <f t="shared" si="54"/>
        <v>226890201</v>
      </c>
      <c r="F110" s="54">
        <f t="shared" si="54"/>
        <v>12725886888</v>
      </c>
      <c r="G110" s="54">
        <f t="shared" si="54"/>
        <v>0</v>
      </c>
      <c r="H110" s="26">
        <f t="shared" si="54"/>
        <v>134258</v>
      </c>
      <c r="I110" s="54">
        <f t="shared" si="54"/>
        <v>150658714</v>
      </c>
      <c r="J110" s="54">
        <f t="shared" si="54"/>
        <v>252022953</v>
      </c>
      <c r="K110" s="54">
        <f t="shared" si="54"/>
        <v>-101364239</v>
      </c>
      <c r="L110" s="54">
        <f t="shared" si="54"/>
        <v>1873113785</v>
      </c>
      <c r="M110" s="54">
        <f t="shared" si="54"/>
        <v>2671318506</v>
      </c>
      <c r="N110" s="54">
        <f t="shared" si="54"/>
        <v>-798204721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18" t="s">
        <v>103</v>
      </c>
      <c r="B111" s="2"/>
      <c r="C111" s="3"/>
      <c r="D111" s="6"/>
      <c r="E111" s="6"/>
      <c r="F111" s="6"/>
      <c r="G111" s="6"/>
      <c r="H111" s="20"/>
      <c r="I111" s="6"/>
      <c r="J111" s="6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"/>
      <c r="B112" s="2">
        <f>1+B109</f>
        <v>72</v>
      </c>
      <c r="C112" s="3" t="s">
        <v>104</v>
      </c>
      <c r="D112" s="6">
        <v>9.803294369E9</v>
      </c>
      <c r="E112" s="6">
        <v>4.8520026E7</v>
      </c>
      <c r="F112" s="6">
        <f>D112-E112</f>
        <v>9754774343</v>
      </c>
      <c r="G112" s="6">
        <v>0.0</v>
      </c>
      <c r="H112" s="20">
        <v>7783.0</v>
      </c>
      <c r="I112" s="6">
        <v>6.2612549E7</v>
      </c>
      <c r="J112" s="6">
        <v>9.5182868E7</v>
      </c>
      <c r="K112" s="4">
        <f>I112-J112</f>
        <v>-32570319</v>
      </c>
      <c r="L112" s="4">
        <f>I112+Nov!L112</f>
        <v>578144872.8</v>
      </c>
      <c r="M112" s="4">
        <f>J112+Nov!M112</f>
        <v>1241551898</v>
      </c>
      <c r="N112" s="4">
        <f>L112-M112</f>
        <v>-663407024.9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24" t="s">
        <v>89</v>
      </c>
      <c r="B113" s="25"/>
      <c r="C113" s="1"/>
      <c r="D113" s="54">
        <f t="shared" ref="D113:N113" si="55">SUM(D112)</f>
        <v>9803294369</v>
      </c>
      <c r="E113" s="54">
        <f t="shared" si="55"/>
        <v>48520026</v>
      </c>
      <c r="F113" s="54">
        <f t="shared" si="55"/>
        <v>9754774343</v>
      </c>
      <c r="G113" s="54">
        <f t="shared" si="55"/>
        <v>0</v>
      </c>
      <c r="H113" s="27">
        <f t="shared" si="55"/>
        <v>7783</v>
      </c>
      <c r="I113" s="54">
        <f t="shared" si="55"/>
        <v>62612549</v>
      </c>
      <c r="J113" s="54">
        <f t="shared" si="55"/>
        <v>95182868</v>
      </c>
      <c r="K113" s="54">
        <f t="shared" si="55"/>
        <v>-32570319</v>
      </c>
      <c r="L113" s="54">
        <f t="shared" si="55"/>
        <v>578144872.8</v>
      </c>
      <c r="M113" s="54">
        <f t="shared" si="55"/>
        <v>1241551898</v>
      </c>
      <c r="N113" s="54">
        <f t="shared" si="55"/>
        <v>-663407024.9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1" t="s">
        <v>105</v>
      </c>
      <c r="B114" s="31"/>
      <c r="C114" s="29"/>
      <c r="D114" s="54">
        <f t="shared" ref="D114:N114" si="56">SUM(D110+D113)</f>
        <v>22756071458</v>
      </c>
      <c r="E114" s="54">
        <f t="shared" si="56"/>
        <v>275410227</v>
      </c>
      <c r="F114" s="54">
        <f t="shared" si="56"/>
        <v>22480661231</v>
      </c>
      <c r="G114" s="54">
        <f t="shared" si="56"/>
        <v>0</v>
      </c>
      <c r="H114" s="27">
        <f t="shared" si="56"/>
        <v>142041</v>
      </c>
      <c r="I114" s="54">
        <f t="shared" si="56"/>
        <v>213271263</v>
      </c>
      <c r="J114" s="54">
        <f t="shared" si="56"/>
        <v>347205821</v>
      </c>
      <c r="K114" s="54">
        <f t="shared" si="56"/>
        <v>-133934558</v>
      </c>
      <c r="L114" s="54">
        <f t="shared" si="56"/>
        <v>2451258658</v>
      </c>
      <c r="M114" s="54">
        <f t="shared" si="56"/>
        <v>3912870404</v>
      </c>
      <c r="N114" s="54">
        <f t="shared" si="56"/>
        <v>-1461611746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2" t="s">
        <v>106</v>
      </c>
      <c r="B115" s="33"/>
      <c r="C115" s="34"/>
      <c r="D115" s="55">
        <f t="shared" ref="D115:N115" si="57">D40+D64+D92+D104+D114</f>
        <v>234509771614</v>
      </c>
      <c r="E115" s="55">
        <f t="shared" si="57"/>
        <v>1559769370</v>
      </c>
      <c r="F115" s="55">
        <f t="shared" si="57"/>
        <v>232950002243</v>
      </c>
      <c r="G115" s="55">
        <f t="shared" si="57"/>
        <v>69066389036</v>
      </c>
      <c r="H115" s="36">
        <f t="shared" si="57"/>
        <v>1275301</v>
      </c>
      <c r="I115" s="55">
        <f t="shared" si="57"/>
        <v>3850728128</v>
      </c>
      <c r="J115" s="55">
        <f t="shared" si="57"/>
        <v>6387769958</v>
      </c>
      <c r="K115" s="55">
        <f t="shared" si="57"/>
        <v>-2537041830</v>
      </c>
      <c r="L115" s="55">
        <f t="shared" si="57"/>
        <v>66265163230</v>
      </c>
      <c r="M115" s="55">
        <f t="shared" si="57"/>
        <v>118093435178</v>
      </c>
      <c r="N115" s="55">
        <f t="shared" si="57"/>
        <v>-51828271949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2.0" customHeight="1">
      <c r="A116" s="3"/>
      <c r="B116" s="2"/>
      <c r="C116" s="37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59" t="s">
        <v>111</v>
      </c>
      <c r="B117" s="37"/>
      <c r="C117" s="3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0" t="s">
        <v>141</v>
      </c>
      <c r="B118" s="37"/>
      <c r="C118" s="3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7"/>
      <c r="B119" s="37"/>
      <c r="C119" s="37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7"/>
      <c r="B120" s="37"/>
      <c r="C120" s="37"/>
      <c r="D120" s="4"/>
      <c r="E120" s="4"/>
      <c r="F120" s="4"/>
      <c r="G120" s="4"/>
      <c r="H120" s="61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7"/>
      <c r="B121" s="37"/>
      <c r="C121" s="37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7"/>
      <c r="B122" s="37"/>
      <c r="C122" s="37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7"/>
      <c r="B123" s="37"/>
      <c r="C123" s="37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7"/>
      <c r="B124" s="37"/>
      <c r="C124" s="37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7"/>
      <c r="B125" s="37"/>
      <c r="C125" s="37"/>
      <c r="D125" s="4"/>
      <c r="E125" s="4"/>
      <c r="F125" s="4"/>
      <c r="G125" s="4"/>
      <c r="H125" s="61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7"/>
      <c r="B126" s="37"/>
      <c r="C126" s="37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7"/>
      <c r="B127" s="37"/>
      <c r="C127" s="37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7"/>
      <c r="B128" s="37"/>
      <c r="C128" s="37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7"/>
      <c r="B129" s="37"/>
      <c r="C129" s="37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7"/>
      <c r="B130" s="37"/>
      <c r="C130" s="37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7"/>
      <c r="B131" s="37"/>
      <c r="C131" s="37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7"/>
      <c r="B132" s="37"/>
      <c r="C132" s="37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7"/>
      <c r="B133" s="37"/>
      <c r="C133" s="37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7"/>
      <c r="B134" s="37"/>
      <c r="C134" s="37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7"/>
      <c r="B135" s="37"/>
      <c r="C135" s="37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7"/>
      <c r="B136" s="37"/>
      <c r="C136" s="37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7"/>
      <c r="B137" s="37"/>
      <c r="C137" s="37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7"/>
      <c r="B138" s="37"/>
      <c r="C138" s="37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7"/>
      <c r="B139" s="37"/>
      <c r="C139" s="37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7"/>
      <c r="B140" s="37"/>
      <c r="C140" s="37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7"/>
      <c r="B141" s="37"/>
      <c r="C141" s="37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7"/>
      <c r="B142" s="37"/>
      <c r="C142" s="37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7"/>
      <c r="B143" s="37"/>
      <c r="C143" s="37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7"/>
      <c r="B144" s="37"/>
      <c r="C144" s="37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7"/>
      <c r="B145" s="37"/>
      <c r="C145" s="37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7"/>
      <c r="B146" s="37"/>
      <c r="C146" s="37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7"/>
      <c r="B147" s="37"/>
      <c r="C147" s="37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7"/>
      <c r="B148" s="37"/>
      <c r="C148" s="37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7"/>
      <c r="B149" s="37"/>
      <c r="C149" s="37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7"/>
      <c r="B150" s="37"/>
      <c r="C150" s="37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7"/>
      <c r="B151" s="37"/>
      <c r="C151" s="37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7"/>
      <c r="B152" s="37"/>
      <c r="C152" s="37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7"/>
      <c r="B153" s="37"/>
      <c r="C153" s="37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7"/>
      <c r="B154" s="37"/>
      <c r="C154" s="37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7"/>
      <c r="B155" s="37"/>
      <c r="C155" s="37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7"/>
      <c r="B156" s="37"/>
      <c r="C156" s="37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7"/>
      <c r="B157" s="37"/>
      <c r="C157" s="37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7"/>
      <c r="B158" s="37"/>
      <c r="C158" s="37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7"/>
      <c r="B159" s="37"/>
      <c r="C159" s="37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7"/>
      <c r="B160" s="37"/>
      <c r="C160" s="37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7"/>
      <c r="B161" s="37"/>
      <c r="C161" s="37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7"/>
      <c r="B162" s="37"/>
      <c r="C162" s="37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7"/>
      <c r="B163" s="37"/>
      <c r="C163" s="37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7"/>
      <c r="B164" s="37"/>
      <c r="C164" s="37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7"/>
      <c r="B165" s="37"/>
      <c r="C165" s="37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7"/>
      <c r="B166" s="37"/>
      <c r="C166" s="37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7"/>
      <c r="B167" s="37"/>
      <c r="C167" s="37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7"/>
      <c r="B168" s="37"/>
      <c r="C168" s="37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7"/>
      <c r="B169" s="37"/>
      <c r="C169" s="37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7"/>
      <c r="B170" s="37"/>
      <c r="C170" s="37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7"/>
      <c r="B171" s="37"/>
      <c r="C171" s="37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7"/>
      <c r="B172" s="37"/>
      <c r="C172" s="37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7"/>
      <c r="B173" s="37"/>
      <c r="C173" s="37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7"/>
      <c r="B174" s="37"/>
      <c r="C174" s="37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7"/>
      <c r="B175" s="37"/>
      <c r="C175" s="37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7"/>
      <c r="B176" s="37"/>
      <c r="C176" s="37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7"/>
      <c r="B177" s="37"/>
      <c r="C177" s="37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7"/>
      <c r="B178" s="37"/>
      <c r="C178" s="37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7"/>
      <c r="B179" s="37"/>
      <c r="C179" s="37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7"/>
      <c r="B180" s="37"/>
      <c r="C180" s="37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7"/>
      <c r="B181" s="37"/>
      <c r="C181" s="37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7"/>
      <c r="B182" s="37"/>
      <c r="C182" s="37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7"/>
      <c r="B183" s="37"/>
      <c r="C183" s="37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7"/>
      <c r="B184" s="37"/>
      <c r="C184" s="37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7"/>
      <c r="B185" s="37"/>
      <c r="C185" s="37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7"/>
      <c r="B186" s="37"/>
      <c r="C186" s="37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7"/>
      <c r="B187" s="37"/>
      <c r="C187" s="37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7"/>
      <c r="B188" s="37"/>
      <c r="C188" s="37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7"/>
      <c r="B189" s="37"/>
      <c r="C189" s="37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7"/>
      <c r="B190" s="37"/>
      <c r="C190" s="37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7"/>
      <c r="B191" s="37"/>
      <c r="C191" s="37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7"/>
      <c r="B192" s="37"/>
      <c r="C192" s="37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7"/>
      <c r="B193" s="37"/>
      <c r="C193" s="37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7"/>
      <c r="B194" s="37"/>
      <c r="C194" s="37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7"/>
      <c r="B195" s="37"/>
      <c r="C195" s="37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7"/>
      <c r="B196" s="37"/>
      <c r="C196" s="37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7"/>
      <c r="B197" s="37"/>
      <c r="C197" s="37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7"/>
      <c r="B198" s="37"/>
      <c r="C198" s="37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7"/>
      <c r="B199" s="37"/>
      <c r="C199" s="37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7"/>
      <c r="B200" s="37"/>
      <c r="C200" s="37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7"/>
      <c r="B201" s="37"/>
      <c r="C201" s="37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7"/>
      <c r="B202" s="37"/>
      <c r="C202" s="37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7"/>
      <c r="B203" s="37"/>
      <c r="C203" s="37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7"/>
      <c r="B204" s="37"/>
      <c r="C204" s="37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7"/>
      <c r="B205" s="37"/>
      <c r="C205" s="37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7"/>
      <c r="B206" s="37"/>
      <c r="C206" s="37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7"/>
      <c r="B207" s="37"/>
      <c r="C207" s="37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7"/>
      <c r="B208" s="37"/>
      <c r="C208" s="37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7"/>
      <c r="B209" s="37"/>
      <c r="C209" s="37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7"/>
      <c r="B210" s="37"/>
      <c r="C210" s="37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7"/>
      <c r="B211" s="37"/>
      <c r="C211" s="37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7"/>
      <c r="B212" s="37"/>
      <c r="C212" s="37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7"/>
      <c r="B213" s="37"/>
      <c r="C213" s="37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7"/>
      <c r="B214" s="37"/>
      <c r="C214" s="37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7"/>
      <c r="B215" s="37"/>
      <c r="C215" s="37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7"/>
      <c r="B216" s="37"/>
      <c r="C216" s="37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7"/>
      <c r="B217" s="37"/>
      <c r="C217" s="37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7"/>
      <c r="B218" s="37"/>
      <c r="C218" s="37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7"/>
      <c r="B219" s="37"/>
      <c r="C219" s="37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7"/>
      <c r="B220" s="37"/>
      <c r="C220" s="37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7"/>
      <c r="B221" s="37"/>
      <c r="C221" s="37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7"/>
      <c r="B222" s="37"/>
      <c r="C222" s="37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7"/>
      <c r="B223" s="37"/>
      <c r="C223" s="37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7"/>
      <c r="B224" s="37"/>
      <c r="C224" s="37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7"/>
      <c r="B225" s="37"/>
      <c r="C225" s="37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7"/>
      <c r="B226" s="37"/>
      <c r="C226" s="37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7"/>
      <c r="B227" s="37"/>
      <c r="C227" s="37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7"/>
      <c r="B228" s="37"/>
      <c r="C228" s="37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7"/>
      <c r="B229" s="37"/>
      <c r="C229" s="37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7"/>
      <c r="B230" s="37"/>
      <c r="C230" s="37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7"/>
      <c r="B231" s="37"/>
      <c r="C231" s="37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7"/>
      <c r="B232" s="37"/>
      <c r="C232" s="37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7"/>
      <c r="B233" s="37"/>
      <c r="C233" s="37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7"/>
      <c r="B234" s="37"/>
      <c r="C234" s="37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7"/>
      <c r="B235" s="37"/>
      <c r="C235" s="37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7"/>
      <c r="B236" s="37"/>
      <c r="C236" s="37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7"/>
      <c r="B237" s="37"/>
      <c r="C237" s="37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7"/>
      <c r="B238" s="37"/>
      <c r="C238" s="37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7"/>
      <c r="B239" s="37"/>
      <c r="C239" s="37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7"/>
      <c r="B240" s="37"/>
      <c r="C240" s="37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7"/>
      <c r="B241" s="37"/>
      <c r="C241" s="37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7"/>
      <c r="B242" s="37"/>
      <c r="C242" s="37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7"/>
      <c r="B243" s="37"/>
      <c r="C243" s="37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7"/>
      <c r="B244" s="37"/>
      <c r="C244" s="37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7"/>
      <c r="B245" s="37"/>
      <c r="C245" s="37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7"/>
      <c r="B246" s="37"/>
      <c r="C246" s="37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7"/>
      <c r="B247" s="37"/>
      <c r="C247" s="37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7"/>
      <c r="B248" s="37"/>
      <c r="C248" s="37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7"/>
      <c r="B249" s="37"/>
      <c r="C249" s="37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7"/>
      <c r="B250" s="37"/>
      <c r="C250" s="37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7"/>
      <c r="B251" s="37"/>
      <c r="C251" s="37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7"/>
      <c r="B252" s="37"/>
      <c r="C252" s="37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7"/>
      <c r="B253" s="37"/>
      <c r="C253" s="37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7"/>
      <c r="B254" s="37"/>
      <c r="C254" s="37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7"/>
      <c r="B255" s="37"/>
      <c r="C255" s="37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7"/>
      <c r="B256" s="37"/>
      <c r="C256" s="37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7"/>
      <c r="B257" s="37"/>
      <c r="C257" s="37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7"/>
      <c r="B258" s="37"/>
      <c r="C258" s="37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7"/>
      <c r="B259" s="37"/>
      <c r="C259" s="37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7"/>
      <c r="B260" s="37"/>
      <c r="C260" s="37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7"/>
      <c r="B261" s="37"/>
      <c r="C261" s="37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7"/>
      <c r="B262" s="37"/>
      <c r="C262" s="37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7"/>
      <c r="B263" s="37"/>
      <c r="C263" s="37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7"/>
      <c r="B264" s="37"/>
      <c r="C264" s="37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7"/>
      <c r="B265" s="37"/>
      <c r="C265" s="37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7"/>
      <c r="B266" s="37"/>
      <c r="C266" s="37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7"/>
      <c r="B267" s="37"/>
      <c r="C267" s="37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7"/>
      <c r="B268" s="37"/>
      <c r="C268" s="37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7"/>
      <c r="B269" s="37"/>
      <c r="C269" s="37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7"/>
      <c r="B270" s="37"/>
      <c r="C270" s="37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7"/>
      <c r="B271" s="37"/>
      <c r="C271" s="37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7"/>
      <c r="B272" s="37"/>
      <c r="C272" s="37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7"/>
      <c r="B273" s="37"/>
      <c r="C273" s="37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7"/>
      <c r="B274" s="37"/>
      <c r="C274" s="37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7"/>
      <c r="B275" s="37"/>
      <c r="C275" s="37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7"/>
      <c r="B276" s="37"/>
      <c r="C276" s="37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7"/>
      <c r="B277" s="37"/>
      <c r="C277" s="37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7"/>
      <c r="B278" s="37"/>
      <c r="C278" s="37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7"/>
      <c r="B279" s="37"/>
      <c r="C279" s="37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7"/>
      <c r="B280" s="37"/>
      <c r="C280" s="37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7"/>
      <c r="B281" s="37"/>
      <c r="C281" s="37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7"/>
      <c r="B282" s="37"/>
      <c r="C282" s="37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7"/>
      <c r="B283" s="37"/>
      <c r="C283" s="37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7"/>
      <c r="B284" s="37"/>
      <c r="C284" s="37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7"/>
      <c r="B285" s="37"/>
      <c r="C285" s="37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7"/>
      <c r="B286" s="37"/>
      <c r="C286" s="37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7"/>
      <c r="B287" s="37"/>
      <c r="C287" s="37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7"/>
      <c r="B288" s="37"/>
      <c r="C288" s="37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7"/>
      <c r="B289" s="37"/>
      <c r="C289" s="37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7"/>
      <c r="B290" s="37"/>
      <c r="C290" s="37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7"/>
      <c r="B291" s="37"/>
      <c r="C291" s="37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7"/>
      <c r="B292" s="37"/>
      <c r="C292" s="37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7"/>
      <c r="B293" s="37"/>
      <c r="C293" s="37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7"/>
      <c r="B294" s="37"/>
      <c r="C294" s="37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7"/>
      <c r="B295" s="37"/>
      <c r="C295" s="37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7"/>
      <c r="B296" s="37"/>
      <c r="C296" s="37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7"/>
      <c r="B297" s="37"/>
      <c r="C297" s="37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7"/>
      <c r="B298" s="37"/>
      <c r="C298" s="37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7"/>
      <c r="B299" s="37"/>
      <c r="C299" s="37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7"/>
      <c r="B300" s="37"/>
      <c r="C300" s="37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7"/>
      <c r="B301" s="37"/>
      <c r="C301" s="37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7"/>
      <c r="B302" s="37"/>
      <c r="C302" s="37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7"/>
      <c r="B303" s="37"/>
      <c r="C303" s="37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7"/>
      <c r="B304" s="37"/>
      <c r="C304" s="37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7"/>
      <c r="B305" s="37"/>
      <c r="C305" s="37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7"/>
      <c r="B306" s="37"/>
      <c r="C306" s="37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7"/>
      <c r="B307" s="37"/>
      <c r="C307" s="37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7"/>
      <c r="B308" s="37"/>
      <c r="C308" s="37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7"/>
      <c r="B309" s="37"/>
      <c r="C309" s="37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7"/>
      <c r="B310" s="37"/>
      <c r="C310" s="37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7"/>
      <c r="B311" s="37"/>
      <c r="C311" s="37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7"/>
      <c r="B312" s="37"/>
      <c r="C312" s="37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7"/>
      <c r="B313" s="37"/>
      <c r="C313" s="37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7"/>
      <c r="B314" s="37"/>
      <c r="C314" s="37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7"/>
      <c r="B315" s="37"/>
      <c r="C315" s="37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7"/>
      <c r="B316" s="37"/>
      <c r="C316" s="37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7"/>
      <c r="B317" s="37"/>
      <c r="C317" s="37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7"/>
      <c r="B318" s="37"/>
      <c r="C318" s="37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7"/>
      <c r="B319" s="37"/>
      <c r="C319" s="37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7"/>
      <c r="B320" s="37"/>
      <c r="C320" s="37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7"/>
      <c r="B321" s="37"/>
      <c r="C321" s="37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7"/>
      <c r="B322" s="37"/>
      <c r="C322" s="37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7"/>
      <c r="B323" s="37"/>
      <c r="C323" s="37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7"/>
      <c r="B324" s="37"/>
      <c r="C324" s="37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7"/>
      <c r="B325" s="37"/>
      <c r="C325" s="37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7"/>
      <c r="B326" s="37"/>
      <c r="C326" s="37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7"/>
      <c r="B327" s="37"/>
      <c r="C327" s="37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7"/>
      <c r="B328" s="37"/>
      <c r="C328" s="37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7"/>
      <c r="B329" s="37"/>
      <c r="C329" s="37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7"/>
      <c r="B330" s="37"/>
      <c r="C330" s="37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7"/>
      <c r="B331" s="37"/>
      <c r="C331" s="37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7"/>
      <c r="B332" s="37"/>
      <c r="C332" s="37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7"/>
      <c r="B333" s="37"/>
      <c r="C333" s="37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7"/>
      <c r="B334" s="37"/>
      <c r="C334" s="37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7"/>
      <c r="B335" s="37"/>
      <c r="C335" s="37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7"/>
      <c r="B336" s="37"/>
      <c r="C336" s="37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7"/>
      <c r="B337" s="37"/>
      <c r="C337" s="37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7"/>
      <c r="B338" s="37"/>
      <c r="C338" s="37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7"/>
      <c r="B339" s="37"/>
      <c r="C339" s="37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7"/>
      <c r="B340" s="37"/>
      <c r="C340" s="37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7"/>
      <c r="B341" s="37"/>
      <c r="C341" s="37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7"/>
      <c r="B342" s="37"/>
      <c r="C342" s="37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7"/>
      <c r="B343" s="37"/>
      <c r="C343" s="37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7"/>
      <c r="B344" s="37"/>
      <c r="C344" s="37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7"/>
      <c r="B345" s="37"/>
      <c r="C345" s="37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7"/>
      <c r="B346" s="37"/>
      <c r="C346" s="37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7"/>
      <c r="B347" s="37"/>
      <c r="C347" s="37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7"/>
      <c r="B348" s="37"/>
      <c r="C348" s="37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7"/>
      <c r="B349" s="37"/>
      <c r="C349" s="37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7"/>
      <c r="B350" s="37"/>
      <c r="C350" s="37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7"/>
      <c r="B351" s="37"/>
      <c r="C351" s="37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7"/>
      <c r="B352" s="37"/>
      <c r="C352" s="37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7"/>
      <c r="B353" s="37"/>
      <c r="C353" s="37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7"/>
      <c r="B354" s="37"/>
      <c r="C354" s="37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7"/>
      <c r="B355" s="37"/>
      <c r="C355" s="37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7"/>
      <c r="B356" s="37"/>
      <c r="C356" s="37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7"/>
      <c r="B357" s="37"/>
      <c r="C357" s="37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7"/>
      <c r="B358" s="37"/>
      <c r="C358" s="37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7"/>
      <c r="B359" s="37"/>
      <c r="C359" s="37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7"/>
      <c r="B360" s="37"/>
      <c r="C360" s="37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7"/>
      <c r="B361" s="37"/>
      <c r="C361" s="37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7"/>
      <c r="B362" s="37"/>
      <c r="C362" s="37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7"/>
      <c r="B363" s="37"/>
      <c r="C363" s="37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7"/>
      <c r="B364" s="37"/>
      <c r="C364" s="37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7"/>
      <c r="B365" s="37"/>
      <c r="C365" s="37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7"/>
      <c r="B366" s="37"/>
      <c r="C366" s="37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7"/>
      <c r="B367" s="37"/>
      <c r="C367" s="37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7"/>
      <c r="B368" s="37"/>
      <c r="C368" s="37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7"/>
      <c r="B369" s="37"/>
      <c r="C369" s="37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7"/>
      <c r="B370" s="37"/>
      <c r="C370" s="37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7"/>
      <c r="B371" s="37"/>
      <c r="C371" s="37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7"/>
      <c r="B372" s="37"/>
      <c r="C372" s="37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7"/>
      <c r="B373" s="37"/>
      <c r="C373" s="37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7"/>
      <c r="B374" s="37"/>
      <c r="C374" s="37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7"/>
      <c r="B375" s="37"/>
      <c r="C375" s="37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7"/>
      <c r="B376" s="37"/>
      <c r="C376" s="37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7"/>
      <c r="B377" s="37"/>
      <c r="C377" s="37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7"/>
      <c r="B378" s="37"/>
      <c r="C378" s="37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7"/>
      <c r="B379" s="37"/>
      <c r="C379" s="37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7"/>
      <c r="B380" s="37"/>
      <c r="C380" s="37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7"/>
      <c r="B381" s="37"/>
      <c r="C381" s="37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7"/>
      <c r="B382" s="37"/>
      <c r="C382" s="37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7"/>
      <c r="B383" s="37"/>
      <c r="C383" s="37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7"/>
      <c r="B384" s="37"/>
      <c r="C384" s="37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7"/>
      <c r="B385" s="37"/>
      <c r="C385" s="37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7"/>
      <c r="B386" s="37"/>
      <c r="C386" s="37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7"/>
      <c r="B387" s="37"/>
      <c r="C387" s="37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7"/>
      <c r="B388" s="37"/>
      <c r="C388" s="37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7"/>
      <c r="B389" s="37"/>
      <c r="C389" s="37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7"/>
      <c r="B390" s="37"/>
      <c r="C390" s="37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7"/>
      <c r="B391" s="37"/>
      <c r="C391" s="37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7"/>
      <c r="B392" s="37"/>
      <c r="C392" s="37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7"/>
      <c r="B393" s="37"/>
      <c r="C393" s="37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7"/>
      <c r="B394" s="37"/>
      <c r="C394" s="37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7"/>
      <c r="B395" s="37"/>
      <c r="C395" s="37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7"/>
      <c r="B396" s="37"/>
      <c r="C396" s="37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7"/>
      <c r="B397" s="37"/>
      <c r="C397" s="37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7"/>
      <c r="B398" s="37"/>
      <c r="C398" s="37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7"/>
      <c r="B399" s="37"/>
      <c r="C399" s="37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7"/>
      <c r="B400" s="37"/>
      <c r="C400" s="37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7"/>
      <c r="B401" s="37"/>
      <c r="C401" s="37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7"/>
      <c r="B402" s="37"/>
      <c r="C402" s="37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7"/>
      <c r="B403" s="37"/>
      <c r="C403" s="37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7"/>
      <c r="B404" s="37"/>
      <c r="C404" s="37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7"/>
      <c r="B405" s="37"/>
      <c r="C405" s="37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7"/>
      <c r="B406" s="37"/>
      <c r="C406" s="37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7"/>
      <c r="B407" s="37"/>
      <c r="C407" s="37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7"/>
      <c r="B408" s="37"/>
      <c r="C408" s="37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7"/>
      <c r="B409" s="37"/>
      <c r="C409" s="37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7"/>
      <c r="B410" s="37"/>
      <c r="C410" s="37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7"/>
      <c r="B411" s="37"/>
      <c r="C411" s="37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7"/>
      <c r="B412" s="37"/>
      <c r="C412" s="37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7"/>
      <c r="B413" s="37"/>
      <c r="C413" s="37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7"/>
      <c r="B414" s="37"/>
      <c r="C414" s="37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7"/>
      <c r="B415" s="37"/>
      <c r="C415" s="37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7"/>
      <c r="B416" s="37"/>
      <c r="C416" s="37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7"/>
      <c r="B417" s="37"/>
      <c r="C417" s="37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7"/>
      <c r="B418" s="37"/>
      <c r="C418" s="37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7"/>
      <c r="B419" s="37"/>
      <c r="C419" s="37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7"/>
      <c r="B420" s="37"/>
      <c r="C420" s="37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7"/>
      <c r="B421" s="37"/>
      <c r="C421" s="37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7"/>
      <c r="B422" s="37"/>
      <c r="C422" s="37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7"/>
      <c r="B423" s="37"/>
      <c r="C423" s="37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7"/>
      <c r="B424" s="37"/>
      <c r="C424" s="37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7"/>
      <c r="B425" s="37"/>
      <c r="C425" s="37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7"/>
      <c r="B426" s="37"/>
      <c r="C426" s="37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7"/>
      <c r="B427" s="37"/>
      <c r="C427" s="37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7"/>
      <c r="B428" s="37"/>
      <c r="C428" s="37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7"/>
      <c r="B429" s="37"/>
      <c r="C429" s="37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7"/>
      <c r="B430" s="37"/>
      <c r="C430" s="37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7"/>
      <c r="B431" s="37"/>
      <c r="C431" s="37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7"/>
      <c r="B432" s="37"/>
      <c r="C432" s="37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7"/>
      <c r="B433" s="37"/>
      <c r="C433" s="37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7"/>
      <c r="B434" s="37"/>
      <c r="C434" s="37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7"/>
      <c r="B435" s="37"/>
      <c r="C435" s="37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7"/>
      <c r="B436" s="37"/>
      <c r="C436" s="37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7"/>
      <c r="B437" s="37"/>
      <c r="C437" s="37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7"/>
      <c r="B438" s="37"/>
      <c r="C438" s="37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7"/>
      <c r="B439" s="37"/>
      <c r="C439" s="37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7"/>
      <c r="B440" s="37"/>
      <c r="C440" s="37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7"/>
      <c r="B441" s="37"/>
      <c r="C441" s="37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7"/>
      <c r="B442" s="37"/>
      <c r="C442" s="37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7"/>
      <c r="B443" s="37"/>
      <c r="C443" s="37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7"/>
      <c r="B444" s="37"/>
      <c r="C444" s="37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7"/>
      <c r="B445" s="37"/>
      <c r="C445" s="37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7"/>
      <c r="B446" s="37"/>
      <c r="C446" s="37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7"/>
      <c r="B447" s="37"/>
      <c r="C447" s="37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7"/>
      <c r="B448" s="37"/>
      <c r="C448" s="37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7"/>
      <c r="B449" s="37"/>
      <c r="C449" s="37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7"/>
      <c r="B450" s="37"/>
      <c r="C450" s="37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7"/>
      <c r="B451" s="37"/>
      <c r="C451" s="37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7"/>
      <c r="B452" s="37"/>
      <c r="C452" s="37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7"/>
      <c r="B453" s="37"/>
      <c r="C453" s="37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7"/>
      <c r="B454" s="37"/>
      <c r="C454" s="37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7"/>
      <c r="B455" s="37"/>
      <c r="C455" s="37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7"/>
      <c r="B456" s="37"/>
      <c r="C456" s="37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7"/>
      <c r="B457" s="37"/>
      <c r="C457" s="37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7"/>
      <c r="B458" s="37"/>
      <c r="C458" s="37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7"/>
      <c r="B459" s="37"/>
      <c r="C459" s="37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7"/>
      <c r="B460" s="37"/>
      <c r="C460" s="37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7"/>
      <c r="B461" s="37"/>
      <c r="C461" s="37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7"/>
      <c r="B462" s="37"/>
      <c r="C462" s="37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7"/>
      <c r="B463" s="37"/>
      <c r="C463" s="37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7"/>
      <c r="B464" s="37"/>
      <c r="C464" s="37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7"/>
      <c r="B465" s="37"/>
      <c r="C465" s="37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7"/>
      <c r="B466" s="37"/>
      <c r="C466" s="37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7"/>
      <c r="B467" s="37"/>
      <c r="C467" s="37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7"/>
      <c r="B468" s="37"/>
      <c r="C468" s="37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7"/>
      <c r="B469" s="37"/>
      <c r="C469" s="37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7"/>
      <c r="B470" s="37"/>
      <c r="C470" s="37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7"/>
      <c r="B471" s="37"/>
      <c r="C471" s="37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7"/>
      <c r="B472" s="37"/>
      <c r="C472" s="37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7"/>
      <c r="B473" s="37"/>
      <c r="C473" s="37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7"/>
      <c r="B474" s="37"/>
      <c r="C474" s="37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7"/>
      <c r="B475" s="37"/>
      <c r="C475" s="37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7"/>
      <c r="B476" s="37"/>
      <c r="C476" s="37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7"/>
      <c r="B477" s="37"/>
      <c r="C477" s="37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7"/>
      <c r="B478" s="37"/>
      <c r="C478" s="37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7"/>
      <c r="B479" s="37"/>
      <c r="C479" s="37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7"/>
      <c r="B480" s="37"/>
      <c r="C480" s="37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7"/>
      <c r="B481" s="37"/>
      <c r="C481" s="37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7"/>
      <c r="B482" s="37"/>
      <c r="C482" s="37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7"/>
      <c r="B483" s="37"/>
      <c r="C483" s="37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7"/>
      <c r="B484" s="37"/>
      <c r="C484" s="37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7"/>
      <c r="B485" s="37"/>
      <c r="C485" s="37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7"/>
      <c r="B486" s="37"/>
      <c r="C486" s="37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7"/>
      <c r="B487" s="37"/>
      <c r="C487" s="37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7"/>
      <c r="B488" s="37"/>
      <c r="C488" s="37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7"/>
      <c r="B489" s="37"/>
      <c r="C489" s="37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7"/>
      <c r="B490" s="37"/>
      <c r="C490" s="37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7"/>
      <c r="B491" s="37"/>
      <c r="C491" s="37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7"/>
      <c r="B492" s="37"/>
      <c r="C492" s="37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7"/>
      <c r="B493" s="37"/>
      <c r="C493" s="37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7"/>
      <c r="B494" s="37"/>
      <c r="C494" s="37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7"/>
      <c r="B495" s="37"/>
      <c r="C495" s="37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7"/>
      <c r="B496" s="37"/>
      <c r="C496" s="37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7"/>
      <c r="B497" s="37"/>
      <c r="C497" s="37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7"/>
      <c r="B498" s="37"/>
      <c r="C498" s="37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7"/>
      <c r="B499" s="37"/>
      <c r="C499" s="37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7"/>
      <c r="B500" s="37"/>
      <c r="C500" s="37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7"/>
      <c r="B501" s="37"/>
      <c r="C501" s="37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7"/>
      <c r="B502" s="37"/>
      <c r="C502" s="37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7"/>
      <c r="B503" s="37"/>
      <c r="C503" s="37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7"/>
      <c r="B504" s="37"/>
      <c r="C504" s="37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7"/>
      <c r="B505" s="37"/>
      <c r="C505" s="37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7"/>
      <c r="B506" s="37"/>
      <c r="C506" s="37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7"/>
      <c r="B507" s="37"/>
      <c r="C507" s="37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7"/>
      <c r="B508" s="37"/>
      <c r="C508" s="37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7"/>
      <c r="B509" s="37"/>
      <c r="C509" s="37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7"/>
      <c r="B510" s="37"/>
      <c r="C510" s="37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7"/>
      <c r="B511" s="37"/>
      <c r="C511" s="37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7"/>
      <c r="B512" s="37"/>
      <c r="C512" s="37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7"/>
      <c r="B513" s="37"/>
      <c r="C513" s="37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7"/>
      <c r="B514" s="37"/>
      <c r="C514" s="37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7"/>
      <c r="B515" s="37"/>
      <c r="C515" s="37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7"/>
      <c r="B516" s="37"/>
      <c r="C516" s="37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7"/>
      <c r="B517" s="37"/>
      <c r="C517" s="37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7"/>
      <c r="B518" s="37"/>
      <c r="C518" s="37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7"/>
      <c r="B519" s="37"/>
      <c r="C519" s="37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7"/>
      <c r="B520" s="37"/>
      <c r="C520" s="37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7"/>
      <c r="B521" s="37"/>
      <c r="C521" s="37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7"/>
      <c r="B522" s="37"/>
      <c r="C522" s="37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7"/>
      <c r="B523" s="37"/>
      <c r="C523" s="37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7"/>
      <c r="B524" s="37"/>
      <c r="C524" s="37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7"/>
      <c r="B525" s="37"/>
      <c r="C525" s="37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7"/>
      <c r="B526" s="37"/>
      <c r="C526" s="37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7"/>
      <c r="B527" s="37"/>
      <c r="C527" s="37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7"/>
      <c r="B528" s="37"/>
      <c r="C528" s="37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7"/>
      <c r="B529" s="37"/>
      <c r="C529" s="37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7"/>
      <c r="B530" s="37"/>
      <c r="C530" s="37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7"/>
      <c r="B531" s="37"/>
      <c r="C531" s="37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7"/>
      <c r="B532" s="37"/>
      <c r="C532" s="37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7"/>
      <c r="B533" s="37"/>
      <c r="C533" s="37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7"/>
      <c r="B534" s="37"/>
      <c r="C534" s="37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7"/>
      <c r="B535" s="37"/>
      <c r="C535" s="37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7"/>
      <c r="B536" s="37"/>
      <c r="C536" s="37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7"/>
      <c r="B537" s="37"/>
      <c r="C537" s="37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7"/>
      <c r="B538" s="37"/>
      <c r="C538" s="37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7"/>
      <c r="B539" s="37"/>
      <c r="C539" s="37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7"/>
      <c r="B540" s="37"/>
      <c r="C540" s="37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7"/>
      <c r="B541" s="37"/>
      <c r="C541" s="37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7"/>
      <c r="B542" s="37"/>
      <c r="C542" s="37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7"/>
      <c r="B543" s="37"/>
      <c r="C543" s="37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7"/>
      <c r="B544" s="37"/>
      <c r="C544" s="37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7"/>
      <c r="B545" s="37"/>
      <c r="C545" s="37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7"/>
      <c r="B546" s="37"/>
      <c r="C546" s="37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7"/>
      <c r="B547" s="37"/>
      <c r="C547" s="37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7"/>
      <c r="B548" s="37"/>
      <c r="C548" s="37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7"/>
      <c r="B549" s="37"/>
      <c r="C549" s="37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7"/>
      <c r="B550" s="37"/>
      <c r="C550" s="37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7"/>
      <c r="B551" s="37"/>
      <c r="C551" s="37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7"/>
      <c r="B552" s="37"/>
      <c r="C552" s="37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7"/>
      <c r="B553" s="37"/>
      <c r="C553" s="37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7"/>
      <c r="B554" s="37"/>
      <c r="C554" s="37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7"/>
      <c r="B555" s="37"/>
      <c r="C555" s="37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7"/>
      <c r="B556" s="37"/>
      <c r="C556" s="37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7"/>
      <c r="B557" s="37"/>
      <c r="C557" s="37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7"/>
      <c r="B558" s="37"/>
      <c r="C558" s="37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7"/>
      <c r="B559" s="37"/>
      <c r="C559" s="37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7"/>
      <c r="B560" s="37"/>
      <c r="C560" s="37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7"/>
      <c r="B561" s="37"/>
      <c r="C561" s="37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7"/>
      <c r="B562" s="37"/>
      <c r="C562" s="37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7"/>
      <c r="B563" s="37"/>
      <c r="C563" s="37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7"/>
      <c r="B564" s="37"/>
      <c r="C564" s="37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7"/>
      <c r="B565" s="37"/>
      <c r="C565" s="37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7"/>
      <c r="B566" s="37"/>
      <c r="C566" s="37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7"/>
      <c r="B567" s="37"/>
      <c r="C567" s="37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7"/>
      <c r="B568" s="37"/>
      <c r="C568" s="37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7"/>
      <c r="B569" s="37"/>
      <c r="C569" s="37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7"/>
      <c r="B570" s="37"/>
      <c r="C570" s="37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7"/>
      <c r="B571" s="37"/>
      <c r="C571" s="37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7"/>
      <c r="B572" s="37"/>
      <c r="C572" s="37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7"/>
      <c r="B573" s="37"/>
      <c r="C573" s="37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7"/>
      <c r="B574" s="37"/>
      <c r="C574" s="37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7"/>
      <c r="B575" s="37"/>
      <c r="C575" s="37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7"/>
      <c r="B576" s="37"/>
      <c r="C576" s="37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7"/>
      <c r="B577" s="37"/>
      <c r="C577" s="37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7"/>
      <c r="B578" s="37"/>
      <c r="C578" s="37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7"/>
      <c r="B579" s="37"/>
      <c r="C579" s="37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7"/>
      <c r="B580" s="37"/>
      <c r="C580" s="37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7"/>
      <c r="B581" s="37"/>
      <c r="C581" s="37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7"/>
      <c r="B582" s="37"/>
      <c r="C582" s="37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7"/>
      <c r="B583" s="37"/>
      <c r="C583" s="37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7"/>
      <c r="B584" s="37"/>
      <c r="C584" s="37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7"/>
      <c r="B585" s="37"/>
      <c r="C585" s="37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7"/>
      <c r="B586" s="37"/>
      <c r="C586" s="37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7"/>
      <c r="B587" s="37"/>
      <c r="C587" s="37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7"/>
      <c r="B588" s="37"/>
      <c r="C588" s="37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7"/>
      <c r="B589" s="37"/>
      <c r="C589" s="37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7"/>
      <c r="B590" s="37"/>
      <c r="C590" s="37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7"/>
      <c r="B591" s="37"/>
      <c r="C591" s="37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7"/>
      <c r="B592" s="37"/>
      <c r="C592" s="37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7"/>
      <c r="B593" s="37"/>
      <c r="C593" s="37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7"/>
      <c r="B594" s="37"/>
      <c r="C594" s="37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7"/>
      <c r="B595" s="37"/>
      <c r="C595" s="37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7"/>
      <c r="B596" s="37"/>
      <c r="C596" s="37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7"/>
      <c r="B597" s="37"/>
      <c r="C597" s="37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7"/>
      <c r="B598" s="37"/>
      <c r="C598" s="37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7"/>
      <c r="B599" s="37"/>
      <c r="C599" s="37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7"/>
      <c r="B600" s="37"/>
      <c r="C600" s="37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7"/>
      <c r="B601" s="37"/>
      <c r="C601" s="37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7"/>
      <c r="B602" s="37"/>
      <c r="C602" s="37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7"/>
      <c r="B603" s="37"/>
      <c r="C603" s="37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7"/>
      <c r="B604" s="37"/>
      <c r="C604" s="37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7"/>
      <c r="B605" s="37"/>
      <c r="C605" s="37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7"/>
      <c r="B606" s="37"/>
      <c r="C606" s="37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7"/>
      <c r="B607" s="37"/>
      <c r="C607" s="37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7"/>
      <c r="B608" s="37"/>
      <c r="C608" s="37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7"/>
      <c r="B609" s="37"/>
      <c r="C609" s="37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7"/>
      <c r="B610" s="37"/>
      <c r="C610" s="37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7"/>
      <c r="B611" s="37"/>
      <c r="C611" s="37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7"/>
      <c r="B612" s="37"/>
      <c r="C612" s="37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7"/>
      <c r="B613" s="37"/>
      <c r="C613" s="37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7"/>
      <c r="B614" s="37"/>
      <c r="C614" s="37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7"/>
      <c r="B615" s="37"/>
      <c r="C615" s="37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7"/>
      <c r="B616" s="37"/>
      <c r="C616" s="37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7"/>
      <c r="B617" s="37"/>
      <c r="C617" s="37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7"/>
      <c r="B618" s="37"/>
      <c r="C618" s="37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7"/>
      <c r="B619" s="37"/>
      <c r="C619" s="37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7"/>
      <c r="B620" s="37"/>
      <c r="C620" s="37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7"/>
      <c r="B621" s="37"/>
      <c r="C621" s="37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7"/>
      <c r="B622" s="37"/>
      <c r="C622" s="37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7"/>
      <c r="B623" s="37"/>
      <c r="C623" s="37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7"/>
      <c r="B624" s="37"/>
      <c r="C624" s="37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7"/>
      <c r="B625" s="37"/>
      <c r="C625" s="37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7"/>
      <c r="B626" s="37"/>
      <c r="C626" s="37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7"/>
      <c r="B627" s="37"/>
      <c r="C627" s="37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7"/>
      <c r="B628" s="37"/>
      <c r="C628" s="37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7"/>
      <c r="B629" s="37"/>
      <c r="C629" s="37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7"/>
      <c r="B630" s="37"/>
      <c r="C630" s="37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7"/>
      <c r="B631" s="37"/>
      <c r="C631" s="37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7"/>
      <c r="B632" s="37"/>
      <c r="C632" s="37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7"/>
      <c r="B633" s="37"/>
      <c r="C633" s="37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7"/>
      <c r="B634" s="37"/>
      <c r="C634" s="37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7"/>
      <c r="B635" s="37"/>
      <c r="C635" s="37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7"/>
      <c r="B636" s="37"/>
      <c r="C636" s="37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7"/>
      <c r="B637" s="37"/>
      <c r="C637" s="37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7"/>
      <c r="B638" s="37"/>
      <c r="C638" s="37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7"/>
      <c r="B639" s="37"/>
      <c r="C639" s="37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7"/>
      <c r="B640" s="37"/>
      <c r="C640" s="37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7"/>
      <c r="B641" s="37"/>
      <c r="C641" s="37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7"/>
      <c r="B642" s="37"/>
      <c r="C642" s="37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7"/>
      <c r="B643" s="37"/>
      <c r="C643" s="37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7"/>
      <c r="B644" s="37"/>
      <c r="C644" s="37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7"/>
      <c r="B645" s="37"/>
      <c r="C645" s="37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7"/>
      <c r="B646" s="37"/>
      <c r="C646" s="37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7"/>
      <c r="B647" s="37"/>
      <c r="C647" s="37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7"/>
      <c r="B648" s="37"/>
      <c r="C648" s="37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7"/>
      <c r="B649" s="37"/>
      <c r="C649" s="37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7"/>
      <c r="B650" s="37"/>
      <c r="C650" s="37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7"/>
      <c r="B651" s="37"/>
      <c r="C651" s="37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7"/>
      <c r="B652" s="37"/>
      <c r="C652" s="37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7"/>
      <c r="B653" s="37"/>
      <c r="C653" s="37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7"/>
      <c r="B654" s="37"/>
      <c r="C654" s="37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7"/>
      <c r="B655" s="37"/>
      <c r="C655" s="37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7"/>
      <c r="B656" s="37"/>
      <c r="C656" s="37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7"/>
      <c r="B657" s="37"/>
      <c r="C657" s="37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7"/>
      <c r="B658" s="37"/>
      <c r="C658" s="37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7"/>
      <c r="B659" s="37"/>
      <c r="C659" s="37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7"/>
      <c r="B660" s="37"/>
      <c r="C660" s="37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7"/>
      <c r="B661" s="37"/>
      <c r="C661" s="37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7"/>
      <c r="B662" s="37"/>
      <c r="C662" s="37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7"/>
      <c r="B663" s="37"/>
      <c r="C663" s="37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7"/>
      <c r="B664" s="37"/>
      <c r="C664" s="37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7"/>
      <c r="B665" s="37"/>
      <c r="C665" s="37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7"/>
      <c r="B666" s="37"/>
      <c r="C666" s="37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7"/>
      <c r="B667" s="37"/>
      <c r="C667" s="37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7"/>
      <c r="B668" s="37"/>
      <c r="C668" s="37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7"/>
      <c r="B669" s="37"/>
      <c r="C669" s="37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7"/>
      <c r="B670" s="37"/>
      <c r="C670" s="37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7"/>
      <c r="B671" s="37"/>
      <c r="C671" s="37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7"/>
      <c r="B672" s="37"/>
      <c r="C672" s="37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7"/>
      <c r="B673" s="37"/>
      <c r="C673" s="37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7"/>
      <c r="B674" s="37"/>
      <c r="C674" s="37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7"/>
      <c r="B675" s="37"/>
      <c r="C675" s="37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7"/>
      <c r="B676" s="37"/>
      <c r="C676" s="37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7"/>
      <c r="B677" s="37"/>
      <c r="C677" s="37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7"/>
      <c r="B678" s="37"/>
      <c r="C678" s="37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7"/>
      <c r="B679" s="37"/>
      <c r="C679" s="37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7"/>
      <c r="B680" s="37"/>
      <c r="C680" s="37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7"/>
      <c r="B681" s="37"/>
      <c r="C681" s="37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7"/>
      <c r="B682" s="37"/>
      <c r="C682" s="37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7"/>
      <c r="B683" s="37"/>
      <c r="C683" s="37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7"/>
      <c r="B684" s="37"/>
      <c r="C684" s="37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7"/>
      <c r="B685" s="37"/>
      <c r="C685" s="37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7"/>
      <c r="B686" s="37"/>
      <c r="C686" s="37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7"/>
      <c r="B687" s="37"/>
      <c r="C687" s="37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7"/>
      <c r="B688" s="37"/>
      <c r="C688" s="37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7"/>
      <c r="B689" s="37"/>
      <c r="C689" s="37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7"/>
      <c r="B690" s="37"/>
      <c r="C690" s="37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7"/>
      <c r="B691" s="37"/>
      <c r="C691" s="37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7"/>
      <c r="B692" s="37"/>
      <c r="C692" s="37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7"/>
      <c r="B693" s="37"/>
      <c r="C693" s="37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7"/>
      <c r="B694" s="37"/>
      <c r="C694" s="37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7"/>
      <c r="B695" s="37"/>
      <c r="C695" s="37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7"/>
      <c r="B696" s="37"/>
      <c r="C696" s="37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7"/>
      <c r="B697" s="37"/>
      <c r="C697" s="37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7"/>
      <c r="B698" s="37"/>
      <c r="C698" s="37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7"/>
      <c r="B699" s="37"/>
      <c r="C699" s="37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7"/>
      <c r="B700" s="37"/>
      <c r="C700" s="37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7"/>
      <c r="B701" s="37"/>
      <c r="C701" s="37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7"/>
      <c r="B702" s="37"/>
      <c r="C702" s="37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7"/>
      <c r="B703" s="37"/>
      <c r="C703" s="37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7"/>
      <c r="B704" s="37"/>
      <c r="C704" s="37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7"/>
      <c r="B705" s="37"/>
      <c r="C705" s="37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7"/>
      <c r="B706" s="37"/>
      <c r="C706" s="37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7"/>
      <c r="B707" s="37"/>
      <c r="C707" s="37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7"/>
      <c r="B708" s="37"/>
      <c r="C708" s="37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7"/>
      <c r="B709" s="37"/>
      <c r="C709" s="37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7"/>
      <c r="B710" s="37"/>
      <c r="C710" s="37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7"/>
      <c r="B711" s="37"/>
      <c r="C711" s="37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7"/>
      <c r="B712" s="37"/>
      <c r="C712" s="37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7"/>
      <c r="B713" s="37"/>
      <c r="C713" s="37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7"/>
      <c r="B714" s="37"/>
      <c r="C714" s="37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7"/>
      <c r="B715" s="37"/>
      <c r="C715" s="37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7"/>
      <c r="B716" s="37"/>
      <c r="C716" s="37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7"/>
      <c r="B717" s="37"/>
      <c r="C717" s="37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7"/>
      <c r="B718" s="37"/>
      <c r="C718" s="37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7"/>
      <c r="B719" s="37"/>
      <c r="C719" s="37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7"/>
      <c r="B720" s="37"/>
      <c r="C720" s="37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7"/>
      <c r="B721" s="37"/>
      <c r="C721" s="37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7"/>
      <c r="B722" s="37"/>
      <c r="C722" s="37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7"/>
      <c r="B723" s="37"/>
      <c r="C723" s="37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7"/>
      <c r="B724" s="37"/>
      <c r="C724" s="37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7"/>
      <c r="B725" s="37"/>
      <c r="C725" s="37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7"/>
      <c r="B726" s="37"/>
      <c r="C726" s="37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7"/>
      <c r="B727" s="37"/>
      <c r="C727" s="37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7"/>
      <c r="B728" s="37"/>
      <c r="C728" s="37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7"/>
      <c r="B729" s="37"/>
      <c r="C729" s="37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7"/>
      <c r="B730" s="37"/>
      <c r="C730" s="37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7"/>
      <c r="B731" s="37"/>
      <c r="C731" s="37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7"/>
      <c r="B732" s="37"/>
      <c r="C732" s="37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7"/>
      <c r="B733" s="37"/>
      <c r="C733" s="37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7"/>
      <c r="B734" s="37"/>
      <c r="C734" s="37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7"/>
      <c r="B735" s="37"/>
      <c r="C735" s="37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7"/>
      <c r="B736" s="37"/>
      <c r="C736" s="37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7"/>
      <c r="B737" s="37"/>
      <c r="C737" s="37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7"/>
      <c r="B738" s="37"/>
      <c r="C738" s="37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7"/>
      <c r="B739" s="37"/>
      <c r="C739" s="37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7"/>
      <c r="B740" s="37"/>
      <c r="C740" s="37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7"/>
      <c r="B741" s="37"/>
      <c r="C741" s="37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7"/>
      <c r="B742" s="37"/>
      <c r="C742" s="37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7"/>
      <c r="B743" s="37"/>
      <c r="C743" s="37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7"/>
      <c r="B744" s="37"/>
      <c r="C744" s="37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7"/>
      <c r="B745" s="37"/>
      <c r="C745" s="37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7"/>
      <c r="B746" s="37"/>
      <c r="C746" s="37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7"/>
      <c r="B747" s="37"/>
      <c r="C747" s="37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7"/>
      <c r="B748" s="37"/>
      <c r="C748" s="37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7"/>
      <c r="B749" s="37"/>
      <c r="C749" s="37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7"/>
      <c r="B750" s="37"/>
      <c r="C750" s="37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7"/>
      <c r="B751" s="37"/>
      <c r="C751" s="37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7"/>
      <c r="B752" s="37"/>
      <c r="C752" s="37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7"/>
      <c r="B753" s="37"/>
      <c r="C753" s="37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7"/>
      <c r="B754" s="37"/>
      <c r="C754" s="37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7"/>
      <c r="B755" s="37"/>
      <c r="C755" s="37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7"/>
      <c r="B756" s="37"/>
      <c r="C756" s="37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7"/>
      <c r="B757" s="37"/>
      <c r="C757" s="37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7"/>
      <c r="B758" s="37"/>
      <c r="C758" s="37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7"/>
      <c r="B759" s="37"/>
      <c r="C759" s="37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7"/>
      <c r="B760" s="37"/>
      <c r="C760" s="37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7"/>
      <c r="B761" s="37"/>
      <c r="C761" s="37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7"/>
      <c r="B762" s="37"/>
      <c r="C762" s="37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7"/>
      <c r="B763" s="37"/>
      <c r="C763" s="37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7"/>
      <c r="B764" s="37"/>
      <c r="C764" s="37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7"/>
      <c r="B765" s="37"/>
      <c r="C765" s="37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7"/>
      <c r="B766" s="37"/>
      <c r="C766" s="37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7"/>
      <c r="B767" s="37"/>
      <c r="C767" s="37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7"/>
      <c r="B768" s="37"/>
      <c r="C768" s="37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7"/>
      <c r="B769" s="37"/>
      <c r="C769" s="37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7"/>
      <c r="B770" s="37"/>
      <c r="C770" s="37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7"/>
      <c r="B771" s="37"/>
      <c r="C771" s="37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7"/>
      <c r="B772" s="37"/>
      <c r="C772" s="37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7"/>
      <c r="B773" s="37"/>
      <c r="C773" s="37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7"/>
      <c r="B774" s="37"/>
      <c r="C774" s="37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7"/>
      <c r="B775" s="37"/>
      <c r="C775" s="37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7"/>
      <c r="B776" s="37"/>
      <c r="C776" s="37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7"/>
      <c r="B777" s="37"/>
      <c r="C777" s="37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7"/>
      <c r="B778" s="37"/>
      <c r="C778" s="37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7"/>
      <c r="B779" s="37"/>
      <c r="C779" s="37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7"/>
      <c r="B780" s="37"/>
      <c r="C780" s="37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7"/>
      <c r="B781" s="37"/>
      <c r="C781" s="37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7"/>
      <c r="B782" s="37"/>
      <c r="C782" s="37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7"/>
      <c r="B783" s="37"/>
      <c r="C783" s="37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7"/>
      <c r="B784" s="37"/>
      <c r="C784" s="37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7"/>
      <c r="B785" s="37"/>
      <c r="C785" s="37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7"/>
      <c r="B786" s="37"/>
      <c r="C786" s="37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7"/>
      <c r="B787" s="37"/>
      <c r="C787" s="37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7"/>
      <c r="B788" s="37"/>
      <c r="C788" s="37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7"/>
      <c r="B789" s="37"/>
      <c r="C789" s="37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7"/>
      <c r="B790" s="37"/>
      <c r="C790" s="37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7"/>
      <c r="B791" s="37"/>
      <c r="C791" s="37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7"/>
      <c r="B792" s="37"/>
      <c r="C792" s="37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7"/>
      <c r="B793" s="37"/>
      <c r="C793" s="37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7"/>
      <c r="B794" s="37"/>
      <c r="C794" s="37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7"/>
      <c r="B795" s="37"/>
      <c r="C795" s="37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7"/>
      <c r="B796" s="37"/>
      <c r="C796" s="37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7"/>
      <c r="B797" s="37"/>
      <c r="C797" s="37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7"/>
      <c r="B798" s="37"/>
      <c r="C798" s="37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7"/>
      <c r="B799" s="37"/>
      <c r="C799" s="37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7"/>
      <c r="B800" s="37"/>
      <c r="C800" s="37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7"/>
      <c r="B801" s="37"/>
      <c r="C801" s="37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7"/>
      <c r="B802" s="37"/>
      <c r="C802" s="37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7"/>
      <c r="B803" s="37"/>
      <c r="C803" s="37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7"/>
      <c r="B804" s="37"/>
      <c r="C804" s="37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7"/>
      <c r="B805" s="37"/>
      <c r="C805" s="37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7"/>
      <c r="B806" s="37"/>
      <c r="C806" s="37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7"/>
      <c r="B807" s="37"/>
      <c r="C807" s="37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7"/>
      <c r="B808" s="37"/>
      <c r="C808" s="37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7"/>
      <c r="B809" s="37"/>
      <c r="C809" s="37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7"/>
      <c r="B810" s="37"/>
      <c r="C810" s="37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7"/>
      <c r="B811" s="37"/>
      <c r="C811" s="37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7"/>
      <c r="B812" s="37"/>
      <c r="C812" s="37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7"/>
      <c r="B813" s="37"/>
      <c r="C813" s="37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7"/>
      <c r="B814" s="37"/>
      <c r="C814" s="37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7"/>
      <c r="B815" s="37"/>
      <c r="C815" s="37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7"/>
      <c r="B816" s="37"/>
      <c r="C816" s="37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7"/>
      <c r="B817" s="37"/>
      <c r="C817" s="37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7"/>
      <c r="B818" s="37"/>
      <c r="C818" s="37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7"/>
      <c r="B819" s="37"/>
      <c r="C819" s="37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7"/>
      <c r="B820" s="37"/>
      <c r="C820" s="37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7"/>
      <c r="B821" s="37"/>
      <c r="C821" s="37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7"/>
      <c r="B822" s="37"/>
      <c r="C822" s="37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7"/>
      <c r="B823" s="37"/>
      <c r="C823" s="37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7"/>
      <c r="B824" s="37"/>
      <c r="C824" s="37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7"/>
      <c r="B825" s="37"/>
      <c r="C825" s="37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7"/>
      <c r="B826" s="37"/>
      <c r="C826" s="37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7"/>
      <c r="B827" s="37"/>
      <c r="C827" s="37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7"/>
      <c r="B828" s="37"/>
      <c r="C828" s="37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7"/>
      <c r="B829" s="37"/>
      <c r="C829" s="37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7"/>
      <c r="B830" s="37"/>
      <c r="C830" s="37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7"/>
      <c r="B831" s="37"/>
      <c r="C831" s="37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7"/>
      <c r="B832" s="37"/>
      <c r="C832" s="37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7"/>
      <c r="B833" s="37"/>
      <c r="C833" s="37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7"/>
      <c r="B834" s="37"/>
      <c r="C834" s="37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7"/>
      <c r="B835" s="37"/>
      <c r="C835" s="37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7"/>
      <c r="B836" s="37"/>
      <c r="C836" s="37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7"/>
      <c r="B837" s="37"/>
      <c r="C837" s="37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7"/>
      <c r="B838" s="37"/>
      <c r="C838" s="37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7"/>
      <c r="B839" s="37"/>
      <c r="C839" s="37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7"/>
      <c r="B840" s="37"/>
      <c r="C840" s="37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7"/>
      <c r="B841" s="37"/>
      <c r="C841" s="37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7"/>
      <c r="B842" s="37"/>
      <c r="C842" s="37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7"/>
      <c r="B843" s="37"/>
      <c r="C843" s="37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7"/>
      <c r="B844" s="37"/>
      <c r="C844" s="37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7"/>
      <c r="B845" s="37"/>
      <c r="C845" s="37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7"/>
      <c r="B846" s="37"/>
      <c r="C846" s="37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7"/>
      <c r="B847" s="37"/>
      <c r="C847" s="37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7"/>
      <c r="B848" s="37"/>
      <c r="C848" s="37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7"/>
      <c r="B849" s="37"/>
      <c r="C849" s="37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7"/>
      <c r="B850" s="37"/>
      <c r="C850" s="37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7"/>
      <c r="B851" s="37"/>
      <c r="C851" s="37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7"/>
      <c r="B852" s="37"/>
      <c r="C852" s="37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7"/>
      <c r="B853" s="37"/>
      <c r="C853" s="37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7"/>
      <c r="B854" s="37"/>
      <c r="C854" s="37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7"/>
      <c r="B855" s="37"/>
      <c r="C855" s="37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7"/>
      <c r="B856" s="37"/>
      <c r="C856" s="37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7"/>
      <c r="B857" s="37"/>
      <c r="C857" s="37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7"/>
      <c r="B858" s="37"/>
      <c r="C858" s="37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7"/>
      <c r="B859" s="37"/>
      <c r="C859" s="37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7"/>
      <c r="B860" s="37"/>
      <c r="C860" s="37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7"/>
      <c r="B861" s="37"/>
      <c r="C861" s="37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7"/>
      <c r="B862" s="37"/>
      <c r="C862" s="37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7"/>
      <c r="B863" s="37"/>
      <c r="C863" s="37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7"/>
      <c r="B864" s="37"/>
      <c r="C864" s="37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7"/>
      <c r="B865" s="37"/>
      <c r="C865" s="37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7"/>
      <c r="B866" s="37"/>
      <c r="C866" s="37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7"/>
      <c r="B867" s="37"/>
      <c r="C867" s="37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7"/>
      <c r="B868" s="37"/>
      <c r="C868" s="37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7"/>
      <c r="B869" s="37"/>
      <c r="C869" s="37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7"/>
      <c r="B870" s="37"/>
      <c r="C870" s="37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7"/>
      <c r="B871" s="37"/>
      <c r="C871" s="37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7"/>
      <c r="B872" s="37"/>
      <c r="C872" s="37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7"/>
      <c r="B873" s="37"/>
      <c r="C873" s="37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7"/>
      <c r="B874" s="37"/>
      <c r="C874" s="37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7"/>
      <c r="B875" s="37"/>
      <c r="C875" s="37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7"/>
      <c r="B876" s="37"/>
      <c r="C876" s="37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7"/>
      <c r="B877" s="37"/>
      <c r="C877" s="37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7"/>
      <c r="B878" s="37"/>
      <c r="C878" s="37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7"/>
      <c r="B879" s="37"/>
      <c r="C879" s="37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7"/>
      <c r="B880" s="37"/>
      <c r="C880" s="37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7"/>
      <c r="B881" s="37"/>
      <c r="C881" s="37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7"/>
      <c r="B882" s="37"/>
      <c r="C882" s="37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7"/>
      <c r="B883" s="37"/>
      <c r="C883" s="37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7"/>
      <c r="B884" s="37"/>
      <c r="C884" s="37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7"/>
      <c r="B885" s="37"/>
      <c r="C885" s="37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7"/>
      <c r="B886" s="37"/>
      <c r="C886" s="37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7"/>
      <c r="B887" s="37"/>
      <c r="C887" s="37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7"/>
      <c r="B888" s="37"/>
      <c r="C888" s="37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7"/>
      <c r="B889" s="37"/>
      <c r="C889" s="37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7"/>
      <c r="B890" s="37"/>
      <c r="C890" s="37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7"/>
      <c r="B891" s="37"/>
      <c r="C891" s="37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7"/>
      <c r="B892" s="37"/>
      <c r="C892" s="37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7"/>
      <c r="B893" s="37"/>
      <c r="C893" s="37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7"/>
      <c r="B894" s="37"/>
      <c r="C894" s="37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7"/>
      <c r="B895" s="37"/>
      <c r="C895" s="37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7"/>
      <c r="B896" s="37"/>
      <c r="C896" s="37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7"/>
      <c r="B897" s="37"/>
      <c r="C897" s="37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7"/>
      <c r="B898" s="37"/>
      <c r="C898" s="37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7"/>
      <c r="B899" s="37"/>
      <c r="C899" s="37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7"/>
      <c r="B900" s="37"/>
      <c r="C900" s="37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7"/>
      <c r="B901" s="37"/>
      <c r="C901" s="37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7"/>
      <c r="B902" s="37"/>
      <c r="C902" s="37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7"/>
      <c r="B903" s="37"/>
      <c r="C903" s="37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7"/>
      <c r="B904" s="37"/>
      <c r="C904" s="37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7"/>
      <c r="B905" s="37"/>
      <c r="C905" s="37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7"/>
      <c r="B906" s="37"/>
      <c r="C906" s="37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7"/>
      <c r="B907" s="37"/>
      <c r="C907" s="37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7"/>
      <c r="B908" s="37"/>
      <c r="C908" s="37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7"/>
      <c r="B909" s="37"/>
      <c r="C909" s="37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7"/>
      <c r="B910" s="37"/>
      <c r="C910" s="37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7"/>
      <c r="B911" s="37"/>
      <c r="C911" s="37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7"/>
      <c r="B912" s="37"/>
      <c r="C912" s="37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7"/>
      <c r="B913" s="37"/>
      <c r="C913" s="37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7"/>
      <c r="B914" s="37"/>
      <c r="C914" s="37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7"/>
      <c r="B915" s="37"/>
      <c r="C915" s="37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7"/>
      <c r="B916" s="37"/>
      <c r="C916" s="37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7"/>
      <c r="B917" s="37"/>
      <c r="C917" s="37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7"/>
      <c r="B918" s="37"/>
      <c r="C918" s="37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7"/>
      <c r="B919" s="37"/>
      <c r="C919" s="37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7"/>
      <c r="B920" s="37"/>
      <c r="C920" s="37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7"/>
      <c r="B921" s="37"/>
      <c r="C921" s="37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7"/>
      <c r="B922" s="37"/>
      <c r="C922" s="37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7"/>
      <c r="B923" s="37"/>
      <c r="C923" s="37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7"/>
      <c r="B924" s="37"/>
      <c r="C924" s="37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7"/>
      <c r="B925" s="37"/>
      <c r="C925" s="37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7"/>
      <c r="B926" s="37"/>
      <c r="C926" s="37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7"/>
      <c r="B927" s="37"/>
      <c r="C927" s="37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7"/>
      <c r="B928" s="37"/>
      <c r="C928" s="37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7"/>
      <c r="B929" s="37"/>
      <c r="C929" s="37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7"/>
      <c r="B930" s="37"/>
      <c r="C930" s="37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7"/>
      <c r="B931" s="37"/>
      <c r="C931" s="37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7"/>
      <c r="B932" s="37"/>
      <c r="C932" s="37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7"/>
      <c r="B933" s="37"/>
      <c r="C933" s="37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7"/>
      <c r="B934" s="37"/>
      <c r="C934" s="37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7"/>
      <c r="B935" s="37"/>
      <c r="C935" s="37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7"/>
      <c r="B936" s="37"/>
      <c r="C936" s="37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7"/>
      <c r="B937" s="37"/>
      <c r="C937" s="37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7"/>
      <c r="B938" s="37"/>
      <c r="C938" s="37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7"/>
      <c r="B939" s="37"/>
      <c r="C939" s="37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7"/>
      <c r="B940" s="37"/>
      <c r="C940" s="37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7"/>
      <c r="B941" s="37"/>
      <c r="C941" s="37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7"/>
      <c r="B942" s="37"/>
      <c r="C942" s="37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7"/>
      <c r="B943" s="37"/>
      <c r="C943" s="37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7"/>
      <c r="B944" s="37"/>
      <c r="C944" s="37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7"/>
      <c r="B945" s="37"/>
      <c r="C945" s="37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7"/>
      <c r="B946" s="37"/>
      <c r="C946" s="37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7"/>
      <c r="B947" s="37"/>
      <c r="C947" s="37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7"/>
      <c r="B948" s="37"/>
      <c r="C948" s="37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7"/>
      <c r="B949" s="37"/>
      <c r="C949" s="37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7"/>
      <c r="B950" s="37"/>
      <c r="C950" s="37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7"/>
      <c r="B951" s="37"/>
      <c r="C951" s="37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7"/>
      <c r="B952" s="37"/>
      <c r="C952" s="37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7"/>
      <c r="B953" s="37"/>
      <c r="C953" s="37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7"/>
      <c r="B954" s="37"/>
      <c r="C954" s="37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7"/>
      <c r="B955" s="37"/>
      <c r="C955" s="37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7"/>
      <c r="B956" s="37"/>
      <c r="C956" s="37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7"/>
      <c r="B957" s="37"/>
      <c r="C957" s="37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7"/>
      <c r="B958" s="37"/>
      <c r="C958" s="37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7"/>
      <c r="B959" s="37"/>
      <c r="C959" s="37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7"/>
      <c r="B960" s="37"/>
      <c r="C960" s="37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7"/>
      <c r="B961" s="37"/>
      <c r="C961" s="37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7"/>
      <c r="B962" s="37"/>
      <c r="C962" s="37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7"/>
      <c r="B963" s="37"/>
      <c r="C963" s="37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7"/>
      <c r="B964" s="37"/>
      <c r="C964" s="37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7"/>
      <c r="B965" s="37"/>
      <c r="C965" s="37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7"/>
      <c r="B966" s="37"/>
      <c r="C966" s="37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7"/>
      <c r="B967" s="37"/>
      <c r="C967" s="37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7"/>
      <c r="B968" s="37"/>
      <c r="C968" s="37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7"/>
      <c r="B969" s="37"/>
      <c r="C969" s="37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7"/>
      <c r="B970" s="37"/>
      <c r="C970" s="37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7"/>
      <c r="B971" s="37"/>
      <c r="C971" s="37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7"/>
      <c r="B972" s="37"/>
      <c r="C972" s="37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7"/>
      <c r="B973" s="37"/>
      <c r="C973" s="37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7"/>
      <c r="B974" s="37"/>
      <c r="C974" s="37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7"/>
      <c r="B975" s="37"/>
      <c r="C975" s="37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7"/>
      <c r="B976" s="37"/>
      <c r="C976" s="37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7"/>
      <c r="B977" s="37"/>
      <c r="C977" s="37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7"/>
      <c r="B978" s="37"/>
      <c r="C978" s="37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7"/>
      <c r="B979" s="37"/>
      <c r="C979" s="37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7"/>
      <c r="B980" s="37"/>
      <c r="C980" s="37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7"/>
      <c r="B981" s="37"/>
      <c r="C981" s="37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7"/>
      <c r="B982" s="37"/>
      <c r="C982" s="37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7"/>
      <c r="B983" s="37"/>
      <c r="C983" s="37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7"/>
      <c r="B984" s="37"/>
      <c r="C984" s="37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7"/>
      <c r="B985" s="37"/>
      <c r="C985" s="37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7"/>
      <c r="B986" s="37"/>
      <c r="C986" s="37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7"/>
      <c r="B987" s="37"/>
      <c r="C987" s="37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7"/>
      <c r="B988" s="37"/>
      <c r="C988" s="37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7"/>
      <c r="B989" s="37"/>
      <c r="C989" s="37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7"/>
      <c r="B990" s="37"/>
      <c r="C990" s="37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7"/>
      <c r="B991" s="37"/>
      <c r="C991" s="37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7"/>
      <c r="B992" s="37"/>
      <c r="C992" s="37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7"/>
      <c r="B993" s="37"/>
      <c r="C993" s="37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7"/>
      <c r="B994" s="37"/>
      <c r="C994" s="37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7"/>
      <c r="B995" s="37"/>
      <c r="C995" s="37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7"/>
      <c r="B996" s="37"/>
      <c r="C996" s="37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7"/>
      <c r="B997" s="37"/>
      <c r="C997" s="37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7"/>
      <c r="B998" s="37"/>
      <c r="C998" s="37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7"/>
      <c r="B999" s="37"/>
      <c r="C999" s="37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6.25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6.75"/>
    <col customWidth="1" min="9" max="9" width="19.25"/>
    <col customWidth="1" min="10" max="10" width="14.75"/>
    <col customWidth="1" min="11" max="27" width="9.13"/>
  </cols>
  <sheetData>
    <row r="1" ht="12.0" customHeight="1">
      <c r="A1" s="1" t="s">
        <v>0</v>
      </c>
      <c r="B1" s="2"/>
      <c r="C1" s="3"/>
      <c r="D1" s="41"/>
      <c r="E1" s="42"/>
      <c r="F1" s="41"/>
      <c r="G1" s="4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1"/>
      <c r="E2" s="42"/>
      <c r="F2" s="44"/>
      <c r="G2" s="4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142</v>
      </c>
      <c r="B3" s="2"/>
      <c r="C3" s="1"/>
      <c r="D3" s="46"/>
      <c r="E3" s="47"/>
      <c r="F3" s="48"/>
      <c r="G3" s="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3</v>
      </c>
      <c r="B4" s="2"/>
      <c r="C4" s="1"/>
      <c r="D4" s="46"/>
      <c r="E4" s="47"/>
      <c r="F4" s="48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1"/>
      <c r="E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9" t="s">
        <v>6</v>
      </c>
      <c r="B6" s="50"/>
      <c r="C6" s="51" t="s">
        <v>7</v>
      </c>
      <c r="D6" s="52" t="s">
        <v>10</v>
      </c>
      <c r="E6" s="52" t="s">
        <v>16</v>
      </c>
      <c r="F6" s="52" t="s">
        <v>17</v>
      </c>
      <c r="G6" s="53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Dec!F9</f>
        <v>4299316612</v>
      </c>
      <c r="E9" s="4">
        <f>Oct!I9+Nov!I9+Dec!I9</f>
        <v>14350720</v>
      </c>
      <c r="F9" s="4">
        <f>Oct!J9+Nov!J9+Dec!J9</f>
        <v>107257676</v>
      </c>
      <c r="G9" s="4">
        <f t="shared" ref="G9:G27" si="1">E9-F9</f>
        <v>-92906956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f t="shared" ref="B10:B27" si="2">1+B9</f>
        <v>2</v>
      </c>
      <c r="C10" s="3" t="s">
        <v>22</v>
      </c>
      <c r="D10" s="6">
        <f>Dec!F10</f>
        <v>781058109</v>
      </c>
      <c r="E10" s="4">
        <f>Oct!I10+Nov!I10+Dec!I10</f>
        <v>10129743.93</v>
      </c>
      <c r="F10" s="4">
        <f>Oct!J10+Nov!J10+Dec!J10</f>
        <v>13626084.78</v>
      </c>
      <c r="G10" s="4">
        <f t="shared" si="1"/>
        <v>-3496340.85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f t="shared" si="2"/>
        <v>3</v>
      </c>
      <c r="C11" s="3" t="s">
        <v>23</v>
      </c>
      <c r="D11" s="6">
        <f>Dec!F11</f>
        <v>1376720411</v>
      </c>
      <c r="E11" s="4">
        <f>Oct!I11+Nov!I11+Dec!I11</f>
        <v>17758959.59</v>
      </c>
      <c r="F11" s="4">
        <f>Oct!J11+Nov!J11+Dec!J11</f>
        <v>35250168.44</v>
      </c>
      <c r="G11" s="4">
        <f t="shared" si="1"/>
        <v>-17491208.85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f t="shared" si="2"/>
        <v>4</v>
      </c>
      <c r="C12" s="3" t="s">
        <v>24</v>
      </c>
      <c r="D12" s="6">
        <f>Dec!F12</f>
        <v>351084818.1</v>
      </c>
      <c r="E12" s="4">
        <f>Oct!I12+Nov!I12+Dec!I12</f>
        <v>4290447.8</v>
      </c>
      <c r="F12" s="4">
        <f>Oct!J12+Nov!J12+Dec!J12</f>
        <v>538327.36</v>
      </c>
      <c r="G12" s="4">
        <f t="shared" si="1"/>
        <v>3752120.44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f t="shared" si="2"/>
        <v>5</v>
      </c>
      <c r="C13" s="3" t="s">
        <v>115</v>
      </c>
      <c r="D13" s="6">
        <f>Dec!F13</f>
        <v>455123663</v>
      </c>
      <c r="E13" s="4">
        <f>Oct!I13+Nov!I13+Dec!I13</f>
        <v>1159106</v>
      </c>
      <c r="F13" s="4">
        <f>Oct!J13+Nov!J13+Dec!J13</f>
        <v>11712511</v>
      </c>
      <c r="G13" s="4">
        <f t="shared" si="1"/>
        <v>-10553405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Dec!F14</f>
        <v>4353679345</v>
      </c>
      <c r="E14" s="4">
        <f>Oct!I14+Nov!I14+Dec!I14</f>
        <v>362220795</v>
      </c>
      <c r="F14" s="4">
        <f>Oct!J14+Nov!J14+Dec!J14</f>
        <v>97388240</v>
      </c>
      <c r="G14" s="4">
        <f t="shared" si="1"/>
        <v>264832555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Dec!F15</f>
        <v>100842278</v>
      </c>
      <c r="E15" s="4">
        <f>Oct!I15+Nov!I15+Dec!I15</f>
        <v>1069890</v>
      </c>
      <c r="F15" s="4">
        <f>Oct!J15+Nov!J15+Dec!J15</f>
        <v>2103088</v>
      </c>
      <c r="G15" s="4">
        <f t="shared" si="1"/>
        <v>-1033198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Dec!F16</f>
        <v>127555575</v>
      </c>
      <c r="E16" s="4">
        <f>Oct!I16+Nov!I16+Dec!I16</f>
        <v>0</v>
      </c>
      <c r="F16" s="4">
        <f>Oct!J16+Nov!J16+Dec!J16</f>
        <v>0</v>
      </c>
      <c r="G16" s="4">
        <f t="shared" si="1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Dec!F17</f>
        <v>1177072516</v>
      </c>
      <c r="E17" s="4">
        <f>Oct!I17+Nov!I17+Dec!I17</f>
        <v>0</v>
      </c>
      <c r="F17" s="4">
        <f>Oct!J17+Nov!J17+Dec!J17</f>
        <v>24706490</v>
      </c>
      <c r="G17" s="4">
        <f t="shared" si="1"/>
        <v>-24706490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Dec!F18</f>
        <v>3456671906</v>
      </c>
      <c r="E18" s="4">
        <f>Oct!I18+Nov!I18+Dec!I18</f>
        <v>6655685</v>
      </c>
      <c r="F18" s="4">
        <f>Oct!J18+Nov!J18+Dec!J18</f>
        <v>105211023</v>
      </c>
      <c r="G18" s="4">
        <f t="shared" si="1"/>
        <v>-98555338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Dec!F19</f>
        <v>2223837077</v>
      </c>
      <c r="E19" s="4">
        <f>Oct!I19+Nov!I19+Dec!I19</f>
        <v>3453239.87</v>
      </c>
      <c r="F19" s="4">
        <f>Oct!J19+Nov!J19+Dec!J19</f>
        <v>15723466.2</v>
      </c>
      <c r="G19" s="4">
        <f t="shared" si="1"/>
        <v>-12270226.33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Dec!F20</f>
        <v>9348786154</v>
      </c>
      <c r="E20" s="4">
        <f>Oct!I20+Nov!I20+Dec!I20</f>
        <v>21514217.76</v>
      </c>
      <c r="F20" s="4">
        <f>Oct!J20+Nov!J20+Dec!J20</f>
        <v>112686150.6</v>
      </c>
      <c r="G20" s="4">
        <f t="shared" si="1"/>
        <v>-91171932.88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116</v>
      </c>
      <c r="D21" s="6">
        <f>Dec!F21</f>
        <v>312686896.1</v>
      </c>
      <c r="E21" s="4">
        <f>Oct!I21+Nov!I21+Dec!I21</f>
        <v>821165.89</v>
      </c>
      <c r="F21" s="4">
        <f>Oct!J21+Nov!J21+Dec!J21</f>
        <v>814992.68</v>
      </c>
      <c r="G21" s="4">
        <f t="shared" si="1"/>
        <v>6173.21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Dec!F22</f>
        <v>3785787145</v>
      </c>
      <c r="E22" s="4">
        <f>Oct!I22+Nov!I22+Dec!I22</f>
        <v>28854393.47</v>
      </c>
      <c r="F22" s="4">
        <f>Oct!J22+Nov!J22+Dec!J22</f>
        <v>44511759.23</v>
      </c>
      <c r="G22" s="4">
        <f t="shared" si="1"/>
        <v>-15657365.76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Dec!F23</f>
        <v>8034244316</v>
      </c>
      <c r="E23" s="4">
        <f>Oct!I23+Nov!I23+Dec!I23</f>
        <v>6767052</v>
      </c>
      <c r="F23" s="4">
        <f>Oct!J23+Nov!J23+Dec!J23</f>
        <v>291490904</v>
      </c>
      <c r="G23" s="4">
        <f t="shared" si="1"/>
        <v>-284723852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21" t="s">
        <v>36</v>
      </c>
      <c r="D24" s="6">
        <f>Dec!F24</f>
        <v>3652771265</v>
      </c>
      <c r="E24" s="4">
        <f>Oct!I24+Nov!I24+Dec!I24</f>
        <v>115156124.4</v>
      </c>
      <c r="F24" s="4">
        <f>Oct!J24+Nov!J24+Dec!J24</f>
        <v>59883502.72</v>
      </c>
      <c r="G24" s="4">
        <f t="shared" si="1"/>
        <v>55272621.7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2"/>
      <c r="B25" s="2">
        <f t="shared" si="2"/>
        <v>17</v>
      </c>
      <c r="C25" s="23" t="s">
        <v>37</v>
      </c>
      <c r="D25" s="6">
        <f>Dec!F25</f>
        <v>6602043843</v>
      </c>
      <c r="E25" s="4">
        <f>Oct!I25+Nov!I25+Dec!I25</f>
        <v>134380983</v>
      </c>
      <c r="F25" s="4">
        <f>Oct!J25+Nov!J25+Dec!J25</f>
        <v>291929574</v>
      </c>
      <c r="G25" s="4">
        <f t="shared" si="1"/>
        <v>-157548591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2"/>
      <c r="B26" s="2">
        <f t="shared" si="2"/>
        <v>18</v>
      </c>
      <c r="C26" s="23" t="s">
        <v>38</v>
      </c>
      <c r="D26" s="6">
        <f>Dec!F26</f>
        <v>10853729278</v>
      </c>
      <c r="E26" s="4">
        <f>Oct!I26+Nov!I26+Dec!I26</f>
        <v>107960689</v>
      </c>
      <c r="F26" s="4">
        <f>Oct!J26+Nov!J26+Dec!J26</f>
        <v>557337930</v>
      </c>
      <c r="G26" s="4">
        <f t="shared" si="1"/>
        <v>-449377241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Dec!F27</f>
        <v>585794647.1</v>
      </c>
      <c r="E27" s="4">
        <f>Oct!I27+Nov!I27+Dec!I27</f>
        <v>4679677</v>
      </c>
      <c r="F27" s="4">
        <f>Oct!J27+Nov!J27+Dec!J27</f>
        <v>6850559.03</v>
      </c>
      <c r="G27" s="4">
        <f t="shared" si="1"/>
        <v>-2170882.03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18"/>
      <c r="B29" s="2">
        <f>1+B27</f>
        <v>20</v>
      </c>
      <c r="C29" s="3" t="s">
        <v>41</v>
      </c>
      <c r="D29" s="6">
        <f>Dec!F29</f>
        <v>228990821.2</v>
      </c>
      <c r="E29" s="4">
        <f>Oct!I29+Nov!I29+Dec!I29</f>
        <v>19587861.88</v>
      </c>
      <c r="F29" s="4">
        <f>Oct!J29+Nov!J29+Dec!J29</f>
        <v>6574130.6</v>
      </c>
      <c r="G29" s="4">
        <f t="shared" ref="G29:G32" si="3">E29-F29</f>
        <v>13013731.28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18"/>
      <c r="B30" s="2">
        <f t="shared" ref="B30:B32" si="4">1+B29</f>
        <v>21</v>
      </c>
      <c r="C30" s="3" t="s">
        <v>143</v>
      </c>
      <c r="D30" s="6">
        <f>Dec!F30</f>
        <v>110218647.5</v>
      </c>
      <c r="E30" s="4">
        <f>Oct!I30+Nov!I30+Dec!I30</f>
        <v>110318901.7</v>
      </c>
      <c r="F30" s="4">
        <f>Oct!J30+Nov!J30+Dec!J30</f>
        <v>816360.94</v>
      </c>
      <c r="G30" s="4">
        <f t="shared" si="3"/>
        <v>109502540.8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42</v>
      </c>
      <c r="D31" s="6">
        <f>Dec!F31</f>
        <v>314617679.3</v>
      </c>
      <c r="E31" s="4">
        <f>Oct!I31+Nov!I31+Dec!I31</f>
        <v>2127484.65</v>
      </c>
      <c r="F31" s="4">
        <f>Oct!J31+Nov!J31+Dec!J31</f>
        <v>9742952.27</v>
      </c>
      <c r="G31" s="4">
        <f t="shared" si="3"/>
        <v>-7615467.62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Dec!F32</f>
        <v>616686092</v>
      </c>
      <c r="E32" s="4">
        <f>Oct!I32+Nov!I32+Dec!I32</f>
        <v>69091829</v>
      </c>
      <c r="F32" s="4">
        <f>Oct!J32+Nov!J32+Dec!J32</f>
        <v>31274013</v>
      </c>
      <c r="G32" s="4">
        <f t="shared" si="3"/>
        <v>37817816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18" t="s">
        <v>43</v>
      </c>
      <c r="B33" s="2"/>
      <c r="C33" s="3"/>
      <c r="D33" s="6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44</v>
      </c>
      <c r="D34" s="6">
        <f>Dec!F34</f>
        <v>2139766628</v>
      </c>
      <c r="E34" s="4">
        <f>Oct!I34+Nov!I34+Dec!I34</f>
        <v>9589456</v>
      </c>
      <c r="F34" s="4">
        <f>Oct!J34+Nov!J34+Dec!J34</f>
        <v>12958913</v>
      </c>
      <c r="G34" s="4">
        <f>E34-F34</f>
        <v>-3369457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4" t="s">
        <v>45</v>
      </c>
      <c r="B35" s="25"/>
      <c r="C35" s="1"/>
      <c r="D35" s="54">
        <f t="shared" ref="D35:G35" si="5">SUM(D9:D34)</f>
        <v>65289085723</v>
      </c>
      <c r="E35" s="54">
        <f t="shared" si="5"/>
        <v>1051938423</v>
      </c>
      <c r="F35" s="54">
        <f t="shared" si="5"/>
        <v>1840388817</v>
      </c>
      <c r="G35" s="54">
        <f t="shared" si="5"/>
        <v>-788450393.9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18" t="s">
        <v>46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47</v>
      </c>
      <c r="D37" s="6">
        <f>Dec!F37</f>
        <v>25379499.51</v>
      </c>
      <c r="E37" s="4">
        <f>Oct!I37+Nov!I37+Dec!I37</f>
        <v>225757.36</v>
      </c>
      <c r="F37" s="4">
        <f>Oct!J37+Nov!J37+Dec!J37</f>
        <v>129100.33</v>
      </c>
      <c r="G37" s="4">
        <f t="shared" ref="G37:G38" si="6">E37-F37</f>
        <v>96657.03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48</v>
      </c>
      <c r="D38" s="6">
        <f>Dec!F38</f>
        <v>1956056680</v>
      </c>
      <c r="E38" s="4">
        <f>Oct!I38+Nov!I38+Dec!I38</f>
        <v>25820233</v>
      </c>
      <c r="F38" s="4">
        <f>Oct!J38+Nov!J38+Dec!J38</f>
        <v>52287188</v>
      </c>
      <c r="G38" s="4">
        <f t="shared" si="6"/>
        <v>-26466955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4" t="s">
        <v>49</v>
      </c>
      <c r="B39" s="25"/>
      <c r="C39" s="1"/>
      <c r="D39" s="54">
        <f t="shared" ref="D39:G39" si="7">SUM(D37:D38)</f>
        <v>1981436180</v>
      </c>
      <c r="E39" s="54">
        <f t="shared" si="7"/>
        <v>26045990.36</v>
      </c>
      <c r="F39" s="54">
        <f t="shared" si="7"/>
        <v>52416288.33</v>
      </c>
      <c r="G39" s="54">
        <f t="shared" si="7"/>
        <v>-26370297.97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50</v>
      </c>
      <c r="B40" s="25"/>
      <c r="C40" s="1"/>
      <c r="D40" s="54">
        <f t="shared" ref="D40:G40" si="8">D35+D39</f>
        <v>67270521902</v>
      </c>
      <c r="E40" s="54">
        <f t="shared" si="8"/>
        <v>1077984413</v>
      </c>
      <c r="F40" s="54">
        <f t="shared" si="8"/>
        <v>1892805105</v>
      </c>
      <c r="G40" s="54">
        <f t="shared" si="8"/>
        <v>-814820691.9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51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18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18"/>
      <c r="B43" s="2">
        <f>1+B38</f>
        <v>27</v>
      </c>
      <c r="C43" s="3" t="s">
        <v>144</v>
      </c>
      <c r="D43" s="6">
        <f>Dec!F44</f>
        <v>120167969.3</v>
      </c>
      <c r="E43" s="4">
        <f>Oct!I43+Nov!I43+Dec!I44</f>
        <v>515087</v>
      </c>
      <c r="F43" s="4">
        <f>Oct!J43+Nov!J43+Dec!J44</f>
        <v>792319.71</v>
      </c>
      <c r="G43" s="4">
        <f t="shared" ref="G43:G52" si="9">E43-F43</f>
        <v>-277232.71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1+B43</f>
        <v>28</v>
      </c>
      <c r="C44" s="3" t="s">
        <v>53</v>
      </c>
      <c r="D44" s="6">
        <f>Dec!F43</f>
        <v>488896830.7</v>
      </c>
      <c r="E44" s="4">
        <f>Oct!I44+Nov!I44+Dec!I43</f>
        <v>2653071.21</v>
      </c>
      <c r="F44" s="4">
        <f>Oct!J44+Nov!J44+Dec!J43</f>
        <v>22047336.13</v>
      </c>
      <c r="G44" s="4">
        <f t="shared" si="9"/>
        <v>-19394264.92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54</v>
      </c>
      <c r="D45" s="6">
        <f>Dec!F45</f>
        <v>951516344</v>
      </c>
      <c r="E45" s="4">
        <f>Oct!I45+Nov!I45+Dec!I45</f>
        <v>4971029</v>
      </c>
      <c r="F45" s="4">
        <f>Oct!J45+Nov!J45+Dec!J45</f>
        <v>19278606</v>
      </c>
      <c r="G45" s="4">
        <f t="shared" si="9"/>
        <v>-14307577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55</v>
      </c>
      <c r="D46" s="6">
        <f>Dec!F46</f>
        <v>280617151</v>
      </c>
      <c r="E46" s="4">
        <f>Oct!I46+Nov!I46+Dec!I46</f>
        <v>5195389</v>
      </c>
      <c r="F46" s="4">
        <f>Oct!J46+Nov!J46+Dec!J46</f>
        <v>3561659</v>
      </c>
      <c r="G46" s="4">
        <f t="shared" si="9"/>
        <v>1633730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56</v>
      </c>
      <c r="D47" s="6">
        <f>Dec!F47</f>
        <v>318515233.3</v>
      </c>
      <c r="E47" s="4">
        <f>Oct!I47+Nov!I47+Dec!I47</f>
        <v>0</v>
      </c>
      <c r="F47" s="4">
        <f>Oct!J47+Nov!J47+Dec!J47</f>
        <v>10211896.75</v>
      </c>
      <c r="G47" s="4">
        <f t="shared" si="9"/>
        <v>-10211896.75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57</v>
      </c>
      <c r="D48" s="6">
        <f>Dec!F48</f>
        <v>502557692</v>
      </c>
      <c r="E48" s="4">
        <f>Oct!I48+Nov!I48+Dec!I48</f>
        <v>601727</v>
      </c>
      <c r="F48" s="4">
        <f>Oct!J48+Nov!J48+Dec!J48</f>
        <v>10984047</v>
      </c>
      <c r="G48" s="4">
        <f t="shared" si="9"/>
        <v>-10382320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58</v>
      </c>
      <c r="D49" s="6">
        <f>Dec!F49</f>
        <v>1970378980</v>
      </c>
      <c r="E49" s="4">
        <f>Oct!I49+Nov!I49+Dec!I49</f>
        <v>5152416</v>
      </c>
      <c r="F49" s="4">
        <f>Oct!J49+Nov!J49+Dec!J49</f>
        <v>38277551</v>
      </c>
      <c r="G49" s="4">
        <f t="shared" si="9"/>
        <v>-33125135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18"/>
      <c r="B50" s="2">
        <f t="shared" si="10"/>
        <v>34</v>
      </c>
      <c r="C50" s="3" t="s">
        <v>59</v>
      </c>
      <c r="D50" s="6">
        <f>Dec!F50</f>
        <v>119495452</v>
      </c>
      <c r="E50" s="4">
        <f>Oct!I50+Nov!I50+Dec!I50</f>
        <v>0</v>
      </c>
      <c r="F50" s="4">
        <f>Oct!J50+Nov!J50+Dec!J50</f>
        <v>671171</v>
      </c>
      <c r="G50" s="4">
        <f t="shared" si="9"/>
        <v>-671171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60</v>
      </c>
      <c r="D51" s="6">
        <f>Dec!F51</f>
        <v>6737564822</v>
      </c>
      <c r="E51" s="4">
        <f>Oct!I51+Nov!I51+Dec!I51</f>
        <v>21500194</v>
      </c>
      <c r="F51" s="4">
        <f>Oct!J51+Nov!J51+Dec!J51</f>
        <v>266098281</v>
      </c>
      <c r="G51" s="4">
        <f t="shared" si="9"/>
        <v>-244598087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61</v>
      </c>
      <c r="D52" s="6">
        <f>Dec!F52</f>
        <v>631693866</v>
      </c>
      <c r="E52" s="4">
        <f>Oct!I52+Nov!I52+Dec!I52</f>
        <v>0</v>
      </c>
      <c r="F52" s="4">
        <f>Oct!J52+Nov!J52+Dec!J52</f>
        <v>422783511</v>
      </c>
      <c r="G52" s="4">
        <f t="shared" si="9"/>
        <v>-422783511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18" t="s">
        <v>40</v>
      </c>
      <c r="B53" s="2"/>
      <c r="C53" s="3"/>
      <c r="D53" s="6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62</v>
      </c>
      <c r="D54" s="6">
        <f>Dec!F54</f>
        <v>78268686</v>
      </c>
      <c r="E54" s="4">
        <f>Oct!I54+Nov!I54+Dec!I54</f>
        <v>1146952</v>
      </c>
      <c r="F54" s="4">
        <f>Oct!J54+Nov!J54+Dec!J54</f>
        <v>786901</v>
      </c>
      <c r="G54" s="4">
        <f t="shared" ref="G54:G56" si="11">E54-F54</f>
        <v>360051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63</v>
      </c>
      <c r="D55" s="6">
        <f>Dec!F55</f>
        <v>55382291</v>
      </c>
      <c r="E55" s="4">
        <f>Oct!I55+Nov!I55+Dec!I55</f>
        <v>535667</v>
      </c>
      <c r="F55" s="4">
        <f>Oct!J55+Nov!J55+Dec!J55</f>
        <v>567111</v>
      </c>
      <c r="G55" s="4">
        <f t="shared" si="11"/>
        <v>-31444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64</v>
      </c>
      <c r="D56" s="6">
        <f>Dec!F56</f>
        <v>46972018</v>
      </c>
      <c r="E56" s="4">
        <f>Oct!I56+Nov!I56+Dec!I56</f>
        <v>154537</v>
      </c>
      <c r="F56" s="4">
        <f>Oct!J56+Nov!J56+Dec!J56</f>
        <v>45685</v>
      </c>
      <c r="G56" s="4">
        <f t="shared" si="11"/>
        <v>108852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4" t="s">
        <v>45</v>
      </c>
      <c r="B57" s="24"/>
      <c r="C57" s="1"/>
      <c r="D57" s="54">
        <f t="shared" ref="D57:G57" si="13">SUM(D43:D56)</f>
        <v>12302027335</v>
      </c>
      <c r="E57" s="54">
        <f t="shared" si="13"/>
        <v>42426069.21</v>
      </c>
      <c r="F57" s="54">
        <f t="shared" si="13"/>
        <v>796106075.6</v>
      </c>
      <c r="G57" s="54">
        <f t="shared" si="13"/>
        <v>-753680006.4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18" t="s">
        <v>46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18"/>
      <c r="B59" s="2">
        <f>1+B56</f>
        <v>40</v>
      </c>
      <c r="C59" s="3" t="s">
        <v>65</v>
      </c>
      <c r="D59" s="6">
        <f>Dec!F59</f>
        <v>71968801.4</v>
      </c>
      <c r="E59" s="4">
        <f>Oct!I59+Nov!I59+Dec!I59</f>
        <v>0</v>
      </c>
      <c r="F59" s="4">
        <f>Oct!J59+Nov!J59+Dec!J59</f>
        <v>540635.94</v>
      </c>
      <c r="G59" s="4">
        <f t="shared" ref="G59:G62" si="14">E59-F59</f>
        <v>-540635.94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18"/>
      <c r="B60" s="2">
        <f t="shared" ref="B60:B62" si="15">1+B59</f>
        <v>41</v>
      </c>
      <c r="C60" s="3" t="s">
        <v>66</v>
      </c>
      <c r="D60" s="6">
        <f>Dec!F60</f>
        <v>309308319</v>
      </c>
      <c r="E60" s="4">
        <f>Oct!I60+Nov!I60+Dec!I60</f>
        <v>27653</v>
      </c>
      <c r="F60" s="4">
        <f>Oct!J60+Nov!J60+Dec!J60</f>
        <v>6514044</v>
      </c>
      <c r="G60" s="4">
        <f t="shared" si="14"/>
        <v>-6486391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67</v>
      </c>
      <c r="D61" s="6">
        <f>Dec!F61</f>
        <v>1488696115</v>
      </c>
      <c r="E61" s="4">
        <f>Oct!I61+Nov!I61+Dec!I61</f>
        <v>2959423</v>
      </c>
      <c r="F61" s="4">
        <f>Oct!J61+Nov!J61+Dec!J61</f>
        <v>106223627</v>
      </c>
      <c r="G61" s="4">
        <f t="shared" si="14"/>
        <v>-103264204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68</v>
      </c>
      <c r="D62" s="6">
        <f>Dec!F62</f>
        <v>252529788</v>
      </c>
      <c r="E62" s="4">
        <f>Oct!I62+Nov!I62+Dec!I62</f>
        <v>301028</v>
      </c>
      <c r="F62" s="4">
        <f>Oct!J62+Nov!J62+Dec!J62</f>
        <v>13532595</v>
      </c>
      <c r="G62" s="4">
        <f t="shared" si="14"/>
        <v>-13231567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4" t="s">
        <v>49</v>
      </c>
      <c r="B63" s="25"/>
      <c r="C63" s="1"/>
      <c r="D63" s="54">
        <f t="shared" ref="D63:G63" si="16">SUM(D59:D62)</f>
        <v>2122503023</v>
      </c>
      <c r="E63" s="54">
        <f t="shared" si="16"/>
        <v>3288104</v>
      </c>
      <c r="F63" s="54">
        <f t="shared" si="16"/>
        <v>126810901.9</v>
      </c>
      <c r="G63" s="54">
        <f t="shared" si="16"/>
        <v>-123522797.9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69</v>
      </c>
      <c r="B64" s="25"/>
      <c r="C64" s="1"/>
      <c r="D64" s="54">
        <f t="shared" ref="D64:G64" si="17">D57+D63</f>
        <v>14424530359</v>
      </c>
      <c r="E64" s="54">
        <f t="shared" si="17"/>
        <v>45714173.21</v>
      </c>
      <c r="F64" s="54">
        <f t="shared" si="17"/>
        <v>922916977.5</v>
      </c>
      <c r="G64" s="54">
        <f t="shared" si="17"/>
        <v>-877202804.3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70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18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71</v>
      </c>
      <c r="D67" s="6">
        <f>Dec!F67</f>
        <v>36623611666</v>
      </c>
      <c r="E67" s="4">
        <f>Oct!I67+Nov!I67+Dec!I67</f>
        <v>482216308</v>
      </c>
      <c r="F67" s="4">
        <f>Oct!J67+Nov!J67+Dec!J67</f>
        <v>1739719714</v>
      </c>
      <c r="G67" s="4">
        <f t="shared" ref="G67:G77" si="18">E67-F67</f>
        <v>-1257503406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72</v>
      </c>
      <c r="D68" s="6">
        <f>Dec!F68</f>
        <v>430977499.8</v>
      </c>
      <c r="E68" s="4">
        <f>Oct!I68+Nov!I68+Dec!I68</f>
        <v>11028461.26</v>
      </c>
      <c r="F68" s="4">
        <f>Oct!J68+Nov!J68+Dec!J68</f>
        <v>31212451.08</v>
      </c>
      <c r="G68" s="4">
        <f t="shared" si="18"/>
        <v>-20183989.82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73</v>
      </c>
      <c r="D69" s="6">
        <f>Dec!F69</f>
        <v>905254099.6</v>
      </c>
      <c r="E69" s="4">
        <f>Oct!I69+Nov!I69+Dec!I69</f>
        <v>183334323.7</v>
      </c>
      <c r="F69" s="4">
        <f>Oct!J69+Nov!J69+Dec!J69</f>
        <v>216628361.6</v>
      </c>
      <c r="G69" s="4">
        <f t="shared" si="18"/>
        <v>-33294037.92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74</v>
      </c>
      <c r="D70" s="6">
        <f>Dec!F70</f>
        <v>197178017</v>
      </c>
      <c r="E70" s="4">
        <f>Oct!I70+Nov!I70+Dec!I70</f>
        <v>0</v>
      </c>
      <c r="F70" s="4">
        <f>Oct!J70+Nov!J70+Dec!J70</f>
        <v>4296603</v>
      </c>
      <c r="G70" s="4">
        <f t="shared" si="18"/>
        <v>-4296603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75</v>
      </c>
      <c r="D71" s="6">
        <f>Dec!F71</f>
        <v>1275671256</v>
      </c>
      <c r="E71" s="4">
        <f>Oct!I71+Nov!I71+Dec!I71</f>
        <v>18053347</v>
      </c>
      <c r="F71" s="4">
        <f>Oct!J71+Nov!J71+Dec!J71</f>
        <v>91176573</v>
      </c>
      <c r="G71" s="4">
        <f t="shared" si="18"/>
        <v>-73123226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76</v>
      </c>
      <c r="D72" s="6">
        <f>Dec!F72</f>
        <v>578656146</v>
      </c>
      <c r="E72" s="4">
        <f>Oct!I72+Nov!I72+Dec!I72</f>
        <v>5687369</v>
      </c>
      <c r="F72" s="4">
        <f>Oct!J72+Nov!J72+Dec!J72</f>
        <v>157174718</v>
      </c>
      <c r="G72" s="4">
        <f t="shared" si="18"/>
        <v>-151487349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77</v>
      </c>
      <c r="D73" s="6">
        <f>Dec!F73</f>
        <v>1597333050</v>
      </c>
      <c r="E73" s="4">
        <f>Oct!I73+Nov!I73+Dec!I73</f>
        <v>4539713</v>
      </c>
      <c r="F73" s="4">
        <f>Oct!J73+Nov!J73+Dec!J73</f>
        <v>101007245</v>
      </c>
      <c r="G73" s="4">
        <f t="shared" si="18"/>
        <v>-96467532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78</v>
      </c>
      <c r="D74" s="6">
        <f>Dec!F74</f>
        <v>326504061</v>
      </c>
      <c r="E74" s="4">
        <f>Oct!I74+Nov!I74+Dec!I74</f>
        <v>2954171.83</v>
      </c>
      <c r="F74" s="4">
        <f>Oct!J74+Nov!J74+Dec!J74</f>
        <v>7051124.41</v>
      </c>
      <c r="G74" s="4">
        <f t="shared" si="18"/>
        <v>-4096952.58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79</v>
      </c>
      <c r="D75" s="6">
        <f>Dec!F75</f>
        <v>1514798822</v>
      </c>
      <c r="E75" s="4">
        <f>Oct!I75+Nov!I75+Dec!I75</f>
        <v>50134460.89</v>
      </c>
      <c r="F75" s="4">
        <f>Oct!J75+Nov!J75+Dec!J75</f>
        <v>857123.48</v>
      </c>
      <c r="G75" s="4">
        <f t="shared" si="18"/>
        <v>49277337.41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80</v>
      </c>
      <c r="D76" s="6">
        <f>Dec!F76</f>
        <v>5943580817</v>
      </c>
      <c r="E76" s="4">
        <f>Oct!I76+Nov!I76+Dec!I76</f>
        <v>532313328</v>
      </c>
      <c r="F76" s="4">
        <f>Oct!J76+Nov!J76+Dec!J76</f>
        <v>255731960</v>
      </c>
      <c r="G76" s="4">
        <f t="shared" si="18"/>
        <v>276581368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81</v>
      </c>
      <c r="D77" s="6">
        <f>Dec!F77</f>
        <v>125409045</v>
      </c>
      <c r="E77" s="4">
        <f>Oct!I77+Nov!I77+Dec!I77</f>
        <v>1240997</v>
      </c>
      <c r="F77" s="4">
        <f>Oct!J77+Nov!J77+Dec!J77</f>
        <v>6112078</v>
      </c>
      <c r="G77" s="4">
        <f t="shared" si="18"/>
        <v>-4871081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18" t="s">
        <v>145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146</v>
      </c>
      <c r="D79" s="6">
        <f>Dec!F79</f>
        <v>706650739.8</v>
      </c>
      <c r="E79" s="4">
        <f>Nov!L79+Dec!I79</f>
        <v>700000000</v>
      </c>
      <c r="F79" s="4">
        <f>Nov!J79+Dec!J79</f>
        <v>0</v>
      </c>
      <c r="G79" s="4">
        <f>E79-F79</f>
        <v>700000000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4" t="s">
        <v>45</v>
      </c>
      <c r="B80" s="1"/>
      <c r="C80" s="1"/>
      <c r="D80" s="54">
        <f t="shared" ref="D80:G80" si="20">SUM(D67:D79)</f>
        <v>50225625219</v>
      </c>
      <c r="E80" s="54">
        <f t="shared" si="20"/>
        <v>1991502480</v>
      </c>
      <c r="F80" s="54">
        <f t="shared" si="20"/>
        <v>2610967952</v>
      </c>
      <c r="G80" s="54">
        <f t="shared" si="20"/>
        <v>-619465471.9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18" t="s">
        <v>46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82</v>
      </c>
      <c r="D82" s="6">
        <f>Dec!F82</f>
        <v>12666388010</v>
      </c>
      <c r="E82" s="4">
        <f>Oct!I80+Nov!I82+Dec!I82</f>
        <v>52490751</v>
      </c>
      <c r="F82" s="4">
        <f>Oct!J80+Nov!J82+Dec!J82</f>
        <v>585543853</v>
      </c>
      <c r="G82" s="4">
        <f t="shared" ref="G82:G88" si="21">E82-F82</f>
        <v>-533053102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83</v>
      </c>
      <c r="D83" s="6">
        <f>Dec!F83</f>
        <v>256763751.2</v>
      </c>
      <c r="E83" s="4">
        <f>Oct!I81+Nov!I83+Dec!I83</f>
        <v>398.64</v>
      </c>
      <c r="F83" s="4">
        <f>Oct!J81+Nov!J83+Dec!J83</f>
        <v>646057.5</v>
      </c>
      <c r="G83" s="4">
        <f t="shared" si="21"/>
        <v>-645658.86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84</v>
      </c>
      <c r="D84" s="6">
        <f>Dec!F84</f>
        <v>435280699</v>
      </c>
      <c r="E84" s="4">
        <f>Oct!I82+Nov!I84+Dec!I84</f>
        <v>1473553</v>
      </c>
      <c r="F84" s="4">
        <f>Oct!J82+Nov!J84+Dec!J84</f>
        <v>22152787</v>
      </c>
      <c r="G84" s="4">
        <f t="shared" si="21"/>
        <v>-20679234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18"/>
      <c r="B85" s="2">
        <f t="shared" si="22"/>
        <v>59</v>
      </c>
      <c r="C85" s="3" t="s">
        <v>85</v>
      </c>
      <c r="D85" s="6">
        <f>Dec!F85</f>
        <v>50166184</v>
      </c>
      <c r="E85" s="4">
        <f>Oct!I83+Nov!I85+Dec!I85</f>
        <v>0</v>
      </c>
      <c r="F85" s="4">
        <f>Oct!J83+Nov!J85+Dec!J85</f>
        <v>0</v>
      </c>
      <c r="G85" s="4">
        <f t="shared" si="21"/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86</v>
      </c>
      <c r="D86" s="6">
        <f>Dec!F86</f>
        <v>1909848181</v>
      </c>
      <c r="E86" s="4">
        <f>Oct!I84+Nov!I86+Dec!I86</f>
        <v>236266</v>
      </c>
      <c r="F86" s="4">
        <f>Oct!J84+Nov!J86+Dec!J86</f>
        <v>62222874</v>
      </c>
      <c r="G86" s="4">
        <f t="shared" si="21"/>
        <v>-61986608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87</v>
      </c>
      <c r="D87" s="6">
        <f>Dec!F87</f>
        <v>229677527</v>
      </c>
      <c r="E87" s="4">
        <f>Oct!I85+Nov!I87+Dec!I87</f>
        <v>310631.5</v>
      </c>
      <c r="F87" s="4">
        <f>Oct!J85+Nov!J87+Dec!J87</f>
        <v>3602282.39</v>
      </c>
      <c r="G87" s="4">
        <f t="shared" si="21"/>
        <v>-3291650.89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88</v>
      </c>
      <c r="D88" s="6">
        <f>Dec!F88</f>
        <v>591136371</v>
      </c>
      <c r="E88" s="4">
        <f>Oct!I86+Nov!I88+Dec!I88</f>
        <v>2330448</v>
      </c>
      <c r="F88" s="4">
        <f>Oct!J86+Nov!J88+Dec!J88</f>
        <v>18528878</v>
      </c>
      <c r="G88" s="4">
        <f t="shared" si="21"/>
        <v>-16198430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4" t="s">
        <v>89</v>
      </c>
      <c r="B89" s="25"/>
      <c r="C89" s="29"/>
      <c r="D89" s="54">
        <f t="shared" ref="D89:G89" si="23">SUM(D82:D88)</f>
        <v>16139260723</v>
      </c>
      <c r="E89" s="54">
        <f t="shared" si="23"/>
        <v>56842048.14</v>
      </c>
      <c r="F89" s="54">
        <f t="shared" si="23"/>
        <v>692696731.9</v>
      </c>
      <c r="G89" s="54">
        <f t="shared" si="23"/>
        <v>-635854683.8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90</v>
      </c>
      <c r="D90" s="6">
        <f>Dec!F90</f>
        <v>941318317</v>
      </c>
      <c r="E90" s="4">
        <f>Oct!I88+Nov!I90+Dec!I90</f>
        <v>4964548</v>
      </c>
      <c r="F90" s="4">
        <f>Oct!J88+Nov!J90+Dec!J90</f>
        <v>21283161</v>
      </c>
      <c r="G90" s="4">
        <f>E90-F90</f>
        <v>-16318613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4" t="s">
        <v>91</v>
      </c>
      <c r="B91" s="29"/>
      <c r="C91" s="1"/>
      <c r="D91" s="54">
        <f t="shared" ref="D91:G91" si="24">SUM(D90)</f>
        <v>941318317</v>
      </c>
      <c r="E91" s="54">
        <f t="shared" si="24"/>
        <v>4964548</v>
      </c>
      <c r="F91" s="54">
        <f t="shared" si="24"/>
        <v>21283161</v>
      </c>
      <c r="G91" s="54">
        <f t="shared" si="24"/>
        <v>-16318613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92</v>
      </c>
      <c r="B92" s="25"/>
      <c r="C92" s="29"/>
      <c r="D92" s="54">
        <f t="shared" ref="D92:G92" si="25">D80+D89+D91</f>
        <v>67306204260</v>
      </c>
      <c r="E92" s="54">
        <f t="shared" si="25"/>
        <v>2053309076</v>
      </c>
      <c r="F92" s="54">
        <f t="shared" si="25"/>
        <v>3324947845</v>
      </c>
      <c r="G92" s="54">
        <f t="shared" si="25"/>
        <v>-1271638769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93</v>
      </c>
      <c r="B93" s="2"/>
      <c r="C93" s="30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8" t="s">
        <v>20</v>
      </c>
      <c r="B94" s="2"/>
      <c r="C94" s="30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/>
      <c r="B95" s="2">
        <f>1+B90</f>
        <v>64</v>
      </c>
      <c r="C95" s="3" t="s">
        <v>94</v>
      </c>
      <c r="D95" s="6">
        <f>Dec!F95</f>
        <v>26940336833</v>
      </c>
      <c r="E95" s="4">
        <f>Oct!I93+Nov!I95+Dec!I95</f>
        <v>1019911</v>
      </c>
      <c r="F95" s="4">
        <f>Oct!J93+Nov!J95+Dec!J95</f>
        <v>2308266296</v>
      </c>
      <c r="G95" s="4">
        <f t="shared" ref="G95:G97" si="26">E95-F95</f>
        <v>-2307246385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8"/>
      <c r="B96" s="2">
        <f t="shared" ref="B96:B97" si="27">1+B95</f>
        <v>65</v>
      </c>
      <c r="C96" s="3" t="s">
        <v>95</v>
      </c>
      <c r="D96" s="6">
        <f>Dec!F96</f>
        <v>3239731287</v>
      </c>
      <c r="E96" s="4">
        <f>Oct!I94+Nov!I96+Dec!I96</f>
        <v>1249132302</v>
      </c>
      <c r="F96" s="4">
        <f>Oct!J94+Nov!J96+Dec!J96</f>
        <v>619046649</v>
      </c>
      <c r="G96" s="4">
        <f t="shared" si="26"/>
        <v>630085653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1"/>
      <c r="B97" s="2">
        <f t="shared" si="27"/>
        <v>66</v>
      </c>
      <c r="C97" s="3" t="s">
        <v>96</v>
      </c>
      <c r="D97" s="6">
        <f>Dec!F97</f>
        <v>20751448587</v>
      </c>
      <c r="E97" s="4">
        <f>Oct!I95+Nov!I97+Dec!I97</f>
        <v>1351850034</v>
      </c>
      <c r="F97" s="4">
        <f>Oct!J95+Nov!J97+Dec!J97</f>
        <v>5394357565</v>
      </c>
      <c r="G97" s="4">
        <f t="shared" si="26"/>
        <v>-4042507531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8" t="s">
        <v>40</v>
      </c>
      <c r="B98" s="2"/>
      <c r="C98" s="3"/>
      <c r="D98" s="6"/>
      <c r="E98" s="4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"/>
      <c r="B99" s="2">
        <f>1+B97</f>
        <v>67</v>
      </c>
      <c r="C99" s="3" t="s">
        <v>94</v>
      </c>
      <c r="D99" s="6">
        <f>Dec!F99</f>
        <v>8184214965</v>
      </c>
      <c r="E99" s="4">
        <f>Oct!I97+Nov!I99+Dec!I99</f>
        <v>2779719454</v>
      </c>
      <c r="F99" s="4">
        <f>Oct!J97+Nov!J99+Dec!J99</f>
        <v>2323123078</v>
      </c>
      <c r="G99" s="4">
        <f>E99-F99</f>
        <v>456596376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24" t="s">
        <v>45</v>
      </c>
      <c r="B100" s="2"/>
      <c r="C100" s="3"/>
      <c r="D100" s="54">
        <f t="shared" ref="D100:G100" si="28">SUM(D95:D99)</f>
        <v>59115731672</v>
      </c>
      <c r="E100" s="54">
        <f t="shared" si="28"/>
        <v>5381721701</v>
      </c>
      <c r="F100" s="54">
        <f t="shared" si="28"/>
        <v>10644793588</v>
      </c>
      <c r="G100" s="54">
        <f t="shared" si="28"/>
        <v>-5263071887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18" t="s">
        <v>46</v>
      </c>
      <c r="B101" s="2"/>
      <c r="C101" s="3"/>
      <c r="D101" s="6"/>
      <c r="E101" s="4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"/>
      <c r="B102" s="2">
        <f>1+B99</f>
        <v>68</v>
      </c>
      <c r="C102" s="3" t="s">
        <v>97</v>
      </c>
      <c r="D102" s="6">
        <f>Dec!F102</f>
        <v>2352352820</v>
      </c>
      <c r="E102" s="4">
        <f>Oct!I100+Nov!I102+Dec!I102</f>
        <v>131521847</v>
      </c>
      <c r="F102" s="4">
        <f>Oct!J100+Nov!J102+Dec!J102</f>
        <v>510787473</v>
      </c>
      <c r="G102" s="4">
        <f>E102-F102</f>
        <v>-379265626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24" t="s">
        <v>89</v>
      </c>
      <c r="B103" s="2"/>
      <c r="C103" s="3"/>
      <c r="D103" s="54">
        <f t="shared" ref="D103:G103" si="29">SUM(D102)</f>
        <v>2352352820</v>
      </c>
      <c r="E103" s="54">
        <f t="shared" si="29"/>
        <v>131521847</v>
      </c>
      <c r="F103" s="54">
        <f t="shared" si="29"/>
        <v>510787473</v>
      </c>
      <c r="G103" s="54">
        <f t="shared" si="29"/>
        <v>-379265626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1" t="s">
        <v>98</v>
      </c>
      <c r="B104" s="2"/>
      <c r="C104" s="3"/>
      <c r="D104" s="54">
        <f t="shared" ref="D104:G104" si="30">D100+D103</f>
        <v>61468084492</v>
      </c>
      <c r="E104" s="54">
        <f t="shared" si="30"/>
        <v>5513243548</v>
      </c>
      <c r="F104" s="54">
        <f t="shared" si="30"/>
        <v>11155581061</v>
      </c>
      <c r="G104" s="54">
        <f t="shared" si="30"/>
        <v>-5642337513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99</v>
      </c>
      <c r="B105" s="2"/>
      <c r="C105" s="3"/>
      <c r="D105" s="6"/>
      <c r="E105" s="4"/>
      <c r="F105" s="4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8" t="s">
        <v>100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8"/>
      <c r="B107" s="2">
        <f>1+B102</f>
        <v>69</v>
      </c>
      <c r="C107" s="3" t="s">
        <v>101</v>
      </c>
      <c r="D107" s="6">
        <f>Dec!F107</f>
        <v>8961771473</v>
      </c>
      <c r="E107" s="4">
        <f>Oct!I105+Nov!I107+Dec!I107</f>
        <v>119453764</v>
      </c>
      <c r="F107" s="4">
        <f>Oct!J105+Nov!J107+Dec!J107</f>
        <v>366429625</v>
      </c>
      <c r="G107" s="4">
        <f t="shared" ref="G107:G109" si="31">E107-F107</f>
        <v>-246975861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"/>
      <c r="B108" s="2">
        <f t="shared" ref="B108:B109" si="32">1+B107</f>
        <v>70</v>
      </c>
      <c r="C108" s="3" t="s">
        <v>102</v>
      </c>
      <c r="D108" s="6">
        <f>Dec!F108</f>
        <v>3270164100</v>
      </c>
      <c r="E108" s="4">
        <f>Oct!I106+Nov!I108+Dec!I108</f>
        <v>168210230</v>
      </c>
      <c r="F108" s="4">
        <f>Oct!J106+Nov!J108+Dec!J108</f>
        <v>230646765</v>
      </c>
      <c r="G108" s="4">
        <f t="shared" si="31"/>
        <v>-62436535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si="32"/>
        <v>71</v>
      </c>
      <c r="C109" s="3" t="s">
        <v>129</v>
      </c>
      <c r="D109" s="6">
        <f>Dec!F109</f>
        <v>493951315</v>
      </c>
      <c r="E109" s="4">
        <f>Oct!I107+Nov!I109+Dec!I109</f>
        <v>280105957</v>
      </c>
      <c r="F109" s="4">
        <f>Oct!J107+Nov!J109+Dec!J109</f>
        <v>1216529</v>
      </c>
      <c r="G109" s="4">
        <f t="shared" si="31"/>
        <v>278889428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24" t="s">
        <v>45</v>
      </c>
      <c r="B110" s="2"/>
      <c r="C110" s="3"/>
      <c r="D110" s="54">
        <f t="shared" ref="D110:G110" si="33">SUM(D107:D109)</f>
        <v>12725886888</v>
      </c>
      <c r="E110" s="54">
        <f t="shared" si="33"/>
        <v>567769951</v>
      </c>
      <c r="F110" s="54">
        <f t="shared" si="33"/>
        <v>598292919</v>
      </c>
      <c r="G110" s="54">
        <f t="shared" si="33"/>
        <v>-30522968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18" t="s">
        <v>103</v>
      </c>
      <c r="B111" s="2"/>
      <c r="C111" s="3"/>
      <c r="D111" s="6"/>
      <c r="E111" s="4"/>
      <c r="F111" s="4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1"/>
      <c r="B112" s="2">
        <f>1+B109</f>
        <v>72</v>
      </c>
      <c r="C112" s="3" t="s">
        <v>104</v>
      </c>
      <c r="D112" s="6">
        <f>Dec!F112</f>
        <v>9754774343</v>
      </c>
      <c r="E112" s="4">
        <f>Oct!I110+Nov!I112+Dec!I112</f>
        <v>97270366</v>
      </c>
      <c r="F112" s="4">
        <f>Oct!J110+Nov!J112+Dec!J112</f>
        <v>409152256</v>
      </c>
      <c r="G112" s="4">
        <f>E112-F112</f>
        <v>-311881890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24" t="s">
        <v>89</v>
      </c>
      <c r="B113" s="25"/>
      <c r="C113" s="1"/>
      <c r="D113" s="54">
        <f t="shared" ref="D113:G113" si="34">SUM(D112)</f>
        <v>9754774343</v>
      </c>
      <c r="E113" s="54">
        <f t="shared" si="34"/>
        <v>97270366</v>
      </c>
      <c r="F113" s="54">
        <f t="shared" si="34"/>
        <v>409152256</v>
      </c>
      <c r="G113" s="54">
        <f t="shared" si="34"/>
        <v>-311881890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1" t="s">
        <v>105</v>
      </c>
      <c r="B114" s="31"/>
      <c r="C114" s="29"/>
      <c r="D114" s="54">
        <f t="shared" ref="D114:G114" si="35">D110+D113</f>
        <v>22480661231</v>
      </c>
      <c r="E114" s="54">
        <f t="shared" si="35"/>
        <v>665040317</v>
      </c>
      <c r="F114" s="54">
        <f t="shared" si="35"/>
        <v>1007445175</v>
      </c>
      <c r="G114" s="54">
        <f t="shared" si="35"/>
        <v>-342404858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2" t="s">
        <v>106</v>
      </c>
      <c r="B115" s="33"/>
      <c r="C115" s="34"/>
      <c r="D115" s="55">
        <f t="shared" ref="D115:G115" si="36">D40+D64+D92+D104+D114</f>
        <v>232950002243</v>
      </c>
      <c r="E115" s="55">
        <f t="shared" si="36"/>
        <v>9355291527</v>
      </c>
      <c r="F115" s="55">
        <f t="shared" si="36"/>
        <v>18303696163</v>
      </c>
      <c r="G115" s="55">
        <f t="shared" si="36"/>
        <v>-8948404636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0" customHeight="1">
      <c r="A116" s="3"/>
      <c r="B116" s="2"/>
      <c r="C116" s="37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0"/>
      <c r="B117" s="37"/>
      <c r="C117" s="37"/>
      <c r="D117" s="64">
        <f>D115-Dec!F115</f>
        <v>0</v>
      </c>
      <c r="E117" s="64">
        <f>E115-Oct!I113-Nov!I115-Dec!I115-700000000</f>
        <v>-0.0000009536743164</v>
      </c>
      <c r="F117" s="64">
        <f>F115-Oct!J113-Nov!J115-Dec!J115</f>
        <v>0</v>
      </c>
      <c r="G117" s="64">
        <f>G115-Oct!K113-Nov!K115-Dec!K115-700000000</f>
        <v>0.0000009536743164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59" t="s">
        <v>111</v>
      </c>
      <c r="B118" s="37"/>
      <c r="C118" s="37"/>
      <c r="D118" s="64"/>
      <c r="E118" s="64"/>
      <c r="F118" s="64"/>
      <c r="G118" s="6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0" t="s">
        <v>130</v>
      </c>
      <c r="B119" s="37"/>
      <c r="C119" s="37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0" t="s">
        <v>147</v>
      </c>
      <c r="B120" s="37"/>
      <c r="C120" s="37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0" t="s">
        <v>136</v>
      </c>
      <c r="B121" s="37"/>
      <c r="C121" s="37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0" t="s">
        <v>148</v>
      </c>
      <c r="B122" s="37"/>
      <c r="C122" s="37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7"/>
      <c r="B123" s="37"/>
      <c r="C123" s="37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7"/>
      <c r="B124" s="37"/>
      <c r="C124" s="37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7"/>
      <c r="B125" s="37"/>
      <c r="C125" s="37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7"/>
      <c r="B126" s="37"/>
      <c r="C126" s="37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7"/>
      <c r="B127" s="37"/>
      <c r="C127" s="37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7"/>
      <c r="B128" s="37"/>
      <c r="C128" s="37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7"/>
      <c r="B129" s="37"/>
      <c r="C129" s="37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7"/>
      <c r="B130" s="37"/>
      <c r="C130" s="37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7"/>
      <c r="B131" s="37"/>
      <c r="C131" s="37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7"/>
      <c r="B132" s="37"/>
      <c r="C132" s="37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7"/>
      <c r="B133" s="37"/>
      <c r="C133" s="37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7"/>
      <c r="B134" s="37"/>
      <c r="C134" s="37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7"/>
      <c r="B135" s="37"/>
      <c r="C135" s="37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7"/>
      <c r="B136" s="37"/>
      <c r="C136" s="37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7"/>
      <c r="B137" s="37"/>
      <c r="C137" s="37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7"/>
      <c r="B138" s="37"/>
      <c r="C138" s="37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7"/>
      <c r="B139" s="37"/>
      <c r="C139" s="37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7"/>
      <c r="B140" s="37"/>
      <c r="C140" s="37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7"/>
      <c r="B141" s="37"/>
      <c r="C141" s="37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7"/>
      <c r="B142" s="37"/>
      <c r="C142" s="37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7"/>
      <c r="B143" s="37"/>
      <c r="C143" s="37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7"/>
      <c r="B144" s="37"/>
      <c r="C144" s="37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7"/>
      <c r="B145" s="37"/>
      <c r="C145" s="37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7"/>
      <c r="B146" s="37"/>
      <c r="C146" s="37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7"/>
      <c r="B147" s="37"/>
      <c r="C147" s="37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7"/>
      <c r="B148" s="37"/>
      <c r="C148" s="37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7"/>
      <c r="B149" s="37"/>
      <c r="C149" s="37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7"/>
      <c r="B150" s="37"/>
      <c r="C150" s="37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7"/>
      <c r="B151" s="37"/>
      <c r="C151" s="37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7"/>
      <c r="B152" s="37"/>
      <c r="C152" s="37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7"/>
      <c r="B153" s="37"/>
      <c r="C153" s="37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7"/>
      <c r="B154" s="37"/>
      <c r="C154" s="37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7"/>
      <c r="B155" s="37"/>
      <c r="C155" s="37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7"/>
      <c r="B156" s="37"/>
      <c r="C156" s="37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7"/>
      <c r="B157" s="37"/>
      <c r="C157" s="37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7"/>
      <c r="B158" s="37"/>
      <c r="C158" s="37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7"/>
      <c r="B159" s="37"/>
      <c r="C159" s="37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7"/>
      <c r="B160" s="37"/>
      <c r="C160" s="37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7"/>
      <c r="B161" s="37"/>
      <c r="C161" s="37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7"/>
      <c r="B162" s="37"/>
      <c r="C162" s="37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7"/>
      <c r="B163" s="37"/>
      <c r="C163" s="37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7"/>
      <c r="B164" s="37"/>
      <c r="C164" s="37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7"/>
      <c r="B165" s="37"/>
      <c r="C165" s="37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7"/>
      <c r="B166" s="37"/>
      <c r="C166" s="37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7"/>
      <c r="B167" s="37"/>
      <c r="C167" s="37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7"/>
      <c r="B168" s="37"/>
      <c r="C168" s="37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7"/>
      <c r="B169" s="37"/>
      <c r="C169" s="37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7"/>
      <c r="B170" s="37"/>
      <c r="C170" s="37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7"/>
      <c r="B171" s="37"/>
      <c r="C171" s="37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7"/>
      <c r="B172" s="37"/>
      <c r="C172" s="37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7"/>
      <c r="B173" s="37"/>
      <c r="C173" s="37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7"/>
      <c r="B174" s="37"/>
      <c r="C174" s="37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7"/>
      <c r="B175" s="37"/>
      <c r="C175" s="37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7"/>
      <c r="B176" s="37"/>
      <c r="C176" s="37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7"/>
      <c r="B177" s="37"/>
      <c r="C177" s="37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7"/>
      <c r="B178" s="37"/>
      <c r="C178" s="37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7"/>
      <c r="B179" s="37"/>
      <c r="C179" s="37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7"/>
      <c r="B180" s="37"/>
      <c r="C180" s="37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7"/>
      <c r="B181" s="37"/>
      <c r="C181" s="37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7"/>
      <c r="B182" s="37"/>
      <c r="C182" s="37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7"/>
      <c r="B183" s="37"/>
      <c r="C183" s="37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7"/>
      <c r="B184" s="37"/>
      <c r="C184" s="37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7"/>
      <c r="B185" s="37"/>
      <c r="C185" s="37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7"/>
      <c r="B186" s="37"/>
      <c r="C186" s="37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7"/>
      <c r="B187" s="37"/>
      <c r="C187" s="37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7"/>
      <c r="B188" s="37"/>
      <c r="C188" s="37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7"/>
      <c r="B189" s="37"/>
      <c r="C189" s="37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7"/>
      <c r="B190" s="37"/>
      <c r="C190" s="37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7"/>
      <c r="B191" s="37"/>
      <c r="C191" s="37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7"/>
      <c r="B192" s="37"/>
      <c r="C192" s="37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7"/>
      <c r="B193" s="37"/>
      <c r="C193" s="37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7"/>
      <c r="B194" s="37"/>
      <c r="C194" s="37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7"/>
      <c r="B195" s="37"/>
      <c r="C195" s="37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7"/>
      <c r="B196" s="37"/>
      <c r="C196" s="37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7"/>
      <c r="B197" s="37"/>
      <c r="C197" s="37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7"/>
      <c r="B198" s="37"/>
      <c r="C198" s="37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7"/>
      <c r="B199" s="37"/>
      <c r="C199" s="37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7"/>
      <c r="B200" s="37"/>
      <c r="C200" s="37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7"/>
      <c r="B201" s="37"/>
      <c r="C201" s="37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7"/>
      <c r="B202" s="37"/>
      <c r="C202" s="37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7"/>
      <c r="B203" s="37"/>
      <c r="C203" s="37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7"/>
      <c r="B204" s="37"/>
      <c r="C204" s="37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7"/>
      <c r="B205" s="37"/>
      <c r="C205" s="37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7"/>
      <c r="B206" s="37"/>
      <c r="C206" s="37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7"/>
      <c r="B207" s="37"/>
      <c r="C207" s="37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7"/>
      <c r="B208" s="37"/>
      <c r="C208" s="37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7"/>
      <c r="B209" s="37"/>
      <c r="C209" s="37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7"/>
      <c r="B210" s="37"/>
      <c r="C210" s="37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7"/>
      <c r="B211" s="37"/>
      <c r="C211" s="37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7"/>
      <c r="B212" s="37"/>
      <c r="C212" s="37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7"/>
      <c r="B213" s="37"/>
      <c r="C213" s="37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7"/>
      <c r="B214" s="37"/>
      <c r="C214" s="37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7"/>
      <c r="B215" s="37"/>
      <c r="C215" s="37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7"/>
      <c r="B216" s="37"/>
      <c r="C216" s="37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7"/>
      <c r="B217" s="37"/>
      <c r="C217" s="37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7"/>
      <c r="B218" s="37"/>
      <c r="C218" s="37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7"/>
      <c r="B219" s="37"/>
      <c r="C219" s="37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7"/>
      <c r="B220" s="37"/>
      <c r="C220" s="37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7"/>
      <c r="B221" s="37"/>
      <c r="C221" s="37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7"/>
      <c r="B222" s="37"/>
      <c r="C222" s="37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7"/>
      <c r="B223" s="37"/>
      <c r="C223" s="37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7"/>
      <c r="B224" s="37"/>
      <c r="C224" s="37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7"/>
      <c r="B225" s="37"/>
      <c r="C225" s="37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7"/>
      <c r="B226" s="37"/>
      <c r="C226" s="37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7"/>
      <c r="B227" s="37"/>
      <c r="C227" s="37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7"/>
      <c r="B228" s="37"/>
      <c r="C228" s="37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7"/>
      <c r="B229" s="37"/>
      <c r="C229" s="37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7"/>
      <c r="B230" s="37"/>
      <c r="C230" s="37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7"/>
      <c r="B231" s="37"/>
      <c r="C231" s="37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7"/>
      <c r="B232" s="37"/>
      <c r="C232" s="37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7"/>
      <c r="B233" s="37"/>
      <c r="C233" s="37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7"/>
      <c r="B234" s="37"/>
      <c r="C234" s="37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7"/>
      <c r="B235" s="37"/>
      <c r="C235" s="37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7"/>
      <c r="B236" s="37"/>
      <c r="C236" s="37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7"/>
      <c r="B237" s="37"/>
      <c r="C237" s="37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7"/>
      <c r="B238" s="37"/>
      <c r="C238" s="37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7"/>
      <c r="B239" s="37"/>
      <c r="C239" s="37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7"/>
      <c r="B240" s="37"/>
      <c r="C240" s="37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7"/>
      <c r="B241" s="37"/>
      <c r="C241" s="37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7"/>
      <c r="B242" s="37"/>
      <c r="C242" s="37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7"/>
      <c r="B243" s="37"/>
      <c r="C243" s="37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7"/>
      <c r="B244" s="37"/>
      <c r="C244" s="37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7"/>
      <c r="B245" s="37"/>
      <c r="C245" s="37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7"/>
      <c r="B246" s="37"/>
      <c r="C246" s="37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7"/>
      <c r="B247" s="37"/>
      <c r="C247" s="37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7"/>
      <c r="B248" s="37"/>
      <c r="C248" s="37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7"/>
      <c r="B249" s="37"/>
      <c r="C249" s="37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7"/>
      <c r="B250" s="37"/>
      <c r="C250" s="37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7"/>
      <c r="B251" s="37"/>
      <c r="C251" s="37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7"/>
      <c r="B252" s="37"/>
      <c r="C252" s="37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7"/>
      <c r="B253" s="37"/>
      <c r="C253" s="37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7"/>
      <c r="B254" s="37"/>
      <c r="C254" s="37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7"/>
      <c r="B255" s="37"/>
      <c r="C255" s="37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7"/>
      <c r="B256" s="37"/>
      <c r="C256" s="37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7"/>
      <c r="B257" s="37"/>
      <c r="C257" s="37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7"/>
      <c r="B258" s="37"/>
      <c r="C258" s="37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7"/>
      <c r="B259" s="37"/>
      <c r="C259" s="37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7"/>
      <c r="B260" s="37"/>
      <c r="C260" s="37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7"/>
      <c r="B261" s="37"/>
      <c r="C261" s="37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7"/>
      <c r="B262" s="37"/>
      <c r="C262" s="37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7"/>
      <c r="B263" s="37"/>
      <c r="C263" s="37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7"/>
      <c r="B264" s="37"/>
      <c r="C264" s="37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7"/>
      <c r="B265" s="37"/>
      <c r="C265" s="37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7"/>
      <c r="B266" s="37"/>
      <c r="C266" s="37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7"/>
      <c r="B267" s="37"/>
      <c r="C267" s="37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7"/>
      <c r="B268" s="37"/>
      <c r="C268" s="37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7"/>
      <c r="B269" s="37"/>
      <c r="C269" s="37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7"/>
      <c r="B270" s="37"/>
      <c r="C270" s="37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7"/>
      <c r="B271" s="37"/>
      <c r="C271" s="37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7"/>
      <c r="B272" s="37"/>
      <c r="C272" s="37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7"/>
      <c r="B273" s="37"/>
      <c r="C273" s="37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7"/>
      <c r="B274" s="37"/>
      <c r="C274" s="37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7"/>
      <c r="B275" s="37"/>
      <c r="C275" s="37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7"/>
      <c r="B276" s="37"/>
      <c r="C276" s="37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7"/>
      <c r="B277" s="37"/>
      <c r="C277" s="37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7"/>
      <c r="B278" s="37"/>
      <c r="C278" s="37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7"/>
      <c r="B279" s="37"/>
      <c r="C279" s="37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7"/>
      <c r="B280" s="37"/>
      <c r="C280" s="37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7"/>
      <c r="B281" s="37"/>
      <c r="C281" s="37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7"/>
      <c r="B282" s="37"/>
      <c r="C282" s="37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7"/>
      <c r="B283" s="37"/>
      <c r="C283" s="37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7"/>
      <c r="B284" s="37"/>
      <c r="C284" s="37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7"/>
      <c r="B285" s="37"/>
      <c r="C285" s="37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7"/>
      <c r="B286" s="37"/>
      <c r="C286" s="37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7"/>
      <c r="B287" s="37"/>
      <c r="C287" s="37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7"/>
      <c r="B288" s="37"/>
      <c r="C288" s="37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7"/>
      <c r="B289" s="37"/>
      <c r="C289" s="37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7"/>
      <c r="B290" s="37"/>
      <c r="C290" s="37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7"/>
      <c r="B291" s="37"/>
      <c r="C291" s="37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7"/>
      <c r="B292" s="37"/>
      <c r="C292" s="37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7"/>
      <c r="B293" s="37"/>
      <c r="C293" s="37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7"/>
      <c r="B294" s="37"/>
      <c r="C294" s="37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7"/>
      <c r="B295" s="37"/>
      <c r="C295" s="37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7"/>
      <c r="B296" s="37"/>
      <c r="C296" s="37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7"/>
      <c r="B297" s="37"/>
      <c r="C297" s="37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7"/>
      <c r="B298" s="37"/>
      <c r="C298" s="37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7"/>
      <c r="B299" s="37"/>
      <c r="C299" s="37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7"/>
      <c r="B300" s="37"/>
      <c r="C300" s="37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7"/>
      <c r="B301" s="37"/>
      <c r="C301" s="37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7"/>
      <c r="B302" s="37"/>
      <c r="C302" s="37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7"/>
      <c r="B303" s="37"/>
      <c r="C303" s="37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7"/>
      <c r="B304" s="37"/>
      <c r="C304" s="37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7"/>
      <c r="B305" s="37"/>
      <c r="C305" s="37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7"/>
      <c r="B306" s="37"/>
      <c r="C306" s="37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7"/>
      <c r="B307" s="37"/>
      <c r="C307" s="37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7"/>
      <c r="B308" s="37"/>
      <c r="C308" s="37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7"/>
      <c r="B309" s="37"/>
      <c r="C309" s="37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7"/>
      <c r="B310" s="37"/>
      <c r="C310" s="37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7"/>
      <c r="B311" s="37"/>
      <c r="C311" s="37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7"/>
      <c r="B312" s="37"/>
      <c r="C312" s="37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7"/>
      <c r="B313" s="37"/>
      <c r="C313" s="37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7"/>
      <c r="B314" s="37"/>
      <c r="C314" s="37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7"/>
      <c r="B315" s="37"/>
      <c r="C315" s="37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7"/>
      <c r="B316" s="37"/>
      <c r="C316" s="37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7"/>
      <c r="B317" s="37"/>
      <c r="C317" s="37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7"/>
      <c r="B318" s="37"/>
      <c r="C318" s="37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7"/>
      <c r="B319" s="37"/>
      <c r="C319" s="37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7"/>
      <c r="B320" s="37"/>
      <c r="C320" s="37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7"/>
      <c r="B321" s="37"/>
      <c r="C321" s="37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7"/>
      <c r="B322" s="37"/>
      <c r="C322" s="37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7"/>
      <c r="B323" s="37"/>
      <c r="C323" s="37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7"/>
      <c r="B324" s="37"/>
      <c r="C324" s="37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7"/>
      <c r="B325" s="37"/>
      <c r="C325" s="37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7"/>
      <c r="B326" s="37"/>
      <c r="C326" s="37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7"/>
      <c r="B327" s="37"/>
      <c r="C327" s="37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7"/>
      <c r="B328" s="37"/>
      <c r="C328" s="37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7"/>
      <c r="B329" s="37"/>
      <c r="C329" s="37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7"/>
      <c r="B330" s="37"/>
      <c r="C330" s="37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7"/>
      <c r="B331" s="37"/>
      <c r="C331" s="37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7"/>
      <c r="B332" s="37"/>
      <c r="C332" s="37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7"/>
      <c r="B333" s="37"/>
      <c r="C333" s="37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7"/>
      <c r="B334" s="37"/>
      <c r="C334" s="37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7"/>
      <c r="B335" s="37"/>
      <c r="C335" s="37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7"/>
      <c r="B336" s="37"/>
      <c r="C336" s="37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7"/>
      <c r="B337" s="37"/>
      <c r="C337" s="37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7"/>
      <c r="B338" s="37"/>
      <c r="C338" s="37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7"/>
      <c r="B339" s="37"/>
      <c r="C339" s="37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7"/>
      <c r="B340" s="37"/>
      <c r="C340" s="37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7"/>
      <c r="B341" s="37"/>
      <c r="C341" s="37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7"/>
      <c r="B342" s="37"/>
      <c r="C342" s="37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7"/>
      <c r="B343" s="37"/>
      <c r="C343" s="37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7"/>
      <c r="B344" s="37"/>
      <c r="C344" s="37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7"/>
      <c r="B345" s="37"/>
      <c r="C345" s="37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7"/>
      <c r="B346" s="37"/>
      <c r="C346" s="37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7"/>
      <c r="B347" s="37"/>
      <c r="C347" s="37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7"/>
      <c r="B348" s="37"/>
      <c r="C348" s="37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7"/>
      <c r="B349" s="37"/>
      <c r="C349" s="37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7"/>
      <c r="B350" s="37"/>
      <c r="C350" s="37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7"/>
      <c r="B351" s="37"/>
      <c r="C351" s="37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7"/>
      <c r="B352" s="37"/>
      <c r="C352" s="37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7"/>
      <c r="B353" s="37"/>
      <c r="C353" s="37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7"/>
      <c r="B354" s="37"/>
      <c r="C354" s="37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7"/>
      <c r="B355" s="37"/>
      <c r="C355" s="37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7"/>
      <c r="B356" s="37"/>
      <c r="C356" s="37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7"/>
      <c r="B357" s="37"/>
      <c r="C357" s="37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7"/>
      <c r="B358" s="37"/>
      <c r="C358" s="37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7"/>
      <c r="B359" s="37"/>
      <c r="C359" s="37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7"/>
      <c r="B360" s="37"/>
      <c r="C360" s="37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7"/>
      <c r="B361" s="37"/>
      <c r="C361" s="37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7"/>
      <c r="B362" s="37"/>
      <c r="C362" s="37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7"/>
      <c r="B363" s="37"/>
      <c r="C363" s="37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7"/>
      <c r="B364" s="37"/>
      <c r="C364" s="37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7"/>
      <c r="B365" s="37"/>
      <c r="C365" s="37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7"/>
      <c r="B366" s="37"/>
      <c r="C366" s="37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7"/>
      <c r="B367" s="37"/>
      <c r="C367" s="37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7"/>
      <c r="B368" s="37"/>
      <c r="C368" s="37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7"/>
      <c r="B369" s="37"/>
      <c r="C369" s="37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7"/>
      <c r="B370" s="37"/>
      <c r="C370" s="37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7"/>
      <c r="B371" s="37"/>
      <c r="C371" s="37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7"/>
      <c r="B372" s="37"/>
      <c r="C372" s="37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7"/>
      <c r="B373" s="37"/>
      <c r="C373" s="37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7"/>
      <c r="B374" s="37"/>
      <c r="C374" s="37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7"/>
      <c r="B375" s="37"/>
      <c r="C375" s="37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7"/>
      <c r="B376" s="37"/>
      <c r="C376" s="37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7"/>
      <c r="B377" s="37"/>
      <c r="C377" s="37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7"/>
      <c r="B378" s="37"/>
      <c r="C378" s="37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7"/>
      <c r="B379" s="37"/>
      <c r="C379" s="37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7"/>
      <c r="B380" s="37"/>
      <c r="C380" s="37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7"/>
      <c r="B381" s="37"/>
      <c r="C381" s="37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7"/>
      <c r="B382" s="37"/>
      <c r="C382" s="37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7"/>
      <c r="B383" s="37"/>
      <c r="C383" s="37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7"/>
      <c r="B384" s="37"/>
      <c r="C384" s="37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7"/>
      <c r="B385" s="37"/>
      <c r="C385" s="37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7"/>
      <c r="B386" s="37"/>
      <c r="C386" s="37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7"/>
      <c r="B387" s="37"/>
      <c r="C387" s="37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7"/>
      <c r="B388" s="37"/>
      <c r="C388" s="37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7"/>
      <c r="B389" s="37"/>
      <c r="C389" s="37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7"/>
      <c r="B390" s="37"/>
      <c r="C390" s="37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7"/>
      <c r="B391" s="37"/>
      <c r="C391" s="37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7"/>
      <c r="B392" s="37"/>
      <c r="C392" s="37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7"/>
      <c r="B393" s="37"/>
      <c r="C393" s="37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7"/>
      <c r="B394" s="37"/>
      <c r="C394" s="37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7"/>
      <c r="B395" s="37"/>
      <c r="C395" s="37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7"/>
      <c r="B396" s="37"/>
      <c r="C396" s="37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7"/>
      <c r="B397" s="37"/>
      <c r="C397" s="37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7"/>
      <c r="B398" s="37"/>
      <c r="C398" s="37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7"/>
      <c r="B399" s="37"/>
      <c r="C399" s="37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7"/>
      <c r="B400" s="37"/>
      <c r="C400" s="37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7"/>
      <c r="B401" s="37"/>
      <c r="C401" s="37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7"/>
      <c r="B402" s="37"/>
      <c r="C402" s="37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7"/>
      <c r="B403" s="37"/>
      <c r="C403" s="37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7"/>
      <c r="B404" s="37"/>
      <c r="C404" s="37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7"/>
      <c r="B405" s="37"/>
      <c r="C405" s="37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7"/>
      <c r="B406" s="37"/>
      <c r="C406" s="37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7"/>
      <c r="B407" s="37"/>
      <c r="C407" s="37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7"/>
      <c r="B408" s="37"/>
      <c r="C408" s="37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7"/>
      <c r="B409" s="37"/>
      <c r="C409" s="37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7"/>
      <c r="B410" s="37"/>
      <c r="C410" s="37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7"/>
      <c r="B411" s="37"/>
      <c r="C411" s="37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7"/>
      <c r="B412" s="37"/>
      <c r="C412" s="37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7"/>
      <c r="B413" s="37"/>
      <c r="C413" s="37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7"/>
      <c r="B414" s="37"/>
      <c r="C414" s="37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7"/>
      <c r="B415" s="37"/>
      <c r="C415" s="37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7"/>
      <c r="B416" s="37"/>
      <c r="C416" s="37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7"/>
      <c r="B417" s="37"/>
      <c r="C417" s="37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7"/>
      <c r="B418" s="37"/>
      <c r="C418" s="37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7"/>
      <c r="B419" s="37"/>
      <c r="C419" s="37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7"/>
      <c r="B420" s="37"/>
      <c r="C420" s="37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7"/>
      <c r="B421" s="37"/>
      <c r="C421" s="37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7"/>
      <c r="B422" s="37"/>
      <c r="C422" s="37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7"/>
      <c r="B423" s="37"/>
      <c r="C423" s="37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7"/>
      <c r="B424" s="37"/>
      <c r="C424" s="37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7"/>
      <c r="B425" s="37"/>
      <c r="C425" s="37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7"/>
      <c r="B426" s="37"/>
      <c r="C426" s="37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7"/>
      <c r="B427" s="37"/>
      <c r="C427" s="37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7"/>
      <c r="B428" s="37"/>
      <c r="C428" s="37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7"/>
      <c r="B429" s="37"/>
      <c r="C429" s="37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7"/>
      <c r="B430" s="37"/>
      <c r="C430" s="37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7"/>
      <c r="B431" s="37"/>
      <c r="C431" s="37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7"/>
      <c r="B432" s="37"/>
      <c r="C432" s="37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7"/>
      <c r="B433" s="37"/>
      <c r="C433" s="37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7"/>
      <c r="B434" s="37"/>
      <c r="C434" s="37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7"/>
      <c r="B435" s="37"/>
      <c r="C435" s="37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7"/>
      <c r="B436" s="37"/>
      <c r="C436" s="37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7"/>
      <c r="B437" s="37"/>
      <c r="C437" s="37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7"/>
      <c r="B438" s="37"/>
      <c r="C438" s="37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7"/>
      <c r="B439" s="37"/>
      <c r="C439" s="37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7"/>
      <c r="B440" s="37"/>
      <c r="C440" s="37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7"/>
      <c r="B441" s="37"/>
      <c r="C441" s="37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7"/>
      <c r="B442" s="37"/>
      <c r="C442" s="37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7"/>
      <c r="B443" s="37"/>
      <c r="C443" s="37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7"/>
      <c r="B444" s="37"/>
      <c r="C444" s="37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7"/>
      <c r="B445" s="37"/>
      <c r="C445" s="37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7"/>
      <c r="B446" s="37"/>
      <c r="C446" s="37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7"/>
      <c r="B447" s="37"/>
      <c r="C447" s="37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7"/>
      <c r="B448" s="37"/>
      <c r="C448" s="37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7"/>
      <c r="B449" s="37"/>
      <c r="C449" s="37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7"/>
      <c r="B450" s="37"/>
      <c r="C450" s="37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7"/>
      <c r="B451" s="37"/>
      <c r="C451" s="37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7"/>
      <c r="B452" s="37"/>
      <c r="C452" s="37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7"/>
      <c r="B453" s="37"/>
      <c r="C453" s="37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7"/>
      <c r="B454" s="37"/>
      <c r="C454" s="37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7"/>
      <c r="B455" s="37"/>
      <c r="C455" s="37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7"/>
      <c r="B456" s="37"/>
      <c r="C456" s="37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7"/>
      <c r="B457" s="37"/>
      <c r="C457" s="37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7"/>
      <c r="B458" s="37"/>
      <c r="C458" s="37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7"/>
      <c r="B459" s="37"/>
      <c r="C459" s="37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7"/>
      <c r="B460" s="37"/>
      <c r="C460" s="37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7"/>
      <c r="B461" s="37"/>
      <c r="C461" s="37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7"/>
      <c r="B462" s="37"/>
      <c r="C462" s="37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7"/>
      <c r="B463" s="37"/>
      <c r="C463" s="37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7"/>
      <c r="B464" s="37"/>
      <c r="C464" s="37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7"/>
      <c r="B465" s="37"/>
      <c r="C465" s="37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7"/>
      <c r="B466" s="37"/>
      <c r="C466" s="37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7"/>
      <c r="B467" s="37"/>
      <c r="C467" s="37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7"/>
      <c r="B468" s="37"/>
      <c r="C468" s="37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7"/>
      <c r="B469" s="37"/>
      <c r="C469" s="37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7"/>
      <c r="B470" s="37"/>
      <c r="C470" s="37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7"/>
      <c r="B471" s="37"/>
      <c r="C471" s="37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7"/>
      <c r="B472" s="37"/>
      <c r="C472" s="37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7"/>
      <c r="B473" s="37"/>
      <c r="C473" s="37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7"/>
      <c r="B474" s="37"/>
      <c r="C474" s="37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7"/>
      <c r="B475" s="37"/>
      <c r="C475" s="37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7"/>
      <c r="B476" s="37"/>
      <c r="C476" s="37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7"/>
      <c r="B477" s="37"/>
      <c r="C477" s="37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7"/>
      <c r="B478" s="37"/>
      <c r="C478" s="37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7"/>
      <c r="B479" s="37"/>
      <c r="C479" s="37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7"/>
      <c r="B480" s="37"/>
      <c r="C480" s="37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7"/>
      <c r="B481" s="37"/>
      <c r="C481" s="37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7"/>
      <c r="B482" s="37"/>
      <c r="C482" s="37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7"/>
      <c r="B483" s="37"/>
      <c r="C483" s="37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7"/>
      <c r="B484" s="37"/>
      <c r="C484" s="37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7"/>
      <c r="B485" s="37"/>
      <c r="C485" s="37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7"/>
      <c r="B486" s="37"/>
      <c r="C486" s="37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7"/>
      <c r="B487" s="37"/>
      <c r="C487" s="37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7"/>
      <c r="B488" s="37"/>
      <c r="C488" s="37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7"/>
      <c r="B489" s="37"/>
      <c r="C489" s="37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7"/>
      <c r="B490" s="37"/>
      <c r="C490" s="37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7"/>
      <c r="B491" s="37"/>
      <c r="C491" s="37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7"/>
      <c r="B492" s="37"/>
      <c r="C492" s="37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7"/>
      <c r="B493" s="37"/>
      <c r="C493" s="37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7"/>
      <c r="B494" s="37"/>
      <c r="C494" s="37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7"/>
      <c r="B495" s="37"/>
      <c r="C495" s="37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7"/>
      <c r="B496" s="37"/>
      <c r="C496" s="37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7"/>
      <c r="B497" s="37"/>
      <c r="C497" s="37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7"/>
      <c r="B498" s="37"/>
      <c r="C498" s="37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7"/>
      <c r="B499" s="37"/>
      <c r="C499" s="37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7"/>
      <c r="B500" s="37"/>
      <c r="C500" s="37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7"/>
      <c r="B501" s="37"/>
      <c r="C501" s="37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7"/>
      <c r="B502" s="37"/>
      <c r="C502" s="37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7"/>
      <c r="B503" s="37"/>
      <c r="C503" s="37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7"/>
      <c r="B504" s="37"/>
      <c r="C504" s="37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7"/>
      <c r="B505" s="37"/>
      <c r="C505" s="37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7"/>
      <c r="B506" s="37"/>
      <c r="C506" s="37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7"/>
      <c r="B507" s="37"/>
      <c r="C507" s="37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7"/>
      <c r="B508" s="37"/>
      <c r="C508" s="37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7"/>
      <c r="B509" s="37"/>
      <c r="C509" s="37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7"/>
      <c r="B510" s="37"/>
      <c r="C510" s="37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7"/>
      <c r="B511" s="37"/>
      <c r="C511" s="37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7"/>
      <c r="B512" s="37"/>
      <c r="C512" s="37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7"/>
      <c r="B513" s="37"/>
      <c r="C513" s="37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7"/>
      <c r="B514" s="37"/>
      <c r="C514" s="37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7"/>
      <c r="B515" s="37"/>
      <c r="C515" s="37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7"/>
      <c r="B516" s="37"/>
      <c r="C516" s="37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7"/>
      <c r="B517" s="37"/>
      <c r="C517" s="37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7"/>
      <c r="B518" s="37"/>
      <c r="C518" s="37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7"/>
      <c r="B519" s="37"/>
      <c r="C519" s="37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7"/>
      <c r="B520" s="37"/>
      <c r="C520" s="37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7"/>
      <c r="B521" s="37"/>
      <c r="C521" s="37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7"/>
      <c r="B522" s="37"/>
      <c r="C522" s="37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7"/>
      <c r="B523" s="37"/>
      <c r="C523" s="37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7"/>
      <c r="B524" s="37"/>
      <c r="C524" s="37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7"/>
      <c r="B525" s="37"/>
      <c r="C525" s="37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7"/>
      <c r="B526" s="37"/>
      <c r="C526" s="37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7"/>
      <c r="B527" s="37"/>
      <c r="C527" s="37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7"/>
      <c r="B528" s="37"/>
      <c r="C528" s="37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7"/>
      <c r="B529" s="37"/>
      <c r="C529" s="37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7"/>
      <c r="B530" s="37"/>
      <c r="C530" s="37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7"/>
      <c r="B531" s="37"/>
      <c r="C531" s="37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7"/>
      <c r="B532" s="37"/>
      <c r="C532" s="37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7"/>
      <c r="B533" s="37"/>
      <c r="C533" s="37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7"/>
      <c r="B534" s="37"/>
      <c r="C534" s="37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7"/>
      <c r="B535" s="37"/>
      <c r="C535" s="37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7"/>
      <c r="B536" s="37"/>
      <c r="C536" s="37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7"/>
      <c r="B537" s="37"/>
      <c r="C537" s="37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7"/>
      <c r="B538" s="37"/>
      <c r="C538" s="37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7"/>
      <c r="B539" s="37"/>
      <c r="C539" s="37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7"/>
      <c r="B540" s="37"/>
      <c r="C540" s="37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7"/>
      <c r="B541" s="37"/>
      <c r="C541" s="37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7"/>
      <c r="B542" s="37"/>
      <c r="C542" s="37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7"/>
      <c r="B543" s="37"/>
      <c r="C543" s="37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7"/>
      <c r="B544" s="37"/>
      <c r="C544" s="37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7"/>
      <c r="B545" s="37"/>
      <c r="C545" s="37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7"/>
      <c r="B546" s="37"/>
      <c r="C546" s="37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7"/>
      <c r="B547" s="37"/>
      <c r="C547" s="37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7"/>
      <c r="B548" s="37"/>
      <c r="C548" s="37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7"/>
      <c r="B549" s="37"/>
      <c r="C549" s="37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7"/>
      <c r="B550" s="37"/>
      <c r="C550" s="37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7"/>
      <c r="B551" s="37"/>
      <c r="C551" s="37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7"/>
      <c r="B552" s="37"/>
      <c r="C552" s="37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7"/>
      <c r="B553" s="37"/>
      <c r="C553" s="37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7"/>
      <c r="B554" s="37"/>
      <c r="C554" s="37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7"/>
      <c r="B555" s="37"/>
      <c r="C555" s="37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7"/>
      <c r="B556" s="37"/>
      <c r="C556" s="37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7"/>
      <c r="B557" s="37"/>
      <c r="C557" s="37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7"/>
      <c r="B558" s="37"/>
      <c r="C558" s="37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7"/>
      <c r="B559" s="37"/>
      <c r="C559" s="37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7"/>
      <c r="B560" s="37"/>
      <c r="C560" s="37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7"/>
      <c r="B561" s="37"/>
      <c r="C561" s="37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7"/>
      <c r="B562" s="37"/>
      <c r="C562" s="37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7"/>
      <c r="B563" s="37"/>
      <c r="C563" s="37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7"/>
      <c r="B564" s="37"/>
      <c r="C564" s="37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7"/>
      <c r="B565" s="37"/>
      <c r="C565" s="37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7"/>
      <c r="B566" s="37"/>
      <c r="C566" s="37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7"/>
      <c r="B567" s="37"/>
      <c r="C567" s="37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7"/>
      <c r="B568" s="37"/>
      <c r="C568" s="37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7"/>
      <c r="B569" s="37"/>
      <c r="C569" s="37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7"/>
      <c r="B570" s="37"/>
      <c r="C570" s="37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7"/>
      <c r="B571" s="37"/>
      <c r="C571" s="37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7"/>
      <c r="B572" s="37"/>
      <c r="C572" s="37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7"/>
      <c r="B573" s="37"/>
      <c r="C573" s="37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7"/>
      <c r="B574" s="37"/>
      <c r="C574" s="37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7"/>
      <c r="B575" s="37"/>
      <c r="C575" s="37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7"/>
      <c r="B576" s="37"/>
      <c r="C576" s="37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7"/>
      <c r="B577" s="37"/>
      <c r="C577" s="37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7"/>
      <c r="B578" s="37"/>
      <c r="C578" s="37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7"/>
      <c r="B579" s="37"/>
      <c r="C579" s="37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7"/>
      <c r="B580" s="37"/>
      <c r="C580" s="37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7"/>
      <c r="B581" s="37"/>
      <c r="C581" s="37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7"/>
      <c r="B582" s="37"/>
      <c r="C582" s="37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7"/>
      <c r="B583" s="37"/>
      <c r="C583" s="37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7"/>
      <c r="B584" s="37"/>
      <c r="C584" s="37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7"/>
      <c r="B585" s="37"/>
      <c r="C585" s="37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7"/>
      <c r="B586" s="37"/>
      <c r="C586" s="37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7"/>
      <c r="B587" s="37"/>
      <c r="C587" s="37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7"/>
      <c r="B588" s="37"/>
      <c r="C588" s="37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7"/>
      <c r="B589" s="37"/>
      <c r="C589" s="37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7"/>
      <c r="B590" s="37"/>
      <c r="C590" s="37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7"/>
      <c r="B591" s="37"/>
      <c r="C591" s="37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7"/>
      <c r="B592" s="37"/>
      <c r="C592" s="37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7"/>
      <c r="B593" s="37"/>
      <c r="C593" s="37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7"/>
      <c r="B594" s="37"/>
      <c r="C594" s="37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7"/>
      <c r="B595" s="37"/>
      <c r="C595" s="37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7"/>
      <c r="B596" s="37"/>
      <c r="C596" s="37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7"/>
      <c r="B597" s="37"/>
      <c r="C597" s="37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7"/>
      <c r="B598" s="37"/>
      <c r="C598" s="37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7"/>
      <c r="B599" s="37"/>
      <c r="C599" s="37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7"/>
      <c r="B600" s="37"/>
      <c r="C600" s="37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7"/>
      <c r="B601" s="37"/>
      <c r="C601" s="37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7"/>
      <c r="B602" s="37"/>
      <c r="C602" s="37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7"/>
      <c r="B603" s="37"/>
      <c r="C603" s="37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7"/>
      <c r="B604" s="37"/>
      <c r="C604" s="37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7"/>
      <c r="B605" s="37"/>
      <c r="C605" s="37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7"/>
      <c r="B606" s="37"/>
      <c r="C606" s="37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7"/>
      <c r="B607" s="37"/>
      <c r="C607" s="37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7"/>
      <c r="B608" s="37"/>
      <c r="C608" s="37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7"/>
      <c r="B609" s="37"/>
      <c r="C609" s="37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7"/>
      <c r="B610" s="37"/>
      <c r="C610" s="37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7"/>
      <c r="B611" s="37"/>
      <c r="C611" s="37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7"/>
      <c r="B612" s="37"/>
      <c r="C612" s="37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7"/>
      <c r="B613" s="37"/>
      <c r="C613" s="37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7"/>
      <c r="B614" s="37"/>
      <c r="C614" s="37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7"/>
      <c r="B615" s="37"/>
      <c r="C615" s="37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7"/>
      <c r="B616" s="37"/>
      <c r="C616" s="37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7"/>
      <c r="B617" s="37"/>
      <c r="C617" s="37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7"/>
      <c r="B618" s="37"/>
      <c r="C618" s="37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7"/>
      <c r="B619" s="37"/>
      <c r="C619" s="37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7"/>
      <c r="B620" s="37"/>
      <c r="C620" s="37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7"/>
      <c r="B621" s="37"/>
      <c r="C621" s="37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7"/>
      <c r="B622" s="37"/>
      <c r="C622" s="37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7"/>
      <c r="B623" s="37"/>
      <c r="C623" s="37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7"/>
      <c r="B624" s="37"/>
      <c r="C624" s="37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7"/>
      <c r="B625" s="37"/>
      <c r="C625" s="37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7"/>
      <c r="B626" s="37"/>
      <c r="C626" s="37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7"/>
      <c r="B627" s="37"/>
      <c r="C627" s="37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7"/>
      <c r="B628" s="37"/>
      <c r="C628" s="37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7"/>
      <c r="B629" s="37"/>
      <c r="C629" s="37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7"/>
      <c r="B630" s="37"/>
      <c r="C630" s="37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7"/>
      <c r="B631" s="37"/>
      <c r="C631" s="37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7"/>
      <c r="B632" s="37"/>
      <c r="C632" s="37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7"/>
      <c r="B633" s="37"/>
      <c r="C633" s="37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7"/>
      <c r="B634" s="37"/>
      <c r="C634" s="37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7"/>
      <c r="B635" s="37"/>
      <c r="C635" s="37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7"/>
      <c r="B636" s="37"/>
      <c r="C636" s="37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7"/>
      <c r="B637" s="37"/>
      <c r="C637" s="37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7"/>
      <c r="B638" s="37"/>
      <c r="C638" s="37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7"/>
      <c r="B639" s="37"/>
      <c r="C639" s="37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7"/>
      <c r="B640" s="37"/>
      <c r="C640" s="37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7"/>
      <c r="B641" s="37"/>
      <c r="C641" s="37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7"/>
      <c r="B642" s="37"/>
      <c r="C642" s="37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7"/>
      <c r="B643" s="37"/>
      <c r="C643" s="37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7"/>
      <c r="B644" s="37"/>
      <c r="C644" s="37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7"/>
      <c r="B645" s="37"/>
      <c r="C645" s="37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7"/>
      <c r="B646" s="37"/>
      <c r="C646" s="37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7"/>
      <c r="B647" s="37"/>
      <c r="C647" s="37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7"/>
      <c r="B648" s="37"/>
      <c r="C648" s="37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7"/>
      <c r="B649" s="37"/>
      <c r="C649" s="37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7"/>
      <c r="B650" s="37"/>
      <c r="C650" s="37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7"/>
      <c r="B651" s="37"/>
      <c r="C651" s="37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7"/>
      <c r="B652" s="37"/>
      <c r="C652" s="37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7"/>
      <c r="B653" s="37"/>
      <c r="C653" s="37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7"/>
      <c r="B654" s="37"/>
      <c r="C654" s="37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7"/>
      <c r="B655" s="37"/>
      <c r="C655" s="37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7"/>
      <c r="B656" s="37"/>
      <c r="C656" s="37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7"/>
      <c r="B657" s="37"/>
      <c r="C657" s="37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7"/>
      <c r="B658" s="37"/>
      <c r="C658" s="37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7"/>
      <c r="B659" s="37"/>
      <c r="C659" s="37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7"/>
      <c r="B660" s="37"/>
      <c r="C660" s="37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7"/>
      <c r="B661" s="37"/>
      <c r="C661" s="37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7"/>
      <c r="B662" s="37"/>
      <c r="C662" s="37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7"/>
      <c r="B663" s="37"/>
      <c r="C663" s="37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7"/>
      <c r="B664" s="37"/>
      <c r="C664" s="37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7"/>
      <c r="B665" s="37"/>
      <c r="C665" s="37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7"/>
      <c r="B666" s="37"/>
      <c r="C666" s="37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7"/>
      <c r="B667" s="37"/>
      <c r="C667" s="37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7"/>
      <c r="B668" s="37"/>
      <c r="C668" s="37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7"/>
      <c r="B669" s="37"/>
      <c r="C669" s="37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7"/>
      <c r="B670" s="37"/>
      <c r="C670" s="37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7"/>
      <c r="B671" s="37"/>
      <c r="C671" s="37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7"/>
      <c r="B672" s="37"/>
      <c r="C672" s="37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7"/>
      <c r="B673" s="37"/>
      <c r="C673" s="37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7"/>
      <c r="B674" s="37"/>
      <c r="C674" s="37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7"/>
      <c r="B675" s="37"/>
      <c r="C675" s="37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7"/>
      <c r="B676" s="37"/>
      <c r="C676" s="37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7"/>
      <c r="B677" s="37"/>
      <c r="C677" s="37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7"/>
      <c r="B678" s="37"/>
      <c r="C678" s="37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7"/>
      <c r="B679" s="37"/>
      <c r="C679" s="37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7"/>
      <c r="B680" s="37"/>
      <c r="C680" s="37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7"/>
      <c r="B681" s="37"/>
      <c r="C681" s="37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7"/>
      <c r="B682" s="37"/>
      <c r="C682" s="37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7"/>
      <c r="B683" s="37"/>
      <c r="C683" s="37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7"/>
      <c r="B684" s="37"/>
      <c r="C684" s="37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7"/>
      <c r="B685" s="37"/>
      <c r="C685" s="37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7"/>
      <c r="B686" s="37"/>
      <c r="C686" s="37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7"/>
      <c r="B687" s="37"/>
      <c r="C687" s="37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7"/>
      <c r="B688" s="37"/>
      <c r="C688" s="37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7"/>
      <c r="B689" s="37"/>
      <c r="C689" s="37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7"/>
      <c r="B690" s="37"/>
      <c r="C690" s="37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7"/>
      <c r="B691" s="37"/>
      <c r="C691" s="37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7"/>
      <c r="B692" s="37"/>
      <c r="C692" s="37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7"/>
      <c r="B693" s="37"/>
      <c r="C693" s="37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7"/>
      <c r="B694" s="37"/>
      <c r="C694" s="37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7"/>
      <c r="B695" s="37"/>
      <c r="C695" s="37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7"/>
      <c r="B696" s="37"/>
      <c r="C696" s="37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7"/>
      <c r="B697" s="37"/>
      <c r="C697" s="37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7"/>
      <c r="B698" s="37"/>
      <c r="C698" s="37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7"/>
      <c r="B699" s="37"/>
      <c r="C699" s="37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7"/>
      <c r="B700" s="37"/>
      <c r="C700" s="37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7"/>
      <c r="B701" s="37"/>
      <c r="C701" s="37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7"/>
      <c r="B702" s="37"/>
      <c r="C702" s="37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7"/>
      <c r="B703" s="37"/>
      <c r="C703" s="37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7"/>
      <c r="B704" s="37"/>
      <c r="C704" s="37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7"/>
      <c r="B705" s="37"/>
      <c r="C705" s="37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7"/>
      <c r="B706" s="37"/>
      <c r="C706" s="37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7"/>
      <c r="B707" s="37"/>
      <c r="C707" s="37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7"/>
      <c r="B708" s="37"/>
      <c r="C708" s="37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7"/>
      <c r="B709" s="37"/>
      <c r="C709" s="37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7"/>
      <c r="B710" s="37"/>
      <c r="C710" s="37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7"/>
      <c r="B711" s="37"/>
      <c r="C711" s="37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7"/>
      <c r="B712" s="37"/>
      <c r="C712" s="37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7"/>
      <c r="B713" s="37"/>
      <c r="C713" s="37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7"/>
      <c r="B714" s="37"/>
      <c r="C714" s="37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7"/>
      <c r="B715" s="37"/>
      <c r="C715" s="37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7"/>
      <c r="B716" s="37"/>
      <c r="C716" s="37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7"/>
      <c r="B717" s="37"/>
      <c r="C717" s="37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7"/>
      <c r="B718" s="37"/>
      <c r="C718" s="37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7"/>
      <c r="B719" s="37"/>
      <c r="C719" s="37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7"/>
      <c r="B720" s="37"/>
      <c r="C720" s="37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7"/>
      <c r="B721" s="37"/>
      <c r="C721" s="37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7"/>
      <c r="B722" s="37"/>
      <c r="C722" s="37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7"/>
      <c r="B723" s="37"/>
      <c r="C723" s="37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7"/>
      <c r="B724" s="37"/>
      <c r="C724" s="37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7"/>
      <c r="B725" s="37"/>
      <c r="C725" s="37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7"/>
      <c r="B726" s="37"/>
      <c r="C726" s="37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7"/>
      <c r="B727" s="37"/>
      <c r="C727" s="37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7"/>
      <c r="B728" s="37"/>
      <c r="C728" s="37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7"/>
      <c r="B729" s="37"/>
      <c r="C729" s="37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7"/>
      <c r="B730" s="37"/>
      <c r="C730" s="37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7"/>
      <c r="B731" s="37"/>
      <c r="C731" s="37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7"/>
      <c r="B732" s="37"/>
      <c r="C732" s="37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7"/>
      <c r="B733" s="37"/>
      <c r="C733" s="37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7"/>
      <c r="B734" s="37"/>
      <c r="C734" s="37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7"/>
      <c r="B735" s="37"/>
      <c r="C735" s="37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7"/>
      <c r="B736" s="37"/>
      <c r="C736" s="37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7"/>
      <c r="B737" s="37"/>
      <c r="C737" s="37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7"/>
      <c r="B738" s="37"/>
      <c r="C738" s="37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7"/>
      <c r="B739" s="37"/>
      <c r="C739" s="37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7"/>
      <c r="B740" s="37"/>
      <c r="C740" s="37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7"/>
      <c r="B741" s="37"/>
      <c r="C741" s="37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7"/>
      <c r="B742" s="37"/>
      <c r="C742" s="37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7"/>
      <c r="B743" s="37"/>
      <c r="C743" s="37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7"/>
      <c r="B744" s="37"/>
      <c r="C744" s="37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7"/>
      <c r="B745" s="37"/>
      <c r="C745" s="37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7"/>
      <c r="B746" s="37"/>
      <c r="C746" s="37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7"/>
      <c r="B747" s="37"/>
      <c r="C747" s="37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7"/>
      <c r="B748" s="37"/>
      <c r="C748" s="37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7"/>
      <c r="B749" s="37"/>
      <c r="C749" s="37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7"/>
      <c r="B750" s="37"/>
      <c r="C750" s="37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7"/>
      <c r="B751" s="37"/>
      <c r="C751" s="37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7"/>
      <c r="B752" s="37"/>
      <c r="C752" s="37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7"/>
      <c r="B753" s="37"/>
      <c r="C753" s="37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7"/>
      <c r="B754" s="37"/>
      <c r="C754" s="37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7"/>
      <c r="B755" s="37"/>
      <c r="C755" s="37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7"/>
      <c r="B756" s="37"/>
      <c r="C756" s="37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7"/>
      <c r="B757" s="37"/>
      <c r="C757" s="37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7"/>
      <c r="B758" s="37"/>
      <c r="C758" s="37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7"/>
      <c r="B759" s="37"/>
      <c r="C759" s="37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7"/>
      <c r="B760" s="37"/>
      <c r="C760" s="37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7"/>
      <c r="B761" s="37"/>
      <c r="C761" s="37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7"/>
      <c r="B762" s="37"/>
      <c r="C762" s="37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7"/>
      <c r="B763" s="37"/>
      <c r="C763" s="37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7"/>
      <c r="B764" s="37"/>
      <c r="C764" s="37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7"/>
      <c r="B765" s="37"/>
      <c r="C765" s="37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7"/>
      <c r="B766" s="37"/>
      <c r="C766" s="37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7"/>
      <c r="B767" s="37"/>
      <c r="C767" s="37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7"/>
      <c r="B768" s="37"/>
      <c r="C768" s="37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7"/>
      <c r="B769" s="37"/>
      <c r="C769" s="37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7"/>
      <c r="B770" s="37"/>
      <c r="C770" s="37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7"/>
      <c r="B771" s="37"/>
      <c r="C771" s="37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7"/>
      <c r="B772" s="37"/>
      <c r="C772" s="37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7"/>
      <c r="B773" s="37"/>
      <c r="C773" s="37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7"/>
      <c r="B774" s="37"/>
      <c r="C774" s="37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7"/>
      <c r="B775" s="37"/>
      <c r="C775" s="37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7"/>
      <c r="B776" s="37"/>
      <c r="C776" s="37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7"/>
      <c r="B777" s="37"/>
      <c r="C777" s="37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7"/>
      <c r="B778" s="37"/>
      <c r="C778" s="37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7"/>
      <c r="B779" s="37"/>
      <c r="C779" s="37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7"/>
      <c r="B780" s="37"/>
      <c r="C780" s="37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7"/>
      <c r="B781" s="37"/>
      <c r="C781" s="37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7"/>
      <c r="B782" s="37"/>
      <c r="C782" s="37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7"/>
      <c r="B783" s="37"/>
      <c r="C783" s="37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7"/>
      <c r="B784" s="37"/>
      <c r="C784" s="37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7"/>
      <c r="B785" s="37"/>
      <c r="C785" s="37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7"/>
      <c r="B786" s="37"/>
      <c r="C786" s="37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7"/>
      <c r="B787" s="37"/>
      <c r="C787" s="37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7"/>
      <c r="B788" s="37"/>
      <c r="C788" s="37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7"/>
      <c r="B789" s="37"/>
      <c r="C789" s="37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7"/>
      <c r="B790" s="37"/>
      <c r="C790" s="37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7"/>
      <c r="B791" s="37"/>
      <c r="C791" s="37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7"/>
      <c r="B792" s="37"/>
      <c r="C792" s="37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7"/>
      <c r="B793" s="37"/>
      <c r="C793" s="37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7"/>
      <c r="B794" s="37"/>
      <c r="C794" s="37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7"/>
      <c r="B795" s="37"/>
      <c r="C795" s="37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7"/>
      <c r="B796" s="37"/>
      <c r="C796" s="37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7"/>
      <c r="B797" s="37"/>
      <c r="C797" s="37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7"/>
      <c r="B798" s="37"/>
      <c r="C798" s="37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7"/>
      <c r="B799" s="37"/>
      <c r="C799" s="37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7"/>
      <c r="B800" s="37"/>
      <c r="C800" s="37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7"/>
      <c r="B801" s="37"/>
      <c r="C801" s="37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7"/>
      <c r="B802" s="37"/>
      <c r="C802" s="37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7"/>
      <c r="B803" s="37"/>
      <c r="C803" s="37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7"/>
      <c r="B804" s="37"/>
      <c r="C804" s="37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7"/>
      <c r="B805" s="37"/>
      <c r="C805" s="37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7"/>
      <c r="B806" s="37"/>
      <c r="C806" s="37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7"/>
      <c r="B807" s="37"/>
      <c r="C807" s="37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7"/>
      <c r="B808" s="37"/>
      <c r="C808" s="37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7"/>
      <c r="B809" s="37"/>
      <c r="C809" s="37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7"/>
      <c r="B810" s="37"/>
      <c r="C810" s="37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7"/>
      <c r="B811" s="37"/>
      <c r="C811" s="37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7"/>
      <c r="B812" s="37"/>
      <c r="C812" s="37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7"/>
      <c r="B813" s="37"/>
      <c r="C813" s="37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7"/>
      <c r="B814" s="37"/>
      <c r="C814" s="37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7"/>
      <c r="B815" s="37"/>
      <c r="C815" s="37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7"/>
      <c r="B816" s="37"/>
      <c r="C816" s="37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7"/>
      <c r="B817" s="37"/>
      <c r="C817" s="37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7"/>
      <c r="B818" s="37"/>
      <c r="C818" s="37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7"/>
      <c r="B819" s="37"/>
      <c r="C819" s="37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7"/>
      <c r="B820" s="37"/>
      <c r="C820" s="37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7"/>
      <c r="B821" s="37"/>
      <c r="C821" s="37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7"/>
      <c r="B822" s="37"/>
      <c r="C822" s="37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7"/>
      <c r="B823" s="37"/>
      <c r="C823" s="37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7"/>
      <c r="B824" s="37"/>
      <c r="C824" s="37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7"/>
      <c r="B825" s="37"/>
      <c r="C825" s="37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7"/>
      <c r="B826" s="37"/>
      <c r="C826" s="37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7"/>
      <c r="B827" s="37"/>
      <c r="C827" s="37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7"/>
      <c r="B828" s="37"/>
      <c r="C828" s="37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7"/>
      <c r="B829" s="37"/>
      <c r="C829" s="37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7"/>
      <c r="B830" s="37"/>
      <c r="C830" s="37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7"/>
      <c r="B831" s="37"/>
      <c r="C831" s="37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7"/>
      <c r="B832" s="37"/>
      <c r="C832" s="37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7"/>
      <c r="B833" s="37"/>
      <c r="C833" s="37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7"/>
      <c r="B834" s="37"/>
      <c r="C834" s="37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7"/>
      <c r="B835" s="37"/>
      <c r="C835" s="37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7"/>
      <c r="B836" s="37"/>
      <c r="C836" s="37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7"/>
      <c r="B837" s="37"/>
      <c r="C837" s="37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7"/>
      <c r="B838" s="37"/>
      <c r="C838" s="37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7"/>
      <c r="B839" s="37"/>
      <c r="C839" s="37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7"/>
      <c r="B840" s="37"/>
      <c r="C840" s="37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7"/>
      <c r="B841" s="37"/>
      <c r="C841" s="37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7"/>
      <c r="B842" s="37"/>
      <c r="C842" s="37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7"/>
      <c r="B843" s="37"/>
      <c r="C843" s="37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7"/>
      <c r="B844" s="37"/>
      <c r="C844" s="37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7"/>
      <c r="B845" s="37"/>
      <c r="C845" s="37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7"/>
      <c r="B846" s="37"/>
      <c r="C846" s="37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7"/>
      <c r="B847" s="37"/>
      <c r="C847" s="37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7"/>
      <c r="B848" s="37"/>
      <c r="C848" s="37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7"/>
      <c r="B849" s="37"/>
      <c r="C849" s="37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7"/>
      <c r="B850" s="37"/>
      <c r="C850" s="37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7"/>
      <c r="B851" s="37"/>
      <c r="C851" s="37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7"/>
      <c r="B852" s="37"/>
      <c r="C852" s="37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7"/>
      <c r="B853" s="37"/>
      <c r="C853" s="37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7"/>
      <c r="B854" s="37"/>
      <c r="C854" s="37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7"/>
      <c r="B855" s="37"/>
      <c r="C855" s="37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7"/>
      <c r="B856" s="37"/>
      <c r="C856" s="37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7"/>
      <c r="B857" s="37"/>
      <c r="C857" s="37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7"/>
      <c r="B858" s="37"/>
      <c r="C858" s="37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7"/>
      <c r="B859" s="37"/>
      <c r="C859" s="37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7"/>
      <c r="B860" s="37"/>
      <c r="C860" s="37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7"/>
      <c r="B861" s="37"/>
      <c r="C861" s="37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7"/>
      <c r="B862" s="37"/>
      <c r="C862" s="37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7"/>
      <c r="B863" s="37"/>
      <c r="C863" s="37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7"/>
      <c r="B864" s="37"/>
      <c r="C864" s="37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7"/>
      <c r="B865" s="37"/>
      <c r="C865" s="37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7"/>
      <c r="B866" s="37"/>
      <c r="C866" s="37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7"/>
      <c r="B867" s="37"/>
      <c r="C867" s="37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7"/>
      <c r="B868" s="37"/>
      <c r="C868" s="37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7"/>
      <c r="B869" s="37"/>
      <c r="C869" s="37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7"/>
      <c r="B870" s="37"/>
      <c r="C870" s="37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7"/>
      <c r="B871" s="37"/>
      <c r="C871" s="37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7"/>
      <c r="B872" s="37"/>
      <c r="C872" s="37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7"/>
      <c r="B873" s="37"/>
      <c r="C873" s="37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7"/>
      <c r="B874" s="37"/>
      <c r="C874" s="37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7"/>
      <c r="B875" s="37"/>
      <c r="C875" s="37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7"/>
      <c r="B876" s="37"/>
      <c r="C876" s="37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7"/>
      <c r="B877" s="37"/>
      <c r="C877" s="37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7"/>
      <c r="B878" s="37"/>
      <c r="C878" s="37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7"/>
      <c r="B879" s="37"/>
      <c r="C879" s="37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7"/>
      <c r="B880" s="37"/>
      <c r="C880" s="37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7"/>
      <c r="B881" s="37"/>
      <c r="C881" s="37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7"/>
      <c r="B882" s="37"/>
      <c r="C882" s="37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7"/>
      <c r="B883" s="37"/>
      <c r="C883" s="37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7"/>
      <c r="B884" s="37"/>
      <c r="C884" s="37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7"/>
      <c r="B885" s="37"/>
      <c r="C885" s="37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7"/>
      <c r="B886" s="37"/>
      <c r="C886" s="37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7"/>
      <c r="B887" s="37"/>
      <c r="C887" s="37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7"/>
      <c r="B888" s="37"/>
      <c r="C888" s="37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7"/>
      <c r="B889" s="37"/>
      <c r="C889" s="37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7"/>
      <c r="B890" s="37"/>
      <c r="C890" s="37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7"/>
      <c r="B891" s="37"/>
      <c r="C891" s="37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7"/>
      <c r="B892" s="37"/>
      <c r="C892" s="37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7"/>
      <c r="B893" s="37"/>
      <c r="C893" s="37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7"/>
      <c r="B894" s="37"/>
      <c r="C894" s="37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7"/>
      <c r="B895" s="37"/>
      <c r="C895" s="37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7"/>
      <c r="B896" s="37"/>
      <c r="C896" s="37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7"/>
      <c r="B897" s="37"/>
      <c r="C897" s="37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7"/>
      <c r="B898" s="37"/>
      <c r="C898" s="37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7"/>
      <c r="B899" s="37"/>
      <c r="C899" s="37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7"/>
      <c r="B900" s="37"/>
      <c r="C900" s="37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7"/>
      <c r="B901" s="37"/>
      <c r="C901" s="37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7"/>
      <c r="B902" s="37"/>
      <c r="C902" s="37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7"/>
      <c r="B903" s="37"/>
      <c r="C903" s="37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7"/>
      <c r="B904" s="37"/>
      <c r="C904" s="37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7"/>
      <c r="B905" s="37"/>
      <c r="C905" s="37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7"/>
      <c r="B906" s="37"/>
      <c r="C906" s="37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7"/>
      <c r="B907" s="37"/>
      <c r="C907" s="37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7"/>
      <c r="B908" s="37"/>
      <c r="C908" s="37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7"/>
      <c r="B909" s="37"/>
      <c r="C909" s="37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7"/>
      <c r="B910" s="37"/>
      <c r="C910" s="37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7"/>
      <c r="B911" s="37"/>
      <c r="C911" s="37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7"/>
      <c r="B912" s="37"/>
      <c r="C912" s="37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7"/>
      <c r="B913" s="37"/>
      <c r="C913" s="37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7"/>
      <c r="B914" s="37"/>
      <c r="C914" s="37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7"/>
      <c r="B915" s="37"/>
      <c r="C915" s="37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7"/>
      <c r="B916" s="37"/>
      <c r="C916" s="37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7"/>
      <c r="B917" s="37"/>
      <c r="C917" s="37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7"/>
      <c r="B918" s="37"/>
      <c r="C918" s="37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7"/>
      <c r="B919" s="37"/>
      <c r="C919" s="37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7"/>
      <c r="B920" s="37"/>
      <c r="C920" s="37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7"/>
      <c r="B921" s="37"/>
      <c r="C921" s="37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7"/>
      <c r="B922" s="37"/>
      <c r="C922" s="37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7"/>
      <c r="B923" s="37"/>
      <c r="C923" s="37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7"/>
      <c r="B924" s="37"/>
      <c r="C924" s="37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7"/>
      <c r="B925" s="37"/>
      <c r="C925" s="37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7"/>
      <c r="B926" s="37"/>
      <c r="C926" s="37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7"/>
      <c r="B927" s="37"/>
      <c r="C927" s="37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7"/>
      <c r="B928" s="37"/>
      <c r="C928" s="37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7"/>
      <c r="B929" s="37"/>
      <c r="C929" s="37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7"/>
      <c r="B930" s="37"/>
      <c r="C930" s="37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7"/>
      <c r="B931" s="37"/>
      <c r="C931" s="37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7"/>
      <c r="B932" s="37"/>
      <c r="C932" s="37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7"/>
      <c r="B933" s="37"/>
      <c r="C933" s="37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7"/>
      <c r="B934" s="37"/>
      <c r="C934" s="37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7"/>
      <c r="B935" s="37"/>
      <c r="C935" s="37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7"/>
      <c r="B936" s="37"/>
      <c r="C936" s="37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7"/>
      <c r="B937" s="37"/>
      <c r="C937" s="37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7"/>
      <c r="B938" s="37"/>
      <c r="C938" s="37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7"/>
      <c r="B939" s="37"/>
      <c r="C939" s="37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7"/>
      <c r="B940" s="37"/>
      <c r="C940" s="37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7"/>
      <c r="B941" s="37"/>
      <c r="C941" s="37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7"/>
      <c r="B942" s="37"/>
      <c r="C942" s="37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7"/>
      <c r="B943" s="37"/>
      <c r="C943" s="37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7"/>
      <c r="B944" s="37"/>
      <c r="C944" s="37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7"/>
      <c r="B945" s="37"/>
      <c r="C945" s="37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7"/>
      <c r="B946" s="37"/>
      <c r="C946" s="37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7"/>
      <c r="B947" s="37"/>
      <c r="C947" s="37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7"/>
      <c r="B948" s="37"/>
      <c r="C948" s="37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7"/>
      <c r="B949" s="37"/>
      <c r="C949" s="37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7"/>
      <c r="B950" s="37"/>
      <c r="C950" s="37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7"/>
      <c r="B951" s="37"/>
      <c r="C951" s="37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7"/>
      <c r="B952" s="37"/>
      <c r="C952" s="37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7"/>
      <c r="B953" s="37"/>
      <c r="C953" s="37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7"/>
      <c r="B954" s="37"/>
      <c r="C954" s="37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7"/>
      <c r="B955" s="37"/>
      <c r="C955" s="37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7"/>
      <c r="B956" s="37"/>
      <c r="C956" s="37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7"/>
      <c r="B957" s="37"/>
      <c r="C957" s="37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7"/>
      <c r="B958" s="37"/>
      <c r="C958" s="37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7"/>
      <c r="B959" s="37"/>
      <c r="C959" s="37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7"/>
      <c r="B960" s="37"/>
      <c r="C960" s="37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7"/>
      <c r="B961" s="37"/>
      <c r="C961" s="37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7"/>
      <c r="B962" s="37"/>
      <c r="C962" s="37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7"/>
      <c r="B963" s="37"/>
      <c r="C963" s="37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7"/>
      <c r="B964" s="37"/>
      <c r="C964" s="37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7"/>
      <c r="B965" s="37"/>
      <c r="C965" s="37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7"/>
      <c r="B966" s="37"/>
      <c r="C966" s="37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7"/>
      <c r="B967" s="37"/>
      <c r="C967" s="37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7"/>
      <c r="B968" s="37"/>
      <c r="C968" s="37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7"/>
      <c r="B969" s="37"/>
      <c r="C969" s="37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7"/>
      <c r="B970" s="37"/>
      <c r="C970" s="37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7"/>
      <c r="B971" s="37"/>
      <c r="C971" s="37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7"/>
      <c r="B972" s="37"/>
      <c r="C972" s="37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7"/>
      <c r="B973" s="37"/>
      <c r="C973" s="37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7"/>
      <c r="B974" s="37"/>
      <c r="C974" s="37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7"/>
      <c r="B975" s="37"/>
      <c r="C975" s="37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7"/>
      <c r="B976" s="37"/>
      <c r="C976" s="37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7"/>
      <c r="B977" s="37"/>
      <c r="C977" s="37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7"/>
      <c r="B978" s="37"/>
      <c r="C978" s="37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7"/>
      <c r="B979" s="37"/>
      <c r="C979" s="37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7"/>
      <c r="B980" s="37"/>
      <c r="C980" s="37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7"/>
      <c r="B981" s="37"/>
      <c r="C981" s="37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7"/>
      <c r="B982" s="37"/>
      <c r="C982" s="37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7"/>
      <c r="B983" s="37"/>
      <c r="C983" s="37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7"/>
      <c r="B984" s="37"/>
      <c r="C984" s="37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7"/>
      <c r="B985" s="37"/>
      <c r="C985" s="37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7"/>
      <c r="B986" s="37"/>
      <c r="C986" s="37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7"/>
      <c r="B987" s="37"/>
      <c r="C987" s="37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7"/>
      <c r="B988" s="37"/>
      <c r="C988" s="37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7"/>
      <c r="B989" s="37"/>
      <c r="C989" s="37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7"/>
      <c r="B990" s="37"/>
      <c r="C990" s="37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7"/>
      <c r="B991" s="37"/>
      <c r="C991" s="37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7"/>
      <c r="B992" s="37"/>
      <c r="C992" s="37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7"/>
      <c r="B993" s="37"/>
      <c r="C993" s="37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7"/>
      <c r="B994" s="37"/>
      <c r="C994" s="37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7"/>
      <c r="B995" s="37"/>
      <c r="C995" s="37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7"/>
      <c r="B996" s="37"/>
      <c r="C996" s="37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7"/>
      <c r="B997" s="37"/>
      <c r="C997" s="37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7"/>
      <c r="B998" s="37"/>
      <c r="C998" s="37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7"/>
      <c r="B999" s="37"/>
      <c r="C999" s="37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7"/>
      <c r="B1000" s="37"/>
      <c r="C1000" s="37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086614173228347" footer="0.0" header="0.0" left="0.7086614173228347" right="0.7086614173228347" top="0.7086614173228347"/>
  <pageSetup scale="9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5"/>
    <col customWidth="1" min="2" max="2" width="17.88"/>
    <col customWidth="1" min="3" max="3" width="11.13"/>
    <col customWidth="1" min="4" max="8" width="15.5"/>
    <col customWidth="1" min="9" max="9" width="16.75"/>
    <col customWidth="1" min="10" max="10" width="19.13"/>
    <col customWidth="1" min="11" max="11" width="15.88"/>
    <col customWidth="1" min="12" max="12" width="19.0"/>
    <col customWidth="1" min="13" max="13" width="17.63"/>
    <col customWidth="1" min="14" max="14" width="19.5"/>
    <col customWidth="1" min="15" max="15" width="17.88"/>
    <col customWidth="1" min="16" max="16" width="8.75"/>
    <col customWidth="1" min="17" max="17" width="20.5"/>
    <col customWidth="1" min="18" max="18" width="11.13"/>
    <col customWidth="1" min="19" max="26" width="8.75"/>
  </cols>
  <sheetData>
    <row r="1" ht="15.0" customHeight="1">
      <c r="A1" s="65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66" t="s">
        <v>149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6.2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24.75" customHeight="1">
      <c r="A4" s="67" t="s">
        <v>150</v>
      </c>
      <c r="B4" s="67" t="s">
        <v>151</v>
      </c>
      <c r="C4" s="67" t="s">
        <v>152</v>
      </c>
      <c r="D4" s="67" t="s">
        <v>153</v>
      </c>
      <c r="E4" s="67" t="s">
        <v>154</v>
      </c>
      <c r="F4" s="67" t="s">
        <v>155</v>
      </c>
      <c r="G4" s="67" t="s">
        <v>156</v>
      </c>
      <c r="H4" s="67" t="s">
        <v>157</v>
      </c>
      <c r="I4" s="68" t="s">
        <v>158</v>
      </c>
      <c r="J4" s="68" t="s">
        <v>159</v>
      </c>
      <c r="K4" s="68" t="s">
        <v>160</v>
      </c>
      <c r="L4" s="68" t="s">
        <v>161</v>
      </c>
      <c r="M4" s="68" t="s">
        <v>162</v>
      </c>
      <c r="N4" s="68" t="s">
        <v>163</v>
      </c>
      <c r="O4" s="68" t="s">
        <v>164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19.5" customHeight="1">
      <c r="A5" s="70">
        <v>1.0</v>
      </c>
      <c r="B5" s="71" t="s">
        <v>165</v>
      </c>
      <c r="C5" s="70">
        <f>8+2</f>
        <v>10</v>
      </c>
      <c r="D5" s="72">
        <f>SUM(Jan!F10+Jan!F11+Jan!F24+Jan!F36+Jan!F42+Jan!F43+Jan!F67+Jan!F74+Jan!F80)</f>
        <v>8272042330</v>
      </c>
      <c r="E5" s="72">
        <f>SUM('Feb UPDATED'!F10+'Feb UPDATED'!F11+'Feb UPDATED'!F24+'Feb UPDATED'!F36+'Feb UPDATED'!F42+'Feb UPDATED'!F43+'Feb UPDATED'!F67+'Feb UPDATED'!F74+'Feb UPDATED'!F80)</f>
        <v>8199196826</v>
      </c>
      <c r="F5" s="73">
        <f>SUM(Mar!F10+Mar!F11+Mar!F24+Mar!F36+Mar!F42+Mar!F43+Mar!F67+Mar!F74+Mar!F80)</f>
        <v>8290825464</v>
      </c>
      <c r="G5" s="73">
        <f>SUM(Apr!F10+Apr!F11+Apr!F24+Apr!F36+Apr!F42+Apr!F43+Apr!F67+Apr!F74+Apr!F80)</f>
        <v>8293745060</v>
      </c>
      <c r="H5" s="74">
        <f>SUM(May!F10+May!F11+May!F24+May!F36+May!F42+May!F43+May!F67+May!F74+May!F80)</f>
        <v>8186468991</v>
      </c>
      <c r="I5" s="74">
        <f>SUM(June!F10+June!F11+June!F24+June!F36+June!F42+June!F43+June!F67+June!F74+June!F80)</f>
        <v>8214125152</v>
      </c>
      <c r="J5" s="74">
        <f>SUM(July!F10+July!F11+July!F24+July!F36+July!F42+July!F43+July!F67+July!F74+July!F80)</f>
        <v>8378176230</v>
      </c>
      <c r="K5" s="74">
        <f>SUM(Aug!F10+Aug!F11+Aug!F24+Aug!F36+Aug!F42+Aug!F43+Aug!F67+Aug!F74+Aug!F80)</f>
        <v>8176416471</v>
      </c>
      <c r="L5" s="75">
        <f>SUM(Sep!F10+Sep!F11+Sep!F24+Sep!F36+Sep!F42+Sep!F43+Sep!F67+Sep!F74+Sep!F80)</f>
        <v>8263333722</v>
      </c>
      <c r="M5" s="73">
        <f>SUM(Oct!F10+Oct!F11+Oct!F24+Oct!F37+Oct!F43+Oct!F44+Oct!F68+Oct!F75+Oct!F81)</f>
        <v>7928267321</v>
      </c>
      <c r="N5" s="73">
        <f>SUM(Nov!F10+Nov!F11+Nov!F24+Nov!F37+Nov!F43+Nov!F44+Nov!F68+Nov!F75+Nov!F83+Nov!F79)</f>
        <v>8974621965</v>
      </c>
      <c r="O5" s="73">
        <f>SUM(Dec!F10+Dec!F11+Dec!F24+Dec!F37+Dec!F43+Dec!F44+Dec!F68+Dec!F75+Dec!F79+Dec!F83)</f>
        <v>9354184897</v>
      </c>
      <c r="P5" s="37"/>
      <c r="Q5" s="76"/>
      <c r="R5" s="77"/>
      <c r="S5" s="37"/>
      <c r="T5" s="37"/>
      <c r="U5" s="37"/>
      <c r="V5" s="37"/>
      <c r="W5" s="37"/>
      <c r="X5" s="37"/>
      <c r="Y5" s="37"/>
      <c r="Z5" s="37"/>
    </row>
    <row r="6" ht="19.5" customHeight="1">
      <c r="A6" s="70">
        <v>2.0</v>
      </c>
      <c r="B6" s="78" t="s">
        <v>166</v>
      </c>
      <c r="C6" s="70">
        <f>8+1+9</f>
        <v>18</v>
      </c>
      <c r="D6" s="72">
        <f>SUM(Jan!F9+Jan!F17+Jan!F18+Jan!F23+Jan!F31+Jan!F47+Jan!F48+Jan!F49+Jan!F59+Jan!F66+Jan!F69+Jan!F71+Jan!F72+Jan!F79+Jan!F82+Jan!F83+Jan!F87+Jan!F92+Jan!F96+Jan!F104+Jan!F108)</f>
        <v>146535289676</v>
      </c>
      <c r="E6" s="72">
        <f>SUM('Feb UPDATED'!F9+'Feb UPDATED'!F17+'Feb UPDATED'!F18+'Feb UPDATED'!F23+'Feb UPDATED'!F31+'Feb UPDATED'!F47+'Feb UPDATED'!F48+'Feb UPDATED'!F49+'Feb UPDATED'!F59+'Feb UPDATED'!F66+'Feb UPDATED'!F69+'Feb UPDATED'!F71+'Feb UPDATED'!F72+'Feb UPDATED'!F79+'Feb UPDATED'!F82+'Feb UPDATED'!F83+'Feb UPDATED'!F87+'Feb UPDATED'!F92+'Feb UPDATED'!F96+'Feb UPDATED'!F104+'Feb UPDATED'!F108)</f>
        <v>144844982695</v>
      </c>
      <c r="F6" s="72">
        <f>SUM(Mar!F9+Mar!F17+Mar!F18+Mar!F23+Mar!F31+Mar!F47+Mar!F48+Mar!F49+Mar!F59+Mar!F66+Mar!F69+Mar!F71+Mar!F72+Mar!F79+Mar!F82+Mar!F83+Mar!F87+Mar!F92+Mar!F96+Mar!F104+Mar!F108)</f>
        <v>140082902689</v>
      </c>
      <c r="G6" s="72">
        <f>SUM(Apr!F9+Apr!F17+Apr!F18+Apr!F23+Apr!F31+Apr!F47+Apr!F48+Apr!F49+Apr!F59+Apr!F66+Apr!F69+Apr!F71+Apr!F72+Apr!F79+Apr!F82+Apr!F83+Apr!F87+Apr!F92+Apr!F96+Apr!F104+Apr!F108)</f>
        <v>140079072452</v>
      </c>
      <c r="H6" s="74">
        <f>SUM(May!F9+May!F17+May!F18+May!F23+May!F31+May!F47+May!F48+May!F49+May!F59+May!F66+May!F69+May!F71+May!F72+May!F79+May!F82+May!F83+May!F87+May!F92+May!F96+May!F104+May!F108)</f>
        <v>138058610846</v>
      </c>
      <c r="I6" s="74">
        <f>SUM(June!F9+June!F17+June!F18+June!F23+June!F31+June!F47+June!F48+June!F49+June!F59+June!F66+June!F69+June!F71+June!F72+June!F79+June!F82+June!F83+June!F87+June!F92+June!F96+June!F104+June!F108)</f>
        <v>136093809672</v>
      </c>
      <c r="J6" s="74">
        <f>SUM(July!F9+July!F17+July!F18+July!F23+July!F31+July!F47+July!F48+July!F49+July!F59+July!F66+July!F69+July!F71+July!F72+July!F79+July!F82+July!F83+July!F87+July!F92+July!F96+July!F104+July!F108)</f>
        <v>135067554368</v>
      </c>
      <c r="K6" s="74">
        <f>SUM(Aug!F9+Aug!F17+Aug!F18+Aug!F23+Aug!F31+Aug!F47+Aug!F48+Aug!F49+Aug!F59+Aug!F66+Aug!F69+Aug!F71+Aug!F72+Aug!F79+Aug!F82+Aug!F83+Aug!F87+Aug!F92+Aug!F96+Aug!F104+Aug!F108)</f>
        <v>133205526387</v>
      </c>
      <c r="L6" s="75">
        <f>SUM(Sep!F9+Sep!F17+Sep!F18+Sep!F23+Sep!F31+Sep!F47+Sep!F48+Sep!F49+Sep!F59+Sep!F66+Sep!F69+Sep!F71+Sep!F72+Sep!F79+Sep!F82+Sep!F83+Sep!F87+Sep!F92+Sep!F96+Sep!F104+Sep!F109)</f>
        <v>131818371131</v>
      </c>
      <c r="M6" s="73">
        <f>SUM(Oct!F9+Oct!F17+Oct!F18+Oct!F23+Oct!F32+Oct!F48+Oct!F49+Oct!F50+Oct!F60+Oct!F67+Oct!F70+Oct!F72+Oct!F73+Oct!F80+Oct!F83+Oct!F84+Oct!F88+Oct!F93+Oct!F97+Oct!F105+Oct!F110)</f>
        <v>128765000556</v>
      </c>
      <c r="N6" s="73">
        <f>SUM(Nov!F9+Nov!F17+Nov!F18+Nov!F23+Nov!F32+Nov!F48+Nov!F49+Nov!F50+Nov!F60+Nov!F67+Nov!F70+Nov!F72+Nov!F73+Nov!F82+Nov!F85+Nov!F86+Nov!F90+Nov!F95+Nov!F99+Nov!F107+Nov!F112)</f>
        <v>129027918405</v>
      </c>
      <c r="O6" s="73">
        <f>SUM(Dec!F9+Dec!F17+Dec!F18+Dec!F23+Dec!F32+Dec!F48+Dec!F49+Dec!F50+Dec!F60+Dec!F67+Dec!F70+Dec!F72+Dec!F73+Dec!F82+Dec!F85+Dec!F86+Dec!F90+Dec!F95+Dec!F99+Dec!F107+Dec!F112)</f>
        <v>128891329070</v>
      </c>
      <c r="P6" s="37"/>
      <c r="Q6" s="76"/>
      <c r="R6" s="77"/>
      <c r="S6" s="37"/>
      <c r="T6" s="37"/>
      <c r="U6" s="37"/>
      <c r="V6" s="37"/>
      <c r="W6" s="37"/>
      <c r="X6" s="37"/>
      <c r="Y6" s="37"/>
      <c r="Z6" s="37"/>
    </row>
    <row r="7" ht="19.5" customHeight="1">
      <c r="A7" s="70">
        <v>3.0</v>
      </c>
      <c r="B7" s="78" t="s">
        <v>167</v>
      </c>
      <c r="C7" s="70">
        <v>3.0</v>
      </c>
      <c r="D7" s="72">
        <f>SUM(Jan!F27+Jan!F58+Jan!F68)</f>
        <v>1678415910</v>
      </c>
      <c r="E7" s="72">
        <f>SUM('Feb UPDATED'!F27+'Feb UPDATED'!F58+'Feb UPDATED'!F68)</f>
        <v>1670151202</v>
      </c>
      <c r="F7" s="73">
        <f>SUM(Mar!F27+Mar!F58+Mar!F68)</f>
        <v>1646328845</v>
      </c>
      <c r="G7" s="73">
        <f>SUM(Apr!F27+Apr!F58+Apr!F68)</f>
        <v>1643166723</v>
      </c>
      <c r="H7" s="74">
        <f>SUM(May!F27+May!F58+May!F68)</f>
        <v>1625486826</v>
      </c>
      <c r="I7" s="74">
        <f>SUM(June!F27+June!F58+June!F68)</f>
        <v>1596133127</v>
      </c>
      <c r="J7" s="74">
        <f>SUM(July!F27+July!F58+July!F68)</f>
        <v>1605959032</v>
      </c>
      <c r="K7" s="74">
        <f>SUM(Aug!F27+Aug!F58+Aug!F68)</f>
        <v>1571938214</v>
      </c>
      <c r="L7" s="75">
        <f>SUM(Sep!F27+Sep!F58+Sep!F68)</f>
        <v>1575962833</v>
      </c>
      <c r="M7" s="73">
        <f>SUM(Oct!F27+Oct!F59+Oct!F69)</f>
        <v>1524234369</v>
      </c>
      <c r="N7" s="73">
        <f>SUM(Nov!F27+Nov!F59+Nov!F69)</f>
        <v>1553216944</v>
      </c>
      <c r="O7" s="73">
        <f>SUM(Dec!F27+Dec!F59+Dec!F69)</f>
        <v>1563017548</v>
      </c>
      <c r="P7" s="37"/>
      <c r="Q7" s="76"/>
      <c r="R7" s="77"/>
      <c r="S7" s="37"/>
      <c r="T7" s="37"/>
      <c r="U7" s="37"/>
      <c r="V7" s="37"/>
      <c r="W7" s="37"/>
      <c r="X7" s="37"/>
      <c r="Y7" s="37"/>
      <c r="Z7" s="37"/>
    </row>
    <row r="8" ht="19.5" customHeight="1">
      <c r="A8" s="70">
        <v>4.0</v>
      </c>
      <c r="B8" s="78" t="s">
        <v>168</v>
      </c>
      <c r="C8" s="70">
        <v>1.0</v>
      </c>
      <c r="D8" s="72">
        <f>SUM(Jan!F12)</f>
        <v>345690110.8</v>
      </c>
      <c r="E8" s="72">
        <f>SUM('Feb UPDATED'!F12)</f>
        <v>342440390.2</v>
      </c>
      <c r="F8" s="73">
        <f>SUM(Mar!F12)</f>
        <v>340091873</v>
      </c>
      <c r="G8" s="73">
        <f>SUM(Apr!F12)</f>
        <v>337553897.4</v>
      </c>
      <c r="H8" s="74">
        <f>SUM(May!F12)</f>
        <v>337957064</v>
      </c>
      <c r="I8" s="74">
        <f>SUM(June!F12)</f>
        <v>338489589.6</v>
      </c>
      <c r="J8" s="74">
        <f>SUM(July!F12)</f>
        <v>340756641.1</v>
      </c>
      <c r="K8" s="74">
        <f>SUM(Aug!F12)</f>
        <v>330078650</v>
      </c>
      <c r="L8" s="75">
        <f>SUM(Sep!F12)</f>
        <v>336492491.5</v>
      </c>
      <c r="M8" s="73">
        <f>SUM(Oct!F12)</f>
        <v>329437757.3</v>
      </c>
      <c r="N8" s="73">
        <f>Nov!F12</f>
        <v>332775993.9</v>
      </c>
      <c r="O8" s="73">
        <f>Dec!F12</f>
        <v>351084818.1</v>
      </c>
      <c r="P8" s="37"/>
      <c r="Q8" s="76"/>
      <c r="R8" s="77"/>
      <c r="S8" s="37"/>
      <c r="T8" s="37"/>
      <c r="U8" s="37"/>
      <c r="V8" s="37"/>
      <c r="W8" s="37"/>
      <c r="X8" s="37"/>
      <c r="Y8" s="37"/>
      <c r="Z8" s="37"/>
    </row>
    <row r="9" ht="19.5" customHeight="1">
      <c r="A9" s="70">
        <v>5.0</v>
      </c>
      <c r="B9" s="78" t="s">
        <v>169</v>
      </c>
      <c r="C9" s="70">
        <f>1+1</f>
        <v>2</v>
      </c>
      <c r="D9" s="72">
        <f>SUM(Jan!F29)</f>
        <v>132056365.6</v>
      </c>
      <c r="E9" s="72">
        <f>SUM('Feb UPDATED'!F29)</f>
        <v>174466575.4</v>
      </c>
      <c r="F9" s="72">
        <f>SUM(Mar!F29)</f>
        <v>186792848</v>
      </c>
      <c r="G9" s="72">
        <f>SUM(Apr!F29)</f>
        <v>195525674</v>
      </c>
      <c r="H9" s="74">
        <f>SUM(May!F29)</f>
        <v>196095527</v>
      </c>
      <c r="I9" s="74">
        <f>SUM(June!F29)</f>
        <v>200613104.9</v>
      </c>
      <c r="J9" s="74">
        <f>SUM(July!F29)</f>
        <v>208621757.1</v>
      </c>
      <c r="K9" s="74">
        <f>SUM(Aug!F29)</f>
        <v>200331858.5</v>
      </c>
      <c r="L9" s="75">
        <f>SUM(Sep!F29)</f>
        <v>210627991.5</v>
      </c>
      <c r="M9" s="73">
        <f>SUM(Oct!F29+Oct!F30)</f>
        <v>255232132.3</v>
      </c>
      <c r="N9" s="73">
        <f>Nov!F29+Nov!F30</f>
        <v>290381990.8</v>
      </c>
      <c r="O9" s="73">
        <f>Dec!F29+Dec!F30</f>
        <v>339209468.7</v>
      </c>
      <c r="P9" s="37"/>
      <c r="Q9" s="76"/>
      <c r="R9" s="77"/>
      <c r="S9" s="37"/>
      <c r="T9" s="37"/>
      <c r="U9" s="37"/>
      <c r="V9" s="37"/>
      <c r="W9" s="37"/>
      <c r="X9" s="37"/>
      <c r="Y9" s="37"/>
      <c r="Z9" s="37"/>
    </row>
    <row r="10" ht="19.5" customHeight="1">
      <c r="A10" s="70">
        <v>6.0</v>
      </c>
      <c r="B10" s="78" t="s">
        <v>170</v>
      </c>
      <c r="C10" s="70">
        <v>9.0</v>
      </c>
      <c r="D10" s="72">
        <f>SUM(Jan!F13+Jan!F14+Jan!F15+Jan!F33+Jan!F44+Jan!F45+Jan!F70+Jan!F81+Jan!F93)</f>
        <v>13064638858</v>
      </c>
      <c r="E10" s="72">
        <f>SUM('Feb UPDATED'!F13+'Feb UPDATED'!F14+'Feb UPDATED'!F15+'Feb UPDATED'!F33+'Feb UPDATED'!F44+'Feb UPDATED'!F45+'Feb UPDATED'!F70+'Feb UPDATED'!F81+'Feb UPDATED'!F93)</f>
        <v>12668081113</v>
      </c>
      <c r="F10" s="73">
        <f>SUM(Mar!F13+Mar!F14+Mar!F15+Mar!F33+Mar!F44+Mar!F45+Mar!F70+Mar!F81+Mar!F93)</f>
        <v>12699568203</v>
      </c>
      <c r="G10" s="73">
        <f>SUM(Apr!F13+Apr!F14+Apr!F15+Apr!F33+Apr!F44+Apr!F45+Apr!F70+Apr!F81+Apr!F93)</f>
        <v>12916667457</v>
      </c>
      <c r="H10" s="74">
        <f>SUM(May!F13+May!F14+May!F15+May!F33+May!F44+May!F45+May!F70+May!F81+May!F93)</f>
        <v>12437282085</v>
      </c>
      <c r="I10" s="74">
        <f>SUM(June!F13+June!F14+June!F15+June!F33+June!F44+June!F45+June!F70+June!F81+June!F93)</f>
        <v>12283817618</v>
      </c>
      <c r="J10" s="74">
        <f>SUM(July!F13+July!F14+July!F15+July!F33+July!F44+July!F45+July!F70+July!F81+July!F93)</f>
        <v>12484636015</v>
      </c>
      <c r="K10" s="74">
        <f>SUM(Aug!F13+Aug!F14+Aug!F15+Aug!F33+Aug!F44+Aug!F45+Aug!F70+Aug!F81+Aug!F93)</f>
        <v>12114592432</v>
      </c>
      <c r="L10" s="75">
        <f>SUM(Sep!F13+Sep!F14+Sep!F15+Sep!F33+Sep!F44+Sep!F45+Sep!F70+Sep!F81+Sep!F93)</f>
        <v>12285714932</v>
      </c>
      <c r="M10" s="73">
        <f>SUM(Oct!F13+Oct!F14+Oct!F15+Oct!F34+Oct!F45+Oct!F46+Oct!F71+Oct!F82+Oct!F94)</f>
        <v>11887672819</v>
      </c>
      <c r="N10" s="73">
        <f>SUM(Nov!F13+Nov!F14+Nov!F15+Nov!F34+Nov!F45+Nov!F46+Nov!F71+Nov!F84+Nov!F96)</f>
        <v>12402312844</v>
      </c>
      <c r="O10" s="73">
        <f>SUM(Dec!F13+Dec!F14+Dec!F15+Dec!F34+Dec!F45+Dec!F46+Dec!F71+Dec!F84+Dec!F96)</f>
        <v>13232228651</v>
      </c>
      <c r="P10" s="37"/>
      <c r="Q10" s="76"/>
      <c r="R10" s="77"/>
      <c r="S10" s="37"/>
      <c r="T10" s="37"/>
      <c r="U10" s="37"/>
      <c r="V10" s="37"/>
      <c r="W10" s="37"/>
      <c r="X10" s="37"/>
      <c r="Y10" s="37"/>
      <c r="Z10" s="37"/>
    </row>
    <row r="11" ht="19.5" customHeight="1">
      <c r="A11" s="70">
        <v>7.0</v>
      </c>
      <c r="B11" s="78" t="s">
        <v>171</v>
      </c>
      <c r="C11" s="70">
        <v>1.0</v>
      </c>
      <c r="D11" s="72">
        <f>SUM(Jan!F16)</f>
        <v>120599068.8</v>
      </c>
      <c r="E11" s="72">
        <f>SUM('Feb UPDATED'!F16)</f>
        <v>117492392</v>
      </c>
      <c r="F11" s="73">
        <f>SUM(Mar!F16)</f>
        <v>120627481.8</v>
      </c>
      <c r="G11" s="73">
        <f>SUM(Apr!F16)</f>
        <v>127715030</v>
      </c>
      <c r="H11" s="74">
        <f>SUM(May!F16)</f>
        <v>129805428</v>
      </c>
      <c r="I11" s="74">
        <f>SUM(June!F16)</f>
        <v>127088884</v>
      </c>
      <c r="J11" s="74">
        <f>SUM(July!F16)</f>
        <v>127318975</v>
      </c>
      <c r="K11" s="74">
        <f>SUM(Aug!F16)</f>
        <v>127380236</v>
      </c>
      <c r="L11" s="75">
        <f>SUM(Sep!F16)</f>
        <v>130790355</v>
      </c>
      <c r="M11" s="73">
        <f>SUM(Oct!F16)</f>
        <v>127688777</v>
      </c>
      <c r="N11" s="73">
        <f>Nov!F16</f>
        <v>125265013</v>
      </c>
      <c r="O11" s="73">
        <f>Dec!F16</f>
        <v>127555575</v>
      </c>
      <c r="P11" s="37"/>
      <c r="Q11" s="76"/>
      <c r="R11" s="77"/>
      <c r="S11" s="37"/>
      <c r="T11" s="37"/>
      <c r="U11" s="37"/>
      <c r="V11" s="37"/>
      <c r="W11" s="37"/>
      <c r="X11" s="37"/>
      <c r="Y11" s="37"/>
      <c r="Z11" s="37"/>
    </row>
    <row r="12" ht="19.5" customHeight="1">
      <c r="A12" s="70">
        <v>8.0</v>
      </c>
      <c r="B12" s="78" t="s">
        <v>172</v>
      </c>
      <c r="C12" s="70">
        <v>1.0</v>
      </c>
      <c r="D12" s="72">
        <f>SUM(Jan!F46)</f>
        <v>352971968.1</v>
      </c>
      <c r="E12" s="72">
        <f>SUM('Feb UPDATED'!F46)</f>
        <v>347564721.3</v>
      </c>
      <c r="F12" s="73">
        <f>SUM(Mar!F46)</f>
        <v>344616852</v>
      </c>
      <c r="G12" s="73">
        <f>SUM(Apr!F46)</f>
        <v>348180238</v>
      </c>
      <c r="H12" s="74">
        <f>SUM(May!F46)</f>
        <v>346084341</v>
      </c>
      <c r="I12" s="74">
        <f>SUM(June!F46)</f>
        <v>345051251.5</v>
      </c>
      <c r="J12" s="74">
        <f>SUM(July!F46)</f>
        <v>348572349.4</v>
      </c>
      <c r="K12" s="74">
        <f>SUM(Aug!F46)</f>
        <v>338762207.8</v>
      </c>
      <c r="L12" s="75">
        <f>SUM(Sep!F46)</f>
        <v>335940242.3</v>
      </c>
      <c r="M12" s="73">
        <f>SUM(Oct!F47)</f>
        <v>322679563.4</v>
      </c>
      <c r="N12" s="73">
        <f>Nov!F47</f>
        <v>330519808.5</v>
      </c>
      <c r="O12" s="73">
        <f>Dec!F47</f>
        <v>318515233.3</v>
      </c>
      <c r="P12" s="37"/>
      <c r="Q12" s="76"/>
      <c r="R12" s="7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A13" s="70">
        <v>9.0</v>
      </c>
      <c r="B13" s="78" t="s">
        <v>173</v>
      </c>
      <c r="C13" s="70">
        <f>6+1</f>
        <v>7</v>
      </c>
      <c r="D13" s="72">
        <f>SUM(Jan!F19+Jan!F20+Jan!F21+Jan!F22+Jan!F30+Jan!F73+Jan!F84)</f>
        <v>17058076105</v>
      </c>
      <c r="E13" s="72">
        <f>SUM('Feb UPDATED'!F19+'Feb UPDATED'!F20+'Feb UPDATED'!F21+'Feb UPDATED'!F22+'Feb UPDATED'!F30+'Feb UPDATED'!F73+'Feb UPDATED'!F84)</f>
        <v>16965872903</v>
      </c>
      <c r="F13" s="73">
        <f>SUM(Mar!F19+Mar!F20+Mar!F21+Mar!F22+Mar!F30+Mar!F73+Mar!F84)</f>
        <v>17097746246</v>
      </c>
      <c r="G13" s="73">
        <f>SUM(Apr!F19+Apr!F20+Apr!F21+Apr!F22+Apr!F30+Apr!F73+Apr!F84)</f>
        <v>17360403483</v>
      </c>
      <c r="H13" s="74">
        <f>SUM(May!F19+May!F20+May!F21+May!F22+May!F30+May!F73+May!F84)</f>
        <v>16949043951</v>
      </c>
      <c r="I13" s="74">
        <f>SUM(June!F19+June!F20+June!F21+June!F22+June!F30+June!F73+June!F84)</f>
        <v>16917514227</v>
      </c>
      <c r="J13" s="74">
        <f>SUM(July!F19+July!F20+July!F21+July!F22+July!F30+July!F73+July!F84)</f>
        <v>16987029328</v>
      </c>
      <c r="K13" s="74">
        <f>SUM(Aug!F19+Aug!F20+Aug!F21+Aug!F22+Aug!F30+Aug!F73+Aug!F84)</f>
        <v>16008141922</v>
      </c>
      <c r="L13" s="75">
        <f>SUM(Sep!F19+Sep!F20+Sep!F21+Sep!F22+Sep!F30+Sep!F73+Sep!F84)</f>
        <v>16298422894</v>
      </c>
      <c r="M13" s="73">
        <f>SUM(Oct!F19+Oct!F20+Oct!F21+Oct!F22+Oct!F31+Oct!F74+Oct!F85)</f>
        <v>15470414307</v>
      </c>
      <c r="N13" s="73">
        <f>SUM(Nov!F19+Nov!F20+Nov!F21+Nov!F22+Nov!F31+Nov!F74+Nov!F87)</f>
        <v>16007636497</v>
      </c>
      <c r="O13" s="73">
        <f>SUM(Dec!F19+Dec!F20+Dec!F21+Dec!F22+Dec!F31+Dec!F74+Dec!F87)</f>
        <v>16541896540</v>
      </c>
      <c r="P13" s="37"/>
      <c r="Q13" s="76"/>
      <c r="R13" s="7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A14" s="70">
        <v>10.0</v>
      </c>
      <c r="B14" s="78" t="s">
        <v>174</v>
      </c>
      <c r="C14" s="70">
        <f>15+1+1</f>
        <v>17</v>
      </c>
      <c r="D14" s="72">
        <f>SUM(Jan!F25+Jan!F26+Jan!F37+Jan!F50+Jan!F51+Jan!F53+Jan!F54+Jan!F55+Jan!F60+Jan!F61+Jan!F75+Jan!F76+Jan!F85+Jan!F94+Jan!F99+Jan!F105)</f>
        <v>91579697347</v>
      </c>
      <c r="E14" s="72">
        <f>SUM('Feb UPDATED'!F25+'Feb UPDATED'!F26+'Feb UPDATED'!F37+'Feb UPDATED'!F50+'Feb UPDATED'!F51+'Feb UPDATED'!F53+'Feb UPDATED'!F54+'Feb UPDATED'!F55+'Feb UPDATED'!F60+'Feb UPDATED'!F61+'Feb UPDATED'!F75+'Feb UPDATED'!F76+'Feb UPDATED'!F85+'Feb UPDATED'!F94+'Feb UPDATED'!F99+'Feb UPDATED'!F105)</f>
        <v>87592682023</v>
      </c>
      <c r="F14" s="72">
        <f>SUM(Mar!F25+Mar!F26+Mar!F37+Mar!F50+Mar!F51+Mar!F53+Mar!F54+Mar!F55+Mar!F60+Mar!F61+Mar!F75+Mar!F76+Mar!F85+Mar!F94+Mar!F99+Mar!F105)</f>
        <v>83470640328</v>
      </c>
      <c r="G14" s="72">
        <f>SUM(Apr!F25+Apr!F26+Apr!F37+Apr!F50+Apr!F51+Apr!F53+Apr!F54+Apr!F55+Apr!F60+Apr!F61+Apr!F75+Apr!F76+Apr!F85+Apr!F94+Apr!F99+Apr!F105)</f>
        <v>82346759881</v>
      </c>
      <c r="H14" s="74">
        <f>SUM(May!F25+May!F26+May!F37+May!F50+May!F51+May!F53+May!F54+May!F55+May!F60+May!F61+May!F75+May!F76+May!F85+May!F94+May!F99+May!F105)</f>
        <v>78905379069</v>
      </c>
      <c r="I14" s="74">
        <f>SUM(June!F25+June!F26+June!F37+June!F50+June!F51+June!F53+June!F54+June!F55+June!F60+June!F61+June!F75+June!F76+June!F85+June!F94+June!F99+June!F105)</f>
        <v>76546361794</v>
      </c>
      <c r="J14" s="74">
        <f>SUM(July!F25+July!F26+July!F37+July!F50+July!F51+July!F53+July!F54+July!F55+July!F60+July!F61+July!F75+July!F76+July!F85+July!F94+July!F99+July!F105)</f>
        <v>71877378117</v>
      </c>
      <c r="K14" s="74">
        <f>SUM(Aug!F25+Aug!F26+Aug!F37+Aug!F50+Aug!F51+Aug!F53+Aug!F54+Aug!F55+Aug!F60+Aug!F61+Aug!F75+Aug!F76+Aug!F85+Aug!F94+Aug!F99+Aug!F105)</f>
        <v>69973886439</v>
      </c>
      <c r="L14" s="75">
        <f>SUM(Sep!F25+Sep!F26+Sep!F37+Sep!F50+Sep!F51+Sep!F53+Sep!F54+Sep!F55+Sep!F60+Sep!F61+Sep!F75+Sep!F76+Sep!F85+Sep!F94+Sep!F99+Sep!F105+Sep!F106)</f>
        <v>66173802354</v>
      </c>
      <c r="M14" s="73">
        <f>SUM(Oct!F25+Oct!F26+Oct!F38+Oct!F51+Oct!F52+Oct!F54+Oct!F55+Oct!F56+Oct!F61+Oct!F62+Oct!F76+Oct!F77+Oct!F86+Oct!F95+Oct!F100+Oct!F106+Oct!F107)</f>
        <v>62704293917</v>
      </c>
      <c r="N14" s="73">
        <f>SUM(Nov!F25+Nov!F26+Nov!F38+Nov!F51+Nov!F52+Nov!F54+Nov!F55+Nov!F56+Nov!F61+Nov!F62+Nov!F76+Nov!F77+Nov!F88+Nov!F97+Nov!F102+Nov!F108+Nov!F109)</f>
        <v>62121239581</v>
      </c>
      <c r="O14" s="73">
        <f>SUM(Dec!F25+Dec!F26+Dec!F38+Dec!F51+Dec!F52+Dec!F54+Dec!F55+Dec!F56+Dec!F61+Dec!F62+Dec!F76+Dec!F77+Dec!F88+Dec!F97+Dec!F102+Dec!F108+Dec!F109)</f>
        <v>62230980442</v>
      </c>
      <c r="P14" s="37"/>
      <c r="Q14" s="76"/>
      <c r="R14" s="77"/>
      <c r="S14" s="37"/>
      <c r="T14" s="37"/>
      <c r="U14" s="37"/>
      <c r="V14" s="37"/>
      <c r="W14" s="37"/>
      <c r="X14" s="37"/>
      <c r="Y14" s="37"/>
      <c r="Z14" s="37"/>
    </row>
    <row r="15" ht="9.75" customHeight="1">
      <c r="A15" s="79"/>
      <c r="B15" s="37"/>
      <c r="C15" s="79"/>
      <c r="D15" s="80"/>
      <c r="E15" s="37"/>
      <c r="F15" s="37"/>
      <c r="G15" s="37"/>
      <c r="H15" s="37"/>
      <c r="I15" s="37"/>
      <c r="J15" s="37"/>
      <c r="K15" s="37"/>
      <c r="L15" s="76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24.75" customHeight="1">
      <c r="A16" s="81" t="s">
        <v>175</v>
      </c>
      <c r="C16" s="82">
        <f t="shared" ref="C16:O16" si="1">SUM(C5:C14)</f>
        <v>69</v>
      </c>
      <c r="D16" s="83">
        <f t="shared" si="1"/>
        <v>279139477741</v>
      </c>
      <c r="E16" s="83">
        <f t="shared" si="1"/>
        <v>272922930839</v>
      </c>
      <c r="F16" s="83">
        <f t="shared" si="1"/>
        <v>264280140830</v>
      </c>
      <c r="G16" s="83">
        <f t="shared" si="1"/>
        <v>263648789896</v>
      </c>
      <c r="H16" s="83">
        <f t="shared" si="1"/>
        <v>257172214128</v>
      </c>
      <c r="I16" s="83">
        <f t="shared" si="1"/>
        <v>252663004420</v>
      </c>
      <c r="J16" s="83">
        <f t="shared" si="1"/>
        <v>247426002814</v>
      </c>
      <c r="K16" s="83">
        <f t="shared" si="1"/>
        <v>242047054817</v>
      </c>
      <c r="L16" s="84">
        <f t="shared" si="1"/>
        <v>237429458947</v>
      </c>
      <c r="M16" s="83">
        <f t="shared" si="1"/>
        <v>229314921519</v>
      </c>
      <c r="N16" s="83">
        <f t="shared" si="1"/>
        <v>231165889043</v>
      </c>
      <c r="O16" s="83">
        <f t="shared" si="1"/>
        <v>232950002243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0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0" customHeight="1">
      <c r="A18" s="37"/>
      <c r="B18" s="37"/>
      <c r="C18" s="37"/>
      <c r="D18" s="76">
        <f>D16-Jan!F111</f>
        <v>0.00006103515625</v>
      </c>
      <c r="E18" s="76">
        <f>E16-'Feb UPDATED'!F111</f>
        <v>0.00003051757813</v>
      </c>
      <c r="F18" s="76">
        <f>F16-Mar!F111</f>
        <v>0.00003051757813</v>
      </c>
      <c r="G18" s="76">
        <f>G16-Apr!F111</f>
        <v>-0.00003051757813</v>
      </c>
      <c r="H18" s="76">
        <f>H16-May!F111</f>
        <v>0</v>
      </c>
      <c r="I18" s="76">
        <f>I16-June!F111</f>
        <v>0</v>
      </c>
      <c r="J18" s="76">
        <f>J16-July!F111</f>
        <v>0</v>
      </c>
      <c r="K18" s="76">
        <f>K16-Aug!F111</f>
        <v>0</v>
      </c>
      <c r="L18" s="76">
        <f>L16-Sep!F112</f>
        <v>0</v>
      </c>
      <c r="M18" s="76">
        <f>M16-Oct!F113</f>
        <v>0.00003051757813</v>
      </c>
      <c r="N18" s="76">
        <f>N16-Nov!F115</f>
        <v>0.00003051757813</v>
      </c>
      <c r="O18" s="76">
        <f>O16-Dec!F115</f>
        <v>-0.00006103515625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0" customHeight="1">
      <c r="A19" s="37"/>
      <c r="B19" s="37"/>
      <c r="C19" s="37"/>
      <c r="D19" s="80"/>
      <c r="E19" s="37"/>
      <c r="F19" s="37"/>
      <c r="G19" s="37"/>
      <c r="H19" s="37"/>
      <c r="I19" s="76"/>
      <c r="J19" s="37"/>
      <c r="K19" s="80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0" customHeight="1">
      <c r="A20" s="37"/>
      <c r="B20" s="37"/>
      <c r="C20" s="37"/>
      <c r="D20" s="80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0" customHeight="1">
      <c r="A21" s="37"/>
      <c r="B21" s="37"/>
      <c r="C21" s="37"/>
      <c r="D21" s="80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0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0" customHeight="1">
      <c r="A23" s="37"/>
      <c r="B23" s="37"/>
      <c r="C23" s="37"/>
      <c r="D23" s="37"/>
      <c r="E23" s="85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0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0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0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0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0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0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0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0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0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0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0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0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0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0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0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0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0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0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0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0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0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0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0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0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0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0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0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0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0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0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0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0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0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0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0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0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0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0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0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0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0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0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0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0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0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0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0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0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0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0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0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0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0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0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0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0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0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0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0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0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0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0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0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0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0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0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0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0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0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0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0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0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0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0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0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0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0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0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0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0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0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0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0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0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0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0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0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0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0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0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0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0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0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0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0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0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0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0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0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0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0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0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0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0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0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0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0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0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0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0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0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0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0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0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0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0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0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0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0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0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0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0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0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0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0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0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0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0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0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0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0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0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0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0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0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0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0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0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0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0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0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0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0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0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0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0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0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0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0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0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0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0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0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0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0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0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0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0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0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0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0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0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0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0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0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0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0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0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0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0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0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0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0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0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0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0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0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0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0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0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0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0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0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0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0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0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0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0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0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0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0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0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0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0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0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0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0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0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0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0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0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0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0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0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0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0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0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0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0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0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0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0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0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0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0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0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0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0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0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0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0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0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0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0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0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0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0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0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0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0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0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0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0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0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0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0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0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0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0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0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0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0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0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0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0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0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0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0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0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0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0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0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0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0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0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0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0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0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0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0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0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0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0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0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0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0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0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0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0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0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0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0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0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0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0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0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0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0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0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0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0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0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0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0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0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0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0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0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0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0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0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0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0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0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0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0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0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0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0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0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0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0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0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0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0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0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0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0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0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0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0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0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0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0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0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0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0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0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0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0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0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0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0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0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0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0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0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0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0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0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0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0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0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0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0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0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0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0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0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0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0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0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0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0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0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0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0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0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0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0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0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0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0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0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0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0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0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0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0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0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0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0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0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0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0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0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0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0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0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0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0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0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0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0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0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0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0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0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0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0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0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0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0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0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0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0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0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0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0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0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0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0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0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0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0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0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0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0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0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0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0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0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0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0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0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0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0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0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0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0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0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0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0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0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0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0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0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0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0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0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0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0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0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0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0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0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0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0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0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0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0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0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0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0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0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0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0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0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0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0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0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0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0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0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0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0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0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0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0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0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0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0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0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0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0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0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0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0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0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0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0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0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0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0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0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0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0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0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0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0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0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0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0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0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0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0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0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0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0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0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0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0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0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0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0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0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0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0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0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0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0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0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0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0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0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0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0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0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0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0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0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0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0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0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0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0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0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0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0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0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0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0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0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0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0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0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0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0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0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0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0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0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0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0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0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0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0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0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0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0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0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0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0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0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0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0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0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0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0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0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0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0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0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0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0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0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0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0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0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0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0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0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0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0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0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0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0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0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0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0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0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0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0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0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0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0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0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0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0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0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0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0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0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0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0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0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0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0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0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0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0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0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0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0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0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0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0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0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0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0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0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0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0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0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0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0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0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0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0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0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0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0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0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0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0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0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0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0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0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0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0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0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0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0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0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0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0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0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0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0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0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0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0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0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0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0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0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0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0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0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0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0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0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0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0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0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0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0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0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0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0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0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0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0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0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0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0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0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0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0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0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0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0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0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0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0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0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0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0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0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0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0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0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0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0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0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0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0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0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0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0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0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0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0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0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0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0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0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0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0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0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0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0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0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0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0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0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0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0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0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0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0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0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0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0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0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0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0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0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0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0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0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0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0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0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0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0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0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0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0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0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0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0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0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0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0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0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0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0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0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0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0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0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0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0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0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0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0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0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0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0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0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0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0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0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0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0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0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0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0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0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0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0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0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0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0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0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0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0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0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0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0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0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0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0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0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0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0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0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0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0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0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0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0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0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0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0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0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0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0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0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0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0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0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0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0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0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0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0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0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0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0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0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0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0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0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0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0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0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0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0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0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0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0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0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0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0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0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0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0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0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0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0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0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0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0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0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0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0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0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0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0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0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0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0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0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0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0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0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0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0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0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0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0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0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0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0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0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0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0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0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0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0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0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0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0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0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0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0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0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0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0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0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0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0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0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0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0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0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0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0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0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0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0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0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0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0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0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0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0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0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0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0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0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0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0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0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0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0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0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0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0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0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0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0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0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0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0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0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0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0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0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0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0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0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0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0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0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0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0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0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0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0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0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0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0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0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0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0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0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0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0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0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0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0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0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0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0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0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0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0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0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0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0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0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0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0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0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0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0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0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0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0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0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0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0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0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0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0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0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0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0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0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0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0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0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0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0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0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0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0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0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0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0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0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0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0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0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0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0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0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0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0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0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0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0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0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0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0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0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0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0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0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0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0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0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0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0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0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0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0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0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0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0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0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0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0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2">
    <mergeCell ref="A2:O2"/>
    <mergeCell ref="A16:B16"/>
  </mergeCells>
  <printOptions/>
  <pageMargins bottom="1.0" footer="0.0" header="0.0" left="0.5" right="0.5" top="1.0"/>
  <pageSetup paperSize="5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.25"/>
    <col customWidth="1" min="2" max="2" width="10.5"/>
    <col customWidth="1" min="3" max="3" width="10.13"/>
    <col customWidth="1" min="4" max="4" width="16.5"/>
    <col customWidth="1" min="5" max="5" width="19.0"/>
    <col customWidth="1" min="6" max="6" width="21.5"/>
    <col customWidth="1" min="7" max="7" width="24.75"/>
    <col customWidth="1" min="8" max="8" width="16.88"/>
    <col customWidth="1" min="9" max="9" width="13.13"/>
    <col customWidth="1" min="10" max="10" width="8.75"/>
    <col customWidth="1" min="11" max="11" width="18.63"/>
    <col customWidth="1" min="12" max="12" width="17.5"/>
    <col customWidth="1" min="13" max="26" width="8.75"/>
  </cols>
  <sheetData>
    <row r="1" ht="15.0" customHeight="1">
      <c r="A1" s="65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86" t="s">
        <v>176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6.2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24.75" customHeight="1">
      <c r="A4" s="87" t="s">
        <v>150</v>
      </c>
      <c r="B4" s="87" t="s">
        <v>151</v>
      </c>
      <c r="C4" s="87" t="s">
        <v>152</v>
      </c>
      <c r="D4" s="88" t="s">
        <v>177</v>
      </c>
      <c r="E4" s="88" t="s">
        <v>178</v>
      </c>
      <c r="F4" s="87" t="s">
        <v>15</v>
      </c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19.5" customHeight="1">
      <c r="A5" s="70">
        <v>1.0</v>
      </c>
      <c r="B5" s="71" t="s">
        <v>165</v>
      </c>
      <c r="C5" s="70">
        <f>8+2</f>
        <v>10</v>
      </c>
      <c r="D5" s="73">
        <f>SUM(Dec!L10+Dec!L11+Dec!L24+Dec!L37+Dec!L43+Dec!L44+Dec!L68+Dec!L75+Dec!L79+Dec!L83)</f>
        <v>2207141887</v>
      </c>
      <c r="E5" s="73">
        <f>SUM(Dec!M10+Dec!M11+Dec!M24+Dec!M37+Dec!M43+Dec!M44+Dec!M68+Dec!M75+Dec!M79+Dec!M83)</f>
        <v>968758288.4</v>
      </c>
      <c r="F5" s="89">
        <f t="shared" ref="F5:F14" si="1">D5-E5</f>
        <v>1238383598</v>
      </c>
      <c r="G5" s="77"/>
      <c r="H5" s="77"/>
      <c r="I5" s="7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9.5" customHeight="1">
      <c r="A6" s="70">
        <v>2.0</v>
      </c>
      <c r="B6" s="78" t="s">
        <v>166</v>
      </c>
      <c r="C6" s="70">
        <f>8+1+9</f>
        <v>18</v>
      </c>
      <c r="D6" s="73">
        <f>SUM(Dec!L9+Dec!L17+Dec!L18+Dec!L23+Dec!L32+Dec!L48+Dec!L49+Dec!L50+Dec!L60+Dec!L67+Dec!L70+Dec!L72+Dec!L73+Dec!L82+Dec!L85+Dec!L86+Dec!L90+Dec!L95+Dec!L99+Dec!L107+Dec!L112)</f>
        <v>28563238317</v>
      </c>
      <c r="E6" s="73">
        <f>SUM(Dec!M9+Dec!M17+Dec!M18+Dec!M23+Dec!M32+Dec!M48+Dec!M49+Dec!M50+Dec!M60+Dec!M67+Dec!M70+Dec!M72+Dec!M73+Dec!M82+Dec!M85+Dec!M86+Dec!M90+Dec!M95+Dec!M99+Dec!M107+Dec!M112)</f>
        <v>42775537145</v>
      </c>
      <c r="F6" s="89">
        <f t="shared" si="1"/>
        <v>-14212298828</v>
      </c>
      <c r="G6" s="77"/>
      <c r="H6" s="77"/>
      <c r="I6" s="77"/>
      <c r="J6" s="37"/>
      <c r="K6" s="77"/>
      <c r="L6" s="7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9.5" customHeight="1">
      <c r="A7" s="70">
        <v>3.0</v>
      </c>
      <c r="B7" s="78" t="s">
        <v>167</v>
      </c>
      <c r="C7" s="70">
        <v>3.0</v>
      </c>
      <c r="D7" s="73">
        <f>SUM(Dec!L27+Dec!L59+Dec!L69)</f>
        <v>235722973.6</v>
      </c>
      <c r="E7" s="73">
        <f>SUM(Dec!M27+Dec!M59+Dec!M69)</f>
        <v>360021197.2</v>
      </c>
      <c r="F7" s="89">
        <f t="shared" si="1"/>
        <v>-124298223.6</v>
      </c>
      <c r="G7" s="77"/>
      <c r="H7" s="77"/>
      <c r="I7" s="7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9.5" customHeight="1">
      <c r="A8" s="70">
        <v>4.0</v>
      </c>
      <c r="B8" s="78" t="s">
        <v>168</v>
      </c>
      <c r="C8" s="70">
        <v>1.0</v>
      </c>
      <c r="D8" s="73">
        <f>Dec!L12</f>
        <v>11120389.52</v>
      </c>
      <c r="E8" s="73">
        <f>Dec!M12</f>
        <v>4374202.53</v>
      </c>
      <c r="F8" s="89">
        <f t="shared" si="1"/>
        <v>6746186.99</v>
      </c>
      <c r="G8" s="77"/>
      <c r="H8" s="77"/>
      <c r="I8" s="7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9.5" customHeight="1">
      <c r="A9" s="70">
        <v>5.0</v>
      </c>
      <c r="B9" s="78" t="s">
        <v>169</v>
      </c>
      <c r="C9" s="70">
        <f>1+1</f>
        <v>2</v>
      </c>
      <c r="D9" s="73">
        <f>Dec!L29+Dec!L30</f>
        <v>245830735.1</v>
      </c>
      <c r="E9" s="73">
        <f>Dec!M29+Dec!M30</f>
        <v>17220734.21</v>
      </c>
      <c r="F9" s="89">
        <f t="shared" si="1"/>
        <v>228610000.8</v>
      </c>
      <c r="G9" s="77"/>
      <c r="H9" s="77"/>
      <c r="I9" s="7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9.5" customHeight="1">
      <c r="A10" s="70">
        <v>6.0</v>
      </c>
      <c r="B10" s="78" t="s">
        <v>170</v>
      </c>
      <c r="C10" s="70">
        <v>9.0</v>
      </c>
      <c r="D10" s="73">
        <f>SUM(Dec!L13+Dec!L14+Dec!L15+Dec!L34+Dec!L45+Dec!L46+Dec!L71+Dec!L84+Dec!L96)</f>
        <v>3470088248</v>
      </c>
      <c r="E10" s="73">
        <f>SUM(Dec!M13+Dec!M14+Dec!M15+Dec!M34+Dec!M45+Dec!M46+Dec!M71+Dec!M84+Dec!M96)</f>
        <v>3314618017</v>
      </c>
      <c r="F10" s="89">
        <f t="shared" si="1"/>
        <v>155470231.3</v>
      </c>
      <c r="G10" s="77"/>
      <c r="H10" s="77"/>
      <c r="I10" s="7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9.5" customHeight="1">
      <c r="A11" s="70">
        <v>7.0</v>
      </c>
      <c r="B11" s="78" t="s">
        <v>171</v>
      </c>
      <c r="C11" s="70">
        <v>1.0</v>
      </c>
      <c r="D11" s="73">
        <f>Dec!L16</f>
        <v>100241.49</v>
      </c>
      <c r="E11" s="73">
        <f>Dec!M16</f>
        <v>2461357.93</v>
      </c>
      <c r="F11" s="89">
        <f t="shared" si="1"/>
        <v>-2361116.44</v>
      </c>
      <c r="G11" s="77"/>
      <c r="H11" s="77"/>
      <c r="I11" s="7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9.5" customHeight="1">
      <c r="A12" s="70">
        <v>8.0</v>
      </c>
      <c r="B12" s="78" t="s">
        <v>172</v>
      </c>
      <c r="C12" s="70">
        <v>1.0</v>
      </c>
      <c r="D12" s="73">
        <f>Dec!L47</f>
        <v>0</v>
      </c>
      <c r="E12" s="73">
        <f>Dec!M47</f>
        <v>12922215.75</v>
      </c>
      <c r="F12" s="89">
        <f t="shared" si="1"/>
        <v>-12922215.75</v>
      </c>
      <c r="G12" s="77"/>
      <c r="H12" s="77"/>
      <c r="I12" s="7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A13" s="70">
        <v>9.0</v>
      </c>
      <c r="B13" s="78" t="s">
        <v>173</v>
      </c>
      <c r="C13" s="70">
        <f>6+1</f>
        <v>7</v>
      </c>
      <c r="D13" s="73">
        <f>SUM(Dec!L19+Dec!L20+Dec!L21+Dec!L22+Dec!L31+Dec!L74+Dec!L87)</f>
        <v>717365673.8</v>
      </c>
      <c r="E13" s="73">
        <f>SUM(Dec!M19+Dec!M20+Dec!M21+Dec!M22+Dec!M31+Dec!M74+Dec!M87)</f>
        <v>1162337489</v>
      </c>
      <c r="F13" s="89">
        <f t="shared" si="1"/>
        <v>-444971815.3</v>
      </c>
      <c r="G13" s="77"/>
      <c r="H13" s="77"/>
      <c r="I13" s="7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A14" s="70">
        <v>10.0</v>
      </c>
      <c r="B14" s="78" t="s">
        <v>174</v>
      </c>
      <c r="C14" s="70">
        <f>15+1+1</f>
        <v>17</v>
      </c>
      <c r="D14" s="73">
        <f>SUM(Dec!L25+Dec!L26+Dec!L38+Dec!L51+Dec!L52+Dec!L54+Dec!L55+Dec!L56+Dec!L61+Dec!L62+Dec!L76+Dec!L77+Dec!L88+Dec!L97+Dec!L102+Dec!L108+Dec!L109)</f>
        <v>30814554764</v>
      </c>
      <c r="E14" s="73">
        <f>SUM(Dec!M25+Dec!M26+Dec!M38+Dec!M51+Dec!M52+Dec!M54+Dec!M55+Dec!M56+Dec!M61+Dec!M62+Dec!M76+Dec!M77+Dec!M88+Dec!M97+Dec!M102+Dec!M108+Dec!M109)</f>
        <v>69475184532</v>
      </c>
      <c r="F14" s="89">
        <f t="shared" si="1"/>
        <v>-38660629768</v>
      </c>
      <c r="G14" s="77"/>
      <c r="H14" s="77"/>
      <c r="I14" s="77"/>
      <c r="J14" s="37"/>
      <c r="K14" s="90"/>
      <c r="L14" s="91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9.75" customHeight="1">
      <c r="A15" s="79"/>
      <c r="B15" s="37"/>
      <c r="C15" s="79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24.75" customHeight="1">
      <c r="A16" s="81" t="s">
        <v>175</v>
      </c>
      <c r="C16" s="82">
        <f t="shared" ref="C16:F16" si="2">SUM(C5:C14)</f>
        <v>69</v>
      </c>
      <c r="D16" s="83">
        <f t="shared" si="2"/>
        <v>66265163230</v>
      </c>
      <c r="E16" s="83">
        <f t="shared" si="2"/>
        <v>118093435178</v>
      </c>
      <c r="F16" s="83">
        <f t="shared" si="2"/>
        <v>-51828271949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0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0" customHeight="1">
      <c r="A18" s="37"/>
      <c r="B18" s="37"/>
      <c r="C18" s="37"/>
      <c r="D18" s="76">
        <f>D16-Dec!L115</f>
        <v>0</v>
      </c>
      <c r="E18" s="76">
        <f>E16-Dec!M115</f>
        <v>0</v>
      </c>
      <c r="F18" s="76">
        <f>F16-Dec!N115</f>
        <v>0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0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0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0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0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0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0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0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0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0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0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0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0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0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0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0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0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0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0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0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0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0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0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0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0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0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0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0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0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0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0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0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0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0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0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0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0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0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0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0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0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0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0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0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0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0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0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0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0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0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0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0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0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0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0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0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0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0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0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0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0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0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0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0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0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0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0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0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0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0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0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0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0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0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0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0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0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0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0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0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0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0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0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0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0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0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0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0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0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0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0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0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0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0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0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0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0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0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0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0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0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0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0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0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0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0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0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0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0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0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0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0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0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0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0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0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0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0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0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0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0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0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0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0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0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0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0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0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0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0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0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0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0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0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0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0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0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0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0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0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0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0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0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0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0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0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0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0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0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0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0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0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0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0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0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0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0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0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0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0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0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0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0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0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0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0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0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0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0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0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0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0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0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0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0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0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0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0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0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0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0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0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0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0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0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0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0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0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0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0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0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0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0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0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0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0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0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0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0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0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0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0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0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0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0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0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0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0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0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0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0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0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0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0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0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0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0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0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0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0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0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0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0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0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0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0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0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0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0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0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0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0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0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0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0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0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0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0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0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0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0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0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0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0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0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0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0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0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0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0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0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0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0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0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0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0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0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0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0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0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0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0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0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0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0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0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0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0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0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0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0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0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0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0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0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0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0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0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0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0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0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0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0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0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0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0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0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0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0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0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0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0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0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0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0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0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0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0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0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0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0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0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0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0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0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0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0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0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0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0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0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0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0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0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0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0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0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0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0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0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0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0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0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0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0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0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0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0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0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0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0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0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0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0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0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0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0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0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0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0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0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0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0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0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0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0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0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0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0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0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0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0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0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0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0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0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0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0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0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0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0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0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0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0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0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0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0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0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0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0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0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0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0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0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0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0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0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0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0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0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0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0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0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0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0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0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0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0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0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0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0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0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0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0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0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0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0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0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0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0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0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0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0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0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0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0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0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0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0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0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0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0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0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0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0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0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0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0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0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0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0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0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0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0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0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0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0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0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0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0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0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0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0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0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0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0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0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0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0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0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0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0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0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0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0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0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0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0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0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0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0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0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0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0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0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0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0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0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0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0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0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0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0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0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0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0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0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0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0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0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0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0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0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0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0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0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0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0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0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0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0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0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0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0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0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0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0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0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0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0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0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0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0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0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0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0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0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0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0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0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0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0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0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0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0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0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0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0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0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0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0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0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0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0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0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0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0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0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0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0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0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0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0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0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0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0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0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0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0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0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0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0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0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0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0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0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0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0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0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0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0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0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0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0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0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0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0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0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0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0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0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0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0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0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0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0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0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0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0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0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0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0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0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0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0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0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0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0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0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0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0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0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0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0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0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0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0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0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0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0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0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0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0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0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0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0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0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0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0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0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0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0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0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0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0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0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0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0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0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0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0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0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0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0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0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0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0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0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0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0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0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0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0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0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0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0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0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0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0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0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0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0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0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0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0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0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0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0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0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0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0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0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0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0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0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0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0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0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0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0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0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0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0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0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0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0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0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0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0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0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0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0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0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0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0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0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0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0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0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0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0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0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0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0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0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0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0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0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0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0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0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0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0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0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0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0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0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0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0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0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0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0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0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0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0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0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0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0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0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0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0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0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0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0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0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0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0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0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0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0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0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0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0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0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0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0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0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0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0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0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0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0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0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0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0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0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0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0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0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0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0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0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0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0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0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0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0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0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0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0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0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0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0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0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0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0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0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0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0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0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0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0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0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0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0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0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0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0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0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0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0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0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0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0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0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0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0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0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0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0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0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0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0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0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0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0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0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0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0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0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0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0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0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0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0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0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0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0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0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0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0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0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0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0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0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0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0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0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0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0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0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0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0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0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0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0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0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0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0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0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0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0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0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0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0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0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0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0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0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0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0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0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0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0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0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0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0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0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0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0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0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0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0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0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0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0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0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0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0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0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0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0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0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0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0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0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0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0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0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0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0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0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0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0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0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0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0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0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0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0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0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0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0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0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0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0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0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0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0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0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0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0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0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0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0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0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0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0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0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0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0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0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0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0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0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0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0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0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0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0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0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0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0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0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0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0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0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0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0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0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0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0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0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0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0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0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0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0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0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0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0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0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0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0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0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0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0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0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0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0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0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0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0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0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0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0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0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0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0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0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0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0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0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0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0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0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0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0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0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0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0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0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0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0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0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0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0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0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0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0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0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0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0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0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0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0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0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0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0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0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0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0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0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0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0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0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0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0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0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0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0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0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0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0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0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0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0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0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0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0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0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0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0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0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0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0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0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0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0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0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0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0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0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">
    <mergeCell ref="A16:B16"/>
  </mergeCells>
  <printOptions/>
  <pageMargins bottom="1.0" footer="0.0" header="0.0" left="1.0" right="1.0" top="1.0"/>
  <pageSetup paperSize="5" scale="80" orientation="portrait"/>
  <drawing r:id="rId1"/>
</worksheet>
</file>