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7.xml" ContentType="application/vnd.openxmlformats-officedocument.drawing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8.xml" ContentType="application/vnd.openxmlformats-officedocument.drawing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3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3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2.xml" ContentType="application/vnd.openxmlformats-officedocument.drawing+xml"/>
  <Override PartName="/xl/charts/chart3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+xml"/>
  <Override PartName="/xl/charts/chart3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4.xml" ContentType="application/vnd.openxmlformats-officedocument.drawing+xml"/>
  <Override PartName="/xl/charts/chart4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7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8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30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1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32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3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34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35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lesi\Desktop\Kevin Fre\markups-kevin\project_chiken\"/>
    </mc:Choice>
  </mc:AlternateContent>
  <bookViews>
    <workbookView xWindow="0" yWindow="0" windowWidth="20490" windowHeight="7050" tabRatio="921" activeTab="1"/>
  </bookViews>
  <sheets>
    <sheet name="АД исход данных" sheetId="4" r:id="rId1"/>
    <sheet name="Тит лист" sheetId="1" r:id="rId2"/>
    <sheet name="Выводы" sheetId="114" r:id="rId3"/>
    <sheet name="анализ врем ряда" sheetId="85" r:id="rId4"/>
    <sheet name="анализ У от Х1" sheetId="69" r:id="rId5"/>
    <sheet name="анализ У от Х2" sheetId="92" r:id="rId6"/>
    <sheet name="анализ У от Х3" sheetId="94" r:id="rId7"/>
    <sheet name="анализ У от Х4" sheetId="99" r:id="rId8"/>
    <sheet name="анализ У от Х5" sheetId="102" r:id="rId9"/>
    <sheet name="анализ У от Х6" sheetId="105" r:id="rId10"/>
    <sheet name="анализ Многофак" sheetId="108" r:id="rId11"/>
    <sheet name="анализ Y от t-1" sheetId="119" r:id="rId12"/>
    <sheet name="анализ Y от t-2" sheetId="121" r:id="rId13"/>
    <sheet name="Мультикол (коррел)" sheetId="111" r:id="rId14"/>
    <sheet name="Исслед сезон" sheetId="5" r:id="rId15"/>
    <sheet name="Тренд (лин)" sheetId="70" r:id="rId16"/>
    <sheet name="Y от Х5 и Х6" sheetId="112" r:id="rId17"/>
    <sheet name="Y от Х6" sheetId="106" r:id="rId18"/>
    <sheet name="Y от Х5" sheetId="103" r:id="rId19"/>
    <sheet name="Y от Х4" sheetId="100" r:id="rId20"/>
    <sheet name="Y от Х3" sheetId="95" r:id="rId21"/>
    <sheet name="Y от Х2" sheetId="93" r:id="rId22"/>
    <sheet name="Y от Х1" sheetId="90" r:id="rId23"/>
    <sheet name="Y от t-1" sheetId="118" r:id="rId24"/>
    <sheet name="Y от t-2" sheetId="117" r:id="rId25"/>
    <sheet name="все Х" sheetId="110" r:id="rId26"/>
    <sheet name="АД Y от Х5 и Х6" sheetId="113" r:id="rId27"/>
    <sheet name="АД Y от t-1" sheetId="120" r:id="rId28"/>
    <sheet name="АД Y от t-2" sheetId="122" r:id="rId29"/>
    <sheet name="АД Y от Х6" sheetId="107" r:id="rId30"/>
    <sheet name="АД Y от Х5" sheetId="104" r:id="rId31"/>
    <sheet name="АД Y от Х4" sheetId="101" r:id="rId32"/>
    <sheet name="АД Y от Х3" sheetId="97" r:id="rId33"/>
    <sheet name="АД Y от Х2" sheetId="96" r:id="rId34"/>
    <sheet name="АД Y от Х1" sheetId="91" r:id="rId35"/>
    <sheet name="АД тренд (лин)" sheetId="71" r:id="rId36"/>
    <sheet name="r1 ВР" sheetId="6" r:id="rId37"/>
    <sheet name="r2 ВР" sheetId="7" r:id="rId38"/>
    <sheet name="r3 ВР" sheetId="8" r:id="rId39"/>
    <sheet name="r4 ВР" sheetId="9" r:id="rId40"/>
    <sheet name="r5 ВР" sheetId="10" r:id="rId41"/>
    <sheet name="r6 ВР" sheetId="11" r:id="rId42"/>
    <sheet name="r7 ВР" sheetId="12" r:id="rId43"/>
    <sheet name="r8 ВР" sheetId="14" r:id="rId44"/>
    <sheet name="r9 ВР" sheetId="15" r:id="rId45"/>
    <sheet name="r10 ВР" sheetId="13" r:id="rId46"/>
    <sheet name="r11 ВР" sheetId="16" r:id="rId47"/>
    <sheet name="r12 ВР" sheetId="17" r:id="rId48"/>
    <sheet name="r13 ВР" sheetId="18" r:id="rId49"/>
    <sheet name="r14 ВР" sheetId="19" r:id="rId50"/>
    <sheet name="r15 ВР" sheetId="20" r:id="rId51"/>
    <sheet name="r16 ВР" sheetId="21" r:id="rId52"/>
    <sheet name="r17 ВР" sheetId="22" r:id="rId53"/>
    <sheet name="r18 ВР" sheetId="23" r:id="rId54"/>
    <sheet name="r19 ВР" sheetId="24" r:id="rId55"/>
    <sheet name="r20 ВР" sheetId="25" r:id="rId56"/>
    <sheet name="r21 ВР" sheetId="26" r:id="rId57"/>
    <sheet name="r22 ВР" sheetId="27" r:id="rId58"/>
    <sheet name="r23 ВР" sheetId="28" r:id="rId59"/>
    <sheet name="r24 ВР" sheetId="36" r:id="rId60"/>
    <sheet name="r25 ВР" sheetId="37" r:id="rId61"/>
    <sheet name="r26 ВР" sheetId="38" r:id="rId62"/>
    <sheet name="r27 ВР" sheetId="39" r:id="rId63"/>
    <sheet name="r28 ВР" sheetId="40" r:id="rId64"/>
    <sheet name="r29 ВР" sheetId="41" r:id="rId65"/>
    <sheet name="r30 ВР" sheetId="42" r:id="rId66"/>
    <sheet name="r31 ВР" sheetId="43" r:id="rId67"/>
    <sheet name="r32 ВР" sheetId="44" r:id="rId68"/>
    <sheet name="r33 ВР" sheetId="45" r:id="rId69"/>
    <sheet name="r34 ВР" sheetId="46" r:id="rId70"/>
    <sheet name="r35 ВР" sheetId="47" r:id="rId71"/>
    <sheet name="r36 ВР" sheetId="48" r:id="rId72"/>
    <sheet name="r37 ВР" sheetId="49" r:id="rId73"/>
    <sheet name="r38 ВР" sheetId="50" r:id="rId74"/>
    <sheet name="r39 ВР" sheetId="51" r:id="rId75"/>
    <sheet name="r40 ВР" sheetId="52" r:id="rId76"/>
    <sheet name="r41 ВР" sheetId="53" r:id="rId77"/>
    <sheet name="r42 ВР" sheetId="54" r:id="rId78"/>
    <sheet name="r43 ВР" sheetId="55" r:id="rId79"/>
    <sheet name="r44 ВР" sheetId="56" r:id="rId80"/>
    <sheet name="r45 ВР" sheetId="57" r:id="rId81"/>
    <sheet name="r46 ВР" sheetId="58" r:id="rId82"/>
    <sheet name="r47 ВР" sheetId="61" r:id="rId83"/>
    <sheet name="r48 ВР" sheetId="62" r:id="rId84"/>
    <sheet name="r49 ВР" sheetId="63" r:id="rId85"/>
    <sheet name="r50 ВР" sheetId="64" r:id="rId86"/>
    <sheet name="r51 ВР" sheetId="65" r:id="rId87"/>
    <sheet name="r52ВР" sheetId="66" r:id="rId88"/>
    <sheet name="r53 ВР" sheetId="67" r:id="rId89"/>
    <sheet name="r54 ВР" sheetId="68" r:id="rId90"/>
  </sheets>
  <calcPr calcId="152511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8" i="105" l="1"/>
  <c r="I4" i="70"/>
  <c r="N12" i="114" l="1"/>
  <c r="O12" i="114" s="1"/>
  <c r="N11" i="114"/>
  <c r="O11" i="114" s="1"/>
  <c r="M12" i="114"/>
  <c r="M11" i="114"/>
  <c r="K12" i="114"/>
  <c r="K11" i="114"/>
  <c r="I11" i="114"/>
  <c r="J11" i="114" s="1"/>
  <c r="H12" i="114"/>
  <c r="J12" i="114"/>
  <c r="I12" i="114"/>
  <c r="F12" i="114"/>
  <c r="H11" i="114"/>
  <c r="F11" i="114"/>
  <c r="E12" i="114"/>
  <c r="E11" i="114"/>
  <c r="D12" i="114"/>
  <c r="D11" i="114"/>
  <c r="B47" i="121"/>
  <c r="B28" i="119"/>
  <c r="B28" i="121"/>
  <c r="B27" i="121"/>
  <c r="B26" i="121"/>
  <c r="R25" i="121"/>
  <c r="Q25" i="121"/>
  <c r="P25" i="121"/>
  <c r="O25" i="121"/>
  <c r="N25" i="121"/>
  <c r="M25" i="121"/>
  <c r="L25" i="121"/>
  <c r="K25" i="121"/>
  <c r="J25" i="121"/>
  <c r="I25" i="121"/>
  <c r="H25" i="121"/>
  <c r="G25" i="121"/>
  <c r="F25" i="121"/>
  <c r="E25" i="121"/>
  <c r="D25" i="121"/>
  <c r="C25" i="121"/>
  <c r="B25" i="121"/>
  <c r="A25" i="121"/>
  <c r="A18" i="121"/>
  <c r="A18" i="119"/>
  <c r="C18" i="121"/>
  <c r="B47" i="99"/>
  <c r="B47" i="119"/>
  <c r="B26" i="119"/>
  <c r="C38" i="108"/>
  <c r="F25" i="119"/>
  <c r="E25" i="119"/>
  <c r="D25" i="119"/>
  <c r="C25" i="119"/>
  <c r="B25" i="119"/>
  <c r="A25" i="119"/>
  <c r="B27" i="119" s="1"/>
  <c r="C18" i="119"/>
  <c r="Q15" i="117"/>
  <c r="P15" i="118"/>
  <c r="H6" i="118"/>
  <c r="H7" i="118"/>
  <c r="G5" i="118"/>
  <c r="G6" i="118"/>
  <c r="F5" i="118"/>
  <c r="F6" i="118"/>
  <c r="L5" i="118"/>
  <c r="L6" i="118"/>
  <c r="L7" i="118"/>
  <c r="L8" i="118"/>
  <c r="M8" i="118" s="1"/>
  <c r="L9" i="118"/>
  <c r="M9" i="118" s="1"/>
  <c r="L10" i="118"/>
  <c r="M10" i="118" s="1"/>
  <c r="L11" i="118"/>
  <c r="L12" i="118"/>
  <c r="M12" i="118" s="1"/>
  <c r="L13" i="118"/>
  <c r="M13" i="118" s="1"/>
  <c r="L14" i="118"/>
  <c r="M14" i="118" s="1"/>
  <c r="L15" i="118"/>
  <c r="L16" i="118"/>
  <c r="M16" i="118" s="1"/>
  <c r="L17" i="118"/>
  <c r="M17" i="118" s="1"/>
  <c r="L18" i="118"/>
  <c r="M18" i="118" s="1"/>
  <c r="L19" i="118"/>
  <c r="L20" i="118"/>
  <c r="M20" i="118" s="1"/>
  <c r="L21" i="118"/>
  <c r="M21" i="118" s="1"/>
  <c r="L22" i="118"/>
  <c r="M22" i="118" s="1"/>
  <c r="L23" i="118"/>
  <c r="L24" i="118"/>
  <c r="M24" i="118" s="1"/>
  <c r="L25" i="118"/>
  <c r="M25" i="118" s="1"/>
  <c r="L26" i="118"/>
  <c r="M26" i="118" s="1"/>
  <c r="L27" i="118"/>
  <c r="L28" i="118"/>
  <c r="M28" i="118" s="1"/>
  <c r="L29" i="118"/>
  <c r="M29" i="118" s="1"/>
  <c r="L30" i="118"/>
  <c r="M30" i="118" s="1"/>
  <c r="L31" i="118"/>
  <c r="L32" i="118"/>
  <c r="M32" i="118" s="1"/>
  <c r="L33" i="118"/>
  <c r="M33" i="118" s="1"/>
  <c r="L34" i="118"/>
  <c r="M34" i="118" s="1"/>
  <c r="L35" i="118"/>
  <c r="L36" i="118"/>
  <c r="M36" i="118" s="1"/>
  <c r="L37" i="118"/>
  <c r="M37" i="118" s="1"/>
  <c r="L38" i="118"/>
  <c r="M38" i="118" s="1"/>
  <c r="L39" i="118"/>
  <c r="L40" i="118"/>
  <c r="M40" i="118" s="1"/>
  <c r="L41" i="118"/>
  <c r="M41" i="118" s="1"/>
  <c r="L42" i="118"/>
  <c r="M42" i="118" s="1"/>
  <c r="L43" i="118"/>
  <c r="L44" i="118"/>
  <c r="M44" i="118" s="1"/>
  <c r="L45" i="118"/>
  <c r="M45" i="118" s="1"/>
  <c r="L46" i="118"/>
  <c r="M46" i="118" s="1"/>
  <c r="L47" i="118"/>
  <c r="L48" i="118"/>
  <c r="M48" i="118" s="1"/>
  <c r="L49" i="118"/>
  <c r="M49" i="118" s="1"/>
  <c r="L50" i="118"/>
  <c r="M50" i="118" s="1"/>
  <c r="L51" i="118"/>
  <c r="L52" i="118"/>
  <c r="M52" i="118" s="1"/>
  <c r="L53" i="118"/>
  <c r="M53" i="118" s="1"/>
  <c r="L54" i="118"/>
  <c r="M54" i="118" s="1"/>
  <c r="L55" i="118"/>
  <c r="L56" i="118"/>
  <c r="M56" i="118" s="1"/>
  <c r="L57" i="118"/>
  <c r="M57" i="118" s="1"/>
  <c r="L58" i="118"/>
  <c r="M58" i="118" s="1"/>
  <c r="L59" i="118"/>
  <c r="L60" i="118"/>
  <c r="M60" i="118" s="1"/>
  <c r="L4" i="118"/>
  <c r="M4" i="118" s="1"/>
  <c r="M5" i="117"/>
  <c r="M6" i="117"/>
  <c r="M7" i="117"/>
  <c r="M8" i="117"/>
  <c r="M9" i="117"/>
  <c r="M10" i="117"/>
  <c r="M11" i="117"/>
  <c r="M12" i="117"/>
  <c r="M13" i="117"/>
  <c r="M14" i="117"/>
  <c r="M15" i="117"/>
  <c r="M16" i="117"/>
  <c r="M17" i="117"/>
  <c r="M18" i="117"/>
  <c r="M19" i="117"/>
  <c r="M20" i="117"/>
  <c r="M21" i="117"/>
  <c r="M22" i="117"/>
  <c r="M23" i="117"/>
  <c r="M24" i="117"/>
  <c r="M25" i="117"/>
  <c r="M26" i="117"/>
  <c r="M27" i="117"/>
  <c r="M28" i="117"/>
  <c r="M29" i="117"/>
  <c r="M30" i="117"/>
  <c r="M31" i="117"/>
  <c r="M32" i="117"/>
  <c r="M33" i="117"/>
  <c r="M34" i="117"/>
  <c r="M35" i="117"/>
  <c r="M36" i="117"/>
  <c r="M37" i="117"/>
  <c r="M38" i="117"/>
  <c r="M39" i="117"/>
  <c r="M40" i="117"/>
  <c r="M41" i="117"/>
  <c r="M42" i="117"/>
  <c r="M43" i="117"/>
  <c r="M44" i="117"/>
  <c r="M45" i="117"/>
  <c r="M46" i="117"/>
  <c r="M47" i="117"/>
  <c r="M48" i="117"/>
  <c r="M49" i="117"/>
  <c r="M50" i="117"/>
  <c r="M51" i="117"/>
  <c r="M52" i="117"/>
  <c r="M53" i="117"/>
  <c r="M54" i="117"/>
  <c r="M55" i="117"/>
  <c r="M56" i="117"/>
  <c r="M57" i="117"/>
  <c r="M58" i="117"/>
  <c r="M59" i="117"/>
  <c r="M4" i="117"/>
  <c r="E5" i="118"/>
  <c r="E6" i="118"/>
  <c r="D6" i="118"/>
  <c r="D7" i="118"/>
  <c r="D8" i="118"/>
  <c r="D9" i="118"/>
  <c r="D10" i="118"/>
  <c r="D11" i="118"/>
  <c r="D12" i="118"/>
  <c r="D13" i="118"/>
  <c r="D14" i="118"/>
  <c r="D15" i="118"/>
  <c r="D16" i="118"/>
  <c r="D17" i="118"/>
  <c r="D18" i="118"/>
  <c r="D19" i="118"/>
  <c r="D20" i="118"/>
  <c r="D21" i="118"/>
  <c r="D22" i="118"/>
  <c r="D23" i="118"/>
  <c r="D24" i="118"/>
  <c r="D25" i="118"/>
  <c r="D26" i="118"/>
  <c r="D27" i="118"/>
  <c r="D28" i="118"/>
  <c r="D29" i="118"/>
  <c r="D30" i="118"/>
  <c r="D31" i="118"/>
  <c r="D32" i="118"/>
  <c r="D33" i="118"/>
  <c r="D34" i="118"/>
  <c r="D35" i="118"/>
  <c r="D36" i="118"/>
  <c r="D37" i="118"/>
  <c r="D38" i="118"/>
  <c r="D39" i="118"/>
  <c r="D40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D60" i="118"/>
  <c r="D61" i="118"/>
  <c r="D5" i="118"/>
  <c r="P10" i="118"/>
  <c r="P4" i="118"/>
  <c r="P5" i="118"/>
  <c r="P18" i="118" a="1"/>
  <c r="P18" i="118"/>
  <c r="Q18" i="118"/>
  <c r="P19" i="118"/>
  <c r="Q19" i="118"/>
  <c r="P20" i="118"/>
  <c r="Q20" i="118"/>
  <c r="P21" i="118"/>
  <c r="Q21" i="118"/>
  <c r="P22" i="118"/>
  <c r="Q22" i="118"/>
  <c r="B63" i="118"/>
  <c r="B62" i="118"/>
  <c r="C61" i="118"/>
  <c r="C60" i="118"/>
  <c r="M59" i="118"/>
  <c r="C59" i="118"/>
  <c r="C58" i="118"/>
  <c r="C57" i="118"/>
  <c r="C56" i="118"/>
  <c r="M55" i="118"/>
  <c r="C55" i="118"/>
  <c r="C54" i="118"/>
  <c r="C53" i="118"/>
  <c r="C52" i="118"/>
  <c r="M51" i="118"/>
  <c r="C51" i="118"/>
  <c r="C50" i="118"/>
  <c r="C49" i="118"/>
  <c r="C48" i="118"/>
  <c r="M47" i="118"/>
  <c r="C47" i="118"/>
  <c r="C46" i="118"/>
  <c r="C45" i="118"/>
  <c r="C44" i="118"/>
  <c r="M43" i="118"/>
  <c r="C43" i="118"/>
  <c r="C42" i="118"/>
  <c r="C41" i="118"/>
  <c r="C40" i="118"/>
  <c r="M39" i="118"/>
  <c r="C39" i="118"/>
  <c r="C38" i="118"/>
  <c r="C37" i="118"/>
  <c r="C36" i="118"/>
  <c r="M35" i="118"/>
  <c r="C35" i="118"/>
  <c r="C34" i="118"/>
  <c r="C33" i="118"/>
  <c r="C32" i="118"/>
  <c r="M31" i="118"/>
  <c r="C31" i="118"/>
  <c r="C30" i="118"/>
  <c r="C29" i="118"/>
  <c r="C28" i="118"/>
  <c r="M27" i="118"/>
  <c r="C27" i="118"/>
  <c r="C26" i="118"/>
  <c r="C25" i="118"/>
  <c r="C24" i="118"/>
  <c r="M23" i="118"/>
  <c r="C23" i="118"/>
  <c r="C22" i="118"/>
  <c r="C21" i="118"/>
  <c r="C20" i="118"/>
  <c r="M19" i="118"/>
  <c r="C19" i="118"/>
  <c r="C18" i="118"/>
  <c r="C17" i="118"/>
  <c r="C16" i="118"/>
  <c r="M15" i="118"/>
  <c r="C15" i="118"/>
  <c r="C14" i="118"/>
  <c r="C13" i="118"/>
  <c r="C12" i="118"/>
  <c r="M11" i="118"/>
  <c r="C11" i="118"/>
  <c r="C10" i="118"/>
  <c r="C9" i="118"/>
  <c r="C8" i="118"/>
  <c r="M7" i="118"/>
  <c r="C7" i="118"/>
  <c r="S6" i="118"/>
  <c r="M6" i="118"/>
  <c r="C6" i="118"/>
  <c r="S5" i="118"/>
  <c r="M5" i="118"/>
  <c r="C5" i="118"/>
  <c r="S4" i="118"/>
  <c r="D63" i="117"/>
  <c r="D62" i="117"/>
  <c r="P18" i="117" a="1"/>
  <c r="P18" i="117"/>
  <c r="E7" i="117" s="1"/>
  <c r="Q18" i="117"/>
  <c r="R18" i="117"/>
  <c r="P19" i="117"/>
  <c r="Q19" i="117"/>
  <c r="R19" i="117"/>
  <c r="P20" i="117"/>
  <c r="Q20" i="117"/>
  <c r="R20" i="117"/>
  <c r="P21" i="117"/>
  <c r="Q21" i="117"/>
  <c r="R21" i="117"/>
  <c r="P22" i="117"/>
  <c r="Q22" i="117"/>
  <c r="R22" i="117"/>
  <c r="S25" i="121" l="1"/>
  <c r="B35" i="121"/>
  <c r="B36" i="121"/>
  <c r="B35" i="119"/>
  <c r="G25" i="119"/>
  <c r="B36" i="119"/>
  <c r="A38" i="119" s="1"/>
  <c r="P6" i="118"/>
  <c r="C63" i="118"/>
  <c r="C62" i="118"/>
  <c r="E6" i="117"/>
  <c r="E60" i="117"/>
  <c r="E58" i="117"/>
  <c r="E56" i="117"/>
  <c r="E54" i="117"/>
  <c r="E52" i="117"/>
  <c r="E50" i="117"/>
  <c r="E48" i="117"/>
  <c r="E46" i="117"/>
  <c r="E44" i="117"/>
  <c r="E42" i="117"/>
  <c r="E40" i="117"/>
  <c r="E38" i="117"/>
  <c r="E36" i="117"/>
  <c r="E34" i="117"/>
  <c r="E32" i="117"/>
  <c r="E30" i="117"/>
  <c r="E28" i="117"/>
  <c r="E26" i="117"/>
  <c r="E24" i="117"/>
  <c r="E22" i="117"/>
  <c r="E20" i="117"/>
  <c r="E18" i="117"/>
  <c r="E16" i="117"/>
  <c r="E14" i="117"/>
  <c r="E12" i="117"/>
  <c r="E10" i="117"/>
  <c r="E8" i="117"/>
  <c r="E61" i="117"/>
  <c r="E59" i="117"/>
  <c r="E57" i="117"/>
  <c r="E55" i="117"/>
  <c r="E53" i="117"/>
  <c r="E51" i="117"/>
  <c r="E49" i="117"/>
  <c r="E47" i="117"/>
  <c r="E45" i="117"/>
  <c r="E43" i="117"/>
  <c r="E41" i="117"/>
  <c r="E39" i="117"/>
  <c r="E37" i="117"/>
  <c r="E35" i="117"/>
  <c r="E33" i="117"/>
  <c r="E31" i="117"/>
  <c r="E29" i="117"/>
  <c r="E27" i="117"/>
  <c r="E25" i="117"/>
  <c r="E23" i="117"/>
  <c r="E21" i="117"/>
  <c r="E19" i="117"/>
  <c r="E17" i="117"/>
  <c r="E15" i="117"/>
  <c r="E13" i="117"/>
  <c r="E11" i="117"/>
  <c r="E9" i="117"/>
  <c r="D7" i="117"/>
  <c r="D8" i="117"/>
  <c r="D9" i="117"/>
  <c r="D10" i="117"/>
  <c r="D11" i="117"/>
  <c r="D12" i="117"/>
  <c r="D13" i="117"/>
  <c r="D14" i="117"/>
  <c r="D15" i="117"/>
  <c r="D16" i="117"/>
  <c r="D17" i="117"/>
  <c r="D18" i="117"/>
  <c r="D19" i="117"/>
  <c r="D20" i="117"/>
  <c r="D21" i="117"/>
  <c r="D22" i="117"/>
  <c r="D23" i="117"/>
  <c r="D24" i="117"/>
  <c r="D25" i="117"/>
  <c r="D26" i="117"/>
  <c r="D27" i="117"/>
  <c r="D28" i="117"/>
  <c r="D29" i="117"/>
  <c r="D30" i="117"/>
  <c r="D31" i="117"/>
  <c r="D32" i="117"/>
  <c r="D33" i="117"/>
  <c r="D34" i="117"/>
  <c r="D35" i="117"/>
  <c r="D36" i="117"/>
  <c r="D37" i="117"/>
  <c r="D38" i="117"/>
  <c r="D39" i="117"/>
  <c r="D40" i="117"/>
  <c r="D41" i="117"/>
  <c r="D42" i="117"/>
  <c r="D43" i="117"/>
  <c r="D44" i="117"/>
  <c r="D45" i="117"/>
  <c r="D46" i="117"/>
  <c r="D47" i="117"/>
  <c r="D48" i="117"/>
  <c r="D49" i="117"/>
  <c r="D50" i="117"/>
  <c r="D51" i="117"/>
  <c r="D52" i="117"/>
  <c r="D53" i="117"/>
  <c r="D54" i="117"/>
  <c r="D55" i="117"/>
  <c r="D56" i="117"/>
  <c r="D57" i="117"/>
  <c r="D58" i="117"/>
  <c r="D59" i="117"/>
  <c r="D60" i="117"/>
  <c r="D61" i="117"/>
  <c r="D6" i="117"/>
  <c r="T4" i="117"/>
  <c r="C5" i="117"/>
  <c r="N4" i="117"/>
  <c r="T5" i="117"/>
  <c r="C6" i="117"/>
  <c r="N5" i="117"/>
  <c r="T6" i="117"/>
  <c r="C7" i="117"/>
  <c r="N6" i="117"/>
  <c r="T7" i="117"/>
  <c r="C8" i="117"/>
  <c r="N7" i="117"/>
  <c r="C9" i="117"/>
  <c r="N8" i="117"/>
  <c r="C10" i="117"/>
  <c r="N9" i="117"/>
  <c r="C11" i="117"/>
  <c r="N10" i="117"/>
  <c r="C12" i="117"/>
  <c r="N11" i="117"/>
  <c r="C13" i="117"/>
  <c r="N12" i="117"/>
  <c r="C14" i="117"/>
  <c r="N13" i="117"/>
  <c r="C15" i="117"/>
  <c r="N14" i="117"/>
  <c r="C16" i="117"/>
  <c r="N15" i="117"/>
  <c r="C17" i="117"/>
  <c r="N16" i="117"/>
  <c r="C18" i="117"/>
  <c r="N17" i="117"/>
  <c r="C19" i="117"/>
  <c r="N18" i="117"/>
  <c r="C20" i="117"/>
  <c r="N19" i="117"/>
  <c r="C21" i="117"/>
  <c r="N20" i="117"/>
  <c r="C22" i="117"/>
  <c r="N21" i="117"/>
  <c r="C23" i="117"/>
  <c r="N22" i="117"/>
  <c r="C24" i="117"/>
  <c r="N23" i="117"/>
  <c r="C25" i="117"/>
  <c r="N24" i="117"/>
  <c r="C26" i="117"/>
  <c r="N25" i="117"/>
  <c r="C27" i="117"/>
  <c r="N26" i="117"/>
  <c r="C28" i="117"/>
  <c r="N27" i="117"/>
  <c r="C29" i="117"/>
  <c r="N28" i="117"/>
  <c r="C30" i="117"/>
  <c r="N29" i="117"/>
  <c r="C31" i="117"/>
  <c r="N30" i="117"/>
  <c r="C32" i="117"/>
  <c r="N31" i="117"/>
  <c r="C33" i="117"/>
  <c r="N32" i="117"/>
  <c r="C34" i="117"/>
  <c r="N33" i="117"/>
  <c r="C35" i="117"/>
  <c r="N34" i="117"/>
  <c r="C36" i="117"/>
  <c r="N35" i="117"/>
  <c r="C37" i="117"/>
  <c r="N36" i="117"/>
  <c r="C38" i="117"/>
  <c r="N37" i="117"/>
  <c r="C39" i="117"/>
  <c r="N38" i="117"/>
  <c r="C40" i="117"/>
  <c r="N39" i="117"/>
  <c r="C41" i="117"/>
  <c r="N40" i="117"/>
  <c r="C42" i="117"/>
  <c r="N41" i="117"/>
  <c r="C43" i="117"/>
  <c r="N42" i="117"/>
  <c r="C44" i="117"/>
  <c r="N43" i="117"/>
  <c r="C45" i="117"/>
  <c r="N44" i="117"/>
  <c r="C46" i="117"/>
  <c r="N45" i="117"/>
  <c r="C47" i="117"/>
  <c r="N46" i="117"/>
  <c r="C48" i="117"/>
  <c r="N47" i="117"/>
  <c r="C49" i="117"/>
  <c r="N48" i="117"/>
  <c r="C50" i="117"/>
  <c r="N49" i="117"/>
  <c r="C51" i="117"/>
  <c r="N50" i="117"/>
  <c r="C52" i="117"/>
  <c r="N51" i="117"/>
  <c r="C53" i="117"/>
  <c r="N52" i="117"/>
  <c r="C54" i="117"/>
  <c r="N53" i="117"/>
  <c r="C55" i="117"/>
  <c r="N54" i="117"/>
  <c r="C56" i="117"/>
  <c r="N55" i="117"/>
  <c r="C57" i="117"/>
  <c r="N56" i="117"/>
  <c r="C58" i="117"/>
  <c r="N57" i="117"/>
  <c r="C59" i="117"/>
  <c r="N58" i="117"/>
  <c r="C60" i="117"/>
  <c r="N59" i="117"/>
  <c r="C61" i="117"/>
  <c r="B62" i="117"/>
  <c r="B63" i="117"/>
  <c r="A38" i="121" l="1"/>
  <c r="E38" i="121"/>
  <c r="E38" i="119"/>
  <c r="E61" i="118"/>
  <c r="E59" i="118"/>
  <c r="E57" i="118"/>
  <c r="E55" i="118"/>
  <c r="E53" i="118"/>
  <c r="E51" i="118"/>
  <c r="E49" i="118"/>
  <c r="E47" i="118"/>
  <c r="E45" i="118"/>
  <c r="E42" i="118"/>
  <c r="E40" i="118"/>
  <c r="E38" i="118"/>
  <c r="E36" i="118"/>
  <c r="E34" i="118"/>
  <c r="E32" i="118"/>
  <c r="E30" i="118"/>
  <c r="E28" i="118"/>
  <c r="E26" i="118"/>
  <c r="E24" i="118"/>
  <c r="E60" i="118"/>
  <c r="E58" i="118"/>
  <c r="E56" i="118"/>
  <c r="E54" i="118"/>
  <c r="E52" i="118"/>
  <c r="E50" i="118"/>
  <c r="E48" i="118"/>
  <c r="E46" i="118"/>
  <c r="E44" i="118"/>
  <c r="E43" i="118"/>
  <c r="E41" i="118"/>
  <c r="E39" i="118"/>
  <c r="E37" i="118"/>
  <c r="E35" i="118"/>
  <c r="E33" i="118"/>
  <c r="E31" i="118"/>
  <c r="E29" i="118"/>
  <c r="E27" i="118"/>
  <c r="E25" i="118"/>
  <c r="E22" i="118"/>
  <c r="E20" i="118"/>
  <c r="E18" i="118"/>
  <c r="E17" i="118"/>
  <c r="E14" i="118"/>
  <c r="E13" i="118"/>
  <c r="E11" i="118"/>
  <c r="E10" i="118"/>
  <c r="E8" i="118"/>
  <c r="E16" i="118"/>
  <c r="E15" i="118"/>
  <c r="E12" i="118"/>
  <c r="E9" i="118"/>
  <c r="E23" i="118"/>
  <c r="E21" i="118"/>
  <c r="E19" i="118"/>
  <c r="E7" i="118"/>
  <c r="E63" i="117"/>
  <c r="E62" i="117"/>
  <c r="C62" i="117"/>
  <c r="C63" i="117"/>
  <c r="G19" i="118" l="1"/>
  <c r="H19" i="118"/>
  <c r="F19" i="118"/>
  <c r="G23" i="118"/>
  <c r="H23" i="118"/>
  <c r="F23" i="118"/>
  <c r="G12" i="118"/>
  <c r="H12" i="118"/>
  <c r="F12" i="118"/>
  <c r="G16" i="118"/>
  <c r="F16" i="118"/>
  <c r="H16" i="118"/>
  <c r="F10" i="118"/>
  <c r="G10" i="118"/>
  <c r="H10" i="118"/>
  <c r="F13" i="118"/>
  <c r="G13" i="118"/>
  <c r="H13" i="118"/>
  <c r="F17" i="118"/>
  <c r="G17" i="118"/>
  <c r="H17" i="118"/>
  <c r="F20" i="118"/>
  <c r="G20" i="118"/>
  <c r="H20" i="118"/>
  <c r="G25" i="118"/>
  <c r="H25" i="118"/>
  <c r="F25" i="118"/>
  <c r="G29" i="118"/>
  <c r="H29" i="118"/>
  <c r="F29" i="118"/>
  <c r="G33" i="118"/>
  <c r="H33" i="118"/>
  <c r="F33" i="118"/>
  <c r="G37" i="118"/>
  <c r="H37" i="118"/>
  <c r="F37" i="118"/>
  <c r="G41" i="118"/>
  <c r="H41" i="118"/>
  <c r="F41" i="118"/>
  <c r="G44" i="118"/>
  <c r="F44" i="118"/>
  <c r="H44" i="118"/>
  <c r="G48" i="118"/>
  <c r="H48" i="118"/>
  <c r="F48" i="118"/>
  <c r="G52" i="118"/>
  <c r="H52" i="118"/>
  <c r="F52" i="118"/>
  <c r="G56" i="118"/>
  <c r="H56" i="118"/>
  <c r="F56" i="118"/>
  <c r="G60" i="118"/>
  <c r="H60" i="118"/>
  <c r="F60" i="118"/>
  <c r="F26" i="118"/>
  <c r="G26" i="118"/>
  <c r="H26" i="118"/>
  <c r="F30" i="118"/>
  <c r="G30" i="118"/>
  <c r="H30" i="118"/>
  <c r="F34" i="118"/>
  <c r="G34" i="118"/>
  <c r="H34" i="118"/>
  <c r="F38" i="118"/>
  <c r="G38" i="118"/>
  <c r="H38" i="118"/>
  <c r="F42" i="118"/>
  <c r="G42" i="118"/>
  <c r="H42" i="118"/>
  <c r="F47" i="118"/>
  <c r="G47" i="118"/>
  <c r="H47" i="118"/>
  <c r="F51" i="118"/>
  <c r="G51" i="118"/>
  <c r="H51" i="118"/>
  <c r="F55" i="118"/>
  <c r="G55" i="118"/>
  <c r="H55" i="118"/>
  <c r="F59" i="118"/>
  <c r="G59" i="118"/>
  <c r="H59" i="118"/>
  <c r="G7" i="118"/>
  <c r="F7" i="118"/>
  <c r="G21" i="118"/>
  <c r="H21" i="118"/>
  <c r="F21" i="118"/>
  <c r="G9" i="118"/>
  <c r="H9" i="118"/>
  <c r="F9" i="118"/>
  <c r="G15" i="118"/>
  <c r="H15" i="118"/>
  <c r="F15" i="118"/>
  <c r="D63" i="118"/>
  <c r="D62" i="118"/>
  <c r="F8" i="118"/>
  <c r="G8" i="118"/>
  <c r="H8" i="118"/>
  <c r="F11" i="118"/>
  <c r="H11" i="118"/>
  <c r="G11" i="118"/>
  <c r="F14" i="118"/>
  <c r="H14" i="118"/>
  <c r="G14" i="118"/>
  <c r="F18" i="118"/>
  <c r="H18" i="118"/>
  <c r="G18" i="118"/>
  <c r="F22" i="118"/>
  <c r="G22" i="118"/>
  <c r="H22" i="118"/>
  <c r="G27" i="118"/>
  <c r="H27" i="118"/>
  <c r="F27" i="118"/>
  <c r="G31" i="118"/>
  <c r="H31" i="118"/>
  <c r="F31" i="118"/>
  <c r="G35" i="118"/>
  <c r="H35" i="118"/>
  <c r="F35" i="118"/>
  <c r="G39" i="118"/>
  <c r="H39" i="118"/>
  <c r="F39" i="118"/>
  <c r="G43" i="118"/>
  <c r="H43" i="118"/>
  <c r="F43" i="118"/>
  <c r="G46" i="118"/>
  <c r="H46" i="118"/>
  <c r="F46" i="118"/>
  <c r="G50" i="118"/>
  <c r="H50" i="118"/>
  <c r="F50" i="118"/>
  <c r="G54" i="118"/>
  <c r="H54" i="118"/>
  <c r="F54" i="118"/>
  <c r="G58" i="118"/>
  <c r="H58" i="118"/>
  <c r="F58" i="118"/>
  <c r="F24" i="118"/>
  <c r="G24" i="118"/>
  <c r="H24" i="118"/>
  <c r="F28" i="118"/>
  <c r="G28" i="118"/>
  <c r="H28" i="118"/>
  <c r="F32" i="118"/>
  <c r="G32" i="118"/>
  <c r="H32" i="118"/>
  <c r="F36" i="118"/>
  <c r="G36" i="118"/>
  <c r="H36" i="118"/>
  <c r="F40" i="118"/>
  <c r="G40" i="118"/>
  <c r="H40" i="118"/>
  <c r="F45" i="118"/>
  <c r="G45" i="118"/>
  <c r="H45" i="118"/>
  <c r="F49" i="118"/>
  <c r="G49" i="118"/>
  <c r="H49" i="118"/>
  <c r="F53" i="118"/>
  <c r="G53" i="118"/>
  <c r="H53" i="118"/>
  <c r="F57" i="118"/>
  <c r="G57" i="118"/>
  <c r="H57" i="118"/>
  <c r="F61" i="118"/>
  <c r="G61" i="118"/>
  <c r="H61" i="118"/>
  <c r="Q4" i="117"/>
  <c r="Q5" i="117"/>
  <c r="Q10" i="117"/>
  <c r="Q43" i="118" l="1" a="1"/>
  <c r="E63" i="118"/>
  <c r="E62" i="118"/>
  <c r="Q7" i="117"/>
  <c r="F11" i="117"/>
  <c r="F12" i="117"/>
  <c r="F13" i="117"/>
  <c r="F16" i="117"/>
  <c r="F17" i="117"/>
  <c r="F20" i="117"/>
  <c r="F22" i="117"/>
  <c r="F7" i="117"/>
  <c r="F14" i="117"/>
  <c r="F15" i="117"/>
  <c r="F21" i="117"/>
  <c r="F34" i="117"/>
  <c r="F35" i="117"/>
  <c r="F36" i="117"/>
  <c r="F37" i="117"/>
  <c r="F38" i="117"/>
  <c r="F39" i="117"/>
  <c r="F40" i="117"/>
  <c r="F41" i="117"/>
  <c r="F42" i="117"/>
  <c r="F43" i="117"/>
  <c r="F6" i="117"/>
  <c r="F8" i="117"/>
  <c r="F9" i="117"/>
  <c r="F10" i="117"/>
  <c r="F18" i="117"/>
  <c r="F19" i="117"/>
  <c r="F23" i="117"/>
  <c r="F24" i="117"/>
  <c r="F25" i="117"/>
  <c r="F26" i="117"/>
  <c r="F27" i="117"/>
  <c r="F28" i="117"/>
  <c r="F29" i="117"/>
  <c r="F31" i="117"/>
  <c r="F33" i="117"/>
  <c r="F44" i="117"/>
  <c r="F46" i="117"/>
  <c r="F48" i="117"/>
  <c r="F49" i="117"/>
  <c r="F50" i="117"/>
  <c r="F51" i="117"/>
  <c r="F52" i="117"/>
  <c r="F53" i="117"/>
  <c r="F54" i="117"/>
  <c r="F55" i="117"/>
  <c r="F56" i="117"/>
  <c r="F57" i="117"/>
  <c r="F58" i="117"/>
  <c r="F59" i="117"/>
  <c r="F60" i="117"/>
  <c r="F61" i="117"/>
  <c r="F30" i="117"/>
  <c r="F32" i="117"/>
  <c r="F45" i="117"/>
  <c r="F47" i="117"/>
  <c r="Q6" i="117"/>
  <c r="G63" i="118" l="1"/>
  <c r="G62" i="118"/>
  <c r="H63" i="118"/>
  <c r="H62" i="118"/>
  <c r="F63" i="118"/>
  <c r="P13" i="118" s="1"/>
  <c r="F62" i="118"/>
  <c r="U17" i="118"/>
  <c r="R47" i="118"/>
  <c r="R46" i="118"/>
  <c r="R45" i="118"/>
  <c r="R44" i="118"/>
  <c r="R43" i="118"/>
  <c r="Q47" i="118"/>
  <c r="Q45" i="118"/>
  <c r="Q43" i="118"/>
  <c r="Q46" i="118"/>
  <c r="Q44" i="118"/>
  <c r="R43" i="117" a="1"/>
  <c r="F63" i="117"/>
  <c r="F62" i="117"/>
  <c r="H47" i="117"/>
  <c r="I46" i="117"/>
  <c r="G47" i="117"/>
  <c r="H32" i="117"/>
  <c r="G32" i="117"/>
  <c r="I31" i="117"/>
  <c r="H61" i="117"/>
  <c r="I60" i="117"/>
  <c r="G61" i="117"/>
  <c r="H59" i="117"/>
  <c r="I58" i="117"/>
  <c r="G59" i="117"/>
  <c r="H57" i="117"/>
  <c r="I56" i="117"/>
  <c r="G57" i="117"/>
  <c r="H55" i="117"/>
  <c r="I54" i="117"/>
  <c r="G55" i="117"/>
  <c r="H53" i="117"/>
  <c r="I52" i="117"/>
  <c r="G53" i="117"/>
  <c r="H51" i="117"/>
  <c r="I50" i="117"/>
  <c r="G51" i="117"/>
  <c r="H49" i="117"/>
  <c r="I48" i="117"/>
  <c r="G49" i="117"/>
  <c r="H46" i="117"/>
  <c r="I45" i="117"/>
  <c r="G46" i="117"/>
  <c r="G33" i="117"/>
  <c r="I32" i="117"/>
  <c r="H33" i="117"/>
  <c r="H29" i="117"/>
  <c r="G29" i="117"/>
  <c r="I28" i="117"/>
  <c r="H27" i="117"/>
  <c r="G27" i="117"/>
  <c r="I26" i="117"/>
  <c r="H25" i="117"/>
  <c r="G25" i="117"/>
  <c r="I24" i="117"/>
  <c r="I22" i="117"/>
  <c r="H23" i="117"/>
  <c r="G23" i="117"/>
  <c r="I17" i="117"/>
  <c r="H18" i="117"/>
  <c r="G18" i="117"/>
  <c r="H9" i="117"/>
  <c r="G9" i="117"/>
  <c r="I8" i="117"/>
  <c r="H6" i="117"/>
  <c r="G6" i="117"/>
  <c r="I41" i="117"/>
  <c r="G42" i="117"/>
  <c r="H42" i="117"/>
  <c r="I39" i="117"/>
  <c r="G40" i="117"/>
  <c r="H40" i="117"/>
  <c r="I37" i="117"/>
  <c r="G38" i="117"/>
  <c r="H38" i="117"/>
  <c r="I35" i="117"/>
  <c r="G36" i="117"/>
  <c r="H36" i="117"/>
  <c r="I33" i="117"/>
  <c r="G34" i="117"/>
  <c r="H34" i="117"/>
  <c r="H15" i="117"/>
  <c r="I14" i="117"/>
  <c r="G15" i="117"/>
  <c r="H7" i="117"/>
  <c r="I6" i="117"/>
  <c r="G7" i="117"/>
  <c r="G22" i="117"/>
  <c r="I21" i="117"/>
  <c r="H22" i="117"/>
  <c r="I16" i="117"/>
  <c r="G17" i="117"/>
  <c r="H17" i="117"/>
  <c r="I12" i="117"/>
  <c r="G13" i="117"/>
  <c r="H13" i="117"/>
  <c r="G11" i="117"/>
  <c r="H11" i="117"/>
  <c r="I10" i="117"/>
  <c r="H45" i="117"/>
  <c r="I44" i="117"/>
  <c r="G45" i="117"/>
  <c r="H30" i="117"/>
  <c r="G30" i="117"/>
  <c r="I29" i="117"/>
  <c r="H60" i="117"/>
  <c r="I59" i="117"/>
  <c r="G60" i="117"/>
  <c r="H58" i="117"/>
  <c r="I57" i="117"/>
  <c r="G58" i="117"/>
  <c r="H56" i="117"/>
  <c r="I55" i="117"/>
  <c r="G56" i="117"/>
  <c r="H54" i="117"/>
  <c r="I53" i="117"/>
  <c r="G54" i="117"/>
  <c r="H52" i="117"/>
  <c r="I51" i="117"/>
  <c r="G52" i="117"/>
  <c r="H50" i="117"/>
  <c r="I49" i="117"/>
  <c r="G50" i="117"/>
  <c r="H48" i="117"/>
  <c r="I47" i="117"/>
  <c r="G48" i="117"/>
  <c r="I43" i="117"/>
  <c r="H44" i="117"/>
  <c r="G44" i="117"/>
  <c r="H31" i="117"/>
  <c r="G31" i="117"/>
  <c r="I30" i="117"/>
  <c r="H28" i="117"/>
  <c r="G28" i="117"/>
  <c r="I27" i="117"/>
  <c r="H26" i="117"/>
  <c r="G26" i="117"/>
  <c r="I25" i="117"/>
  <c r="H24" i="117"/>
  <c r="G24" i="117"/>
  <c r="I23" i="117"/>
  <c r="H19" i="117"/>
  <c r="G19" i="117"/>
  <c r="I18" i="117"/>
  <c r="H10" i="117"/>
  <c r="G10" i="117"/>
  <c r="I9" i="117"/>
  <c r="H8" i="117"/>
  <c r="I7" i="117"/>
  <c r="G8" i="117"/>
  <c r="I42" i="117"/>
  <c r="G43" i="117"/>
  <c r="H43" i="117"/>
  <c r="I40" i="117"/>
  <c r="G41" i="117"/>
  <c r="H41" i="117"/>
  <c r="I38" i="117"/>
  <c r="G39" i="117"/>
  <c r="H39" i="117"/>
  <c r="I36" i="117"/>
  <c r="G37" i="117"/>
  <c r="H37" i="117"/>
  <c r="I34" i="117"/>
  <c r="G35" i="117"/>
  <c r="H35" i="117"/>
  <c r="I20" i="117"/>
  <c r="H21" i="117"/>
  <c r="G21" i="117"/>
  <c r="I13" i="117"/>
  <c r="H14" i="117"/>
  <c r="G14" i="117"/>
  <c r="G20" i="117"/>
  <c r="I19" i="117"/>
  <c r="H20" i="117"/>
  <c r="G16" i="117"/>
  <c r="I15" i="117"/>
  <c r="H16" i="117"/>
  <c r="I11" i="117"/>
  <c r="G12" i="117"/>
  <c r="H12" i="117"/>
  <c r="G63" i="117" l="1"/>
  <c r="G62" i="117"/>
  <c r="H63" i="117"/>
  <c r="H62" i="117"/>
  <c r="S43" i="117"/>
  <c r="S44" i="117"/>
  <c r="S45" i="117"/>
  <c r="S46" i="117"/>
  <c r="S47" i="117"/>
  <c r="R43" i="117"/>
  <c r="R44" i="117"/>
  <c r="R45" i="117"/>
  <c r="R46" i="117"/>
  <c r="R47" i="117"/>
  <c r="I62" i="117"/>
  <c r="M10" i="114"/>
  <c r="M9" i="114"/>
  <c r="M8" i="114"/>
  <c r="M7" i="114"/>
  <c r="M6" i="114"/>
  <c r="M5" i="114"/>
  <c r="M4" i="114"/>
  <c r="M3" i="114"/>
  <c r="K10" i="114"/>
  <c r="K9" i="114"/>
  <c r="K8" i="114"/>
  <c r="K7" i="114"/>
  <c r="K6" i="114"/>
  <c r="K5" i="114"/>
  <c r="K4" i="114"/>
  <c r="K3" i="114"/>
  <c r="F5" i="114"/>
  <c r="H7" i="114"/>
  <c r="H5" i="114"/>
  <c r="H10" i="114"/>
  <c r="H4" i="114"/>
  <c r="F10" i="114"/>
  <c r="F4" i="114"/>
  <c r="F3" i="114"/>
  <c r="H9" i="114"/>
  <c r="H8" i="114"/>
  <c r="H6" i="114"/>
  <c r="F9" i="114"/>
  <c r="F8" i="114"/>
  <c r="F7" i="114"/>
  <c r="F6" i="114"/>
  <c r="H3" i="114"/>
  <c r="L4" i="112"/>
  <c r="M4" i="112"/>
  <c r="S4" i="112"/>
  <c r="C62" i="112"/>
  <c r="D62" i="112"/>
  <c r="C61" i="112"/>
  <c r="D61" i="112"/>
  <c r="B62" i="112"/>
  <c r="B61" i="112"/>
  <c r="S7" i="112"/>
  <c r="O21" i="112" a="1"/>
  <c r="P21" i="112"/>
  <c r="O22" i="112"/>
  <c r="Q22" i="112"/>
  <c r="P23" i="112"/>
  <c r="O24" i="112"/>
  <c r="P4" i="112" s="1"/>
  <c r="Q24" i="112"/>
  <c r="P25" i="112"/>
  <c r="S6" i="112"/>
  <c r="S5" i="112"/>
  <c r="L5" i="112"/>
  <c r="M5" i="112" s="1"/>
  <c r="L6" i="112"/>
  <c r="L7" i="112"/>
  <c r="M7" i="112" s="1"/>
  <c r="L8" i="112"/>
  <c r="L9" i="112"/>
  <c r="M9" i="112" s="1"/>
  <c r="L10" i="112"/>
  <c r="L11" i="112"/>
  <c r="M11" i="112" s="1"/>
  <c r="L12" i="112"/>
  <c r="L13" i="112"/>
  <c r="M13" i="112" s="1"/>
  <c r="L14" i="112"/>
  <c r="L15" i="112"/>
  <c r="M15" i="112" s="1"/>
  <c r="L16" i="112"/>
  <c r="L17" i="112"/>
  <c r="M17" i="112" s="1"/>
  <c r="L18" i="112"/>
  <c r="L19" i="112"/>
  <c r="M19" i="112" s="1"/>
  <c r="L20" i="112"/>
  <c r="L21" i="112"/>
  <c r="M21" i="112" s="1"/>
  <c r="L22" i="112"/>
  <c r="L23" i="112"/>
  <c r="M23" i="112" s="1"/>
  <c r="L24" i="112"/>
  <c r="L25" i="112"/>
  <c r="M25" i="112" s="1"/>
  <c r="L26" i="112"/>
  <c r="L27" i="112"/>
  <c r="M27" i="112" s="1"/>
  <c r="L28" i="112"/>
  <c r="L29" i="112"/>
  <c r="M29" i="112" s="1"/>
  <c r="L30" i="112"/>
  <c r="L31" i="112"/>
  <c r="M31" i="112" s="1"/>
  <c r="L32" i="112"/>
  <c r="L33" i="112"/>
  <c r="M33" i="112" s="1"/>
  <c r="L34" i="112"/>
  <c r="L35" i="112"/>
  <c r="M35" i="112" s="1"/>
  <c r="L36" i="112"/>
  <c r="L37" i="112"/>
  <c r="M37" i="112" s="1"/>
  <c r="L38" i="112"/>
  <c r="L39" i="112"/>
  <c r="M39" i="112" s="1"/>
  <c r="L40" i="112"/>
  <c r="L41" i="112"/>
  <c r="M41" i="112" s="1"/>
  <c r="L42" i="112"/>
  <c r="L43" i="112"/>
  <c r="M43" i="112" s="1"/>
  <c r="L44" i="112"/>
  <c r="L45" i="112"/>
  <c r="M45" i="112" s="1"/>
  <c r="L46" i="112"/>
  <c r="L47" i="112"/>
  <c r="M47" i="112" s="1"/>
  <c r="L48" i="112"/>
  <c r="L49" i="112"/>
  <c r="M49" i="112" s="1"/>
  <c r="L50" i="112"/>
  <c r="L51" i="112"/>
  <c r="M51" i="112" s="1"/>
  <c r="L52" i="112"/>
  <c r="L53" i="112"/>
  <c r="M53" i="112" s="1"/>
  <c r="L54" i="112"/>
  <c r="L55" i="112"/>
  <c r="M55" i="112" s="1"/>
  <c r="L56" i="112"/>
  <c r="L57" i="112"/>
  <c r="M57" i="112" s="1"/>
  <c r="L58" i="112"/>
  <c r="L59" i="112"/>
  <c r="M59" i="112" s="1"/>
  <c r="L60" i="112"/>
  <c r="L61" i="112"/>
  <c r="M61" i="112" s="1"/>
  <c r="M60" i="112"/>
  <c r="M58" i="112"/>
  <c r="M56" i="112"/>
  <c r="M54" i="112"/>
  <c r="M52" i="112"/>
  <c r="M50" i="112"/>
  <c r="M48" i="112"/>
  <c r="M46" i="112"/>
  <c r="M44" i="112"/>
  <c r="M42" i="112"/>
  <c r="M40" i="112"/>
  <c r="M38" i="112"/>
  <c r="M36" i="112"/>
  <c r="M34" i="112"/>
  <c r="M32" i="112"/>
  <c r="M30" i="112"/>
  <c r="M28" i="112"/>
  <c r="M26" i="112"/>
  <c r="M24" i="112"/>
  <c r="M22" i="112"/>
  <c r="M20" i="112"/>
  <c r="M18" i="112"/>
  <c r="M16" i="112"/>
  <c r="M14" i="112"/>
  <c r="M12" i="112"/>
  <c r="M10" i="112"/>
  <c r="M8" i="112"/>
  <c r="M6" i="112"/>
  <c r="C62" i="106"/>
  <c r="B62" i="106"/>
  <c r="L61" i="106"/>
  <c r="K61" i="106"/>
  <c r="C61" i="106"/>
  <c r="B61" i="106"/>
  <c r="K60" i="106"/>
  <c r="L60" i="106" s="1"/>
  <c r="K59" i="106"/>
  <c r="L59" i="106" s="1"/>
  <c r="L58" i="106"/>
  <c r="K58" i="106"/>
  <c r="K57" i="106"/>
  <c r="L57" i="106" s="1"/>
  <c r="K56" i="106"/>
  <c r="L56" i="106" s="1"/>
  <c r="K55" i="106"/>
  <c r="L55" i="106" s="1"/>
  <c r="L54" i="106"/>
  <c r="K54" i="106"/>
  <c r="K53" i="106"/>
  <c r="L53" i="106" s="1"/>
  <c r="K52" i="106"/>
  <c r="L52" i="106" s="1"/>
  <c r="K51" i="106"/>
  <c r="L51" i="106" s="1"/>
  <c r="L50" i="106"/>
  <c r="K50" i="106"/>
  <c r="K49" i="106"/>
  <c r="L49" i="106" s="1"/>
  <c r="K48" i="106"/>
  <c r="L48" i="106" s="1"/>
  <c r="K47" i="106"/>
  <c r="L47" i="106" s="1"/>
  <c r="L46" i="106"/>
  <c r="K46" i="106"/>
  <c r="L45" i="106"/>
  <c r="K45" i="106"/>
  <c r="K44" i="106"/>
  <c r="L44" i="106" s="1"/>
  <c r="K43" i="106"/>
  <c r="L43" i="106" s="1"/>
  <c r="K42" i="106"/>
  <c r="L42" i="106" s="1"/>
  <c r="L41" i="106"/>
  <c r="K41" i="106"/>
  <c r="K40" i="106"/>
  <c r="L40" i="106" s="1"/>
  <c r="K39" i="106"/>
  <c r="L39" i="106" s="1"/>
  <c r="K38" i="106"/>
  <c r="L38" i="106" s="1"/>
  <c r="L37" i="106"/>
  <c r="K37" i="106"/>
  <c r="K36" i="106"/>
  <c r="L36" i="106" s="1"/>
  <c r="K35" i="106"/>
  <c r="L35" i="106" s="1"/>
  <c r="L34" i="106"/>
  <c r="K34" i="106"/>
  <c r="K33" i="106"/>
  <c r="L33" i="106" s="1"/>
  <c r="K32" i="106"/>
  <c r="L32" i="106" s="1"/>
  <c r="K31" i="106"/>
  <c r="L31" i="106" s="1"/>
  <c r="L30" i="106"/>
  <c r="K30" i="106"/>
  <c r="K29" i="106"/>
  <c r="L29" i="106" s="1"/>
  <c r="K28" i="106"/>
  <c r="L28" i="106" s="1"/>
  <c r="K27" i="106"/>
  <c r="L27" i="106" s="1"/>
  <c r="L26" i="106"/>
  <c r="K26" i="106"/>
  <c r="K25" i="106"/>
  <c r="L25" i="106" s="1"/>
  <c r="K24" i="106"/>
  <c r="L24" i="106" s="1"/>
  <c r="K23" i="106"/>
  <c r="L23" i="106" s="1"/>
  <c r="L22" i="106"/>
  <c r="K22" i="106"/>
  <c r="N21" i="106" a="1"/>
  <c r="O25" i="106" s="1"/>
  <c r="K21" i="106"/>
  <c r="L21" i="106" s="1"/>
  <c r="K20" i="106"/>
  <c r="L20" i="106" s="1"/>
  <c r="K19" i="106"/>
  <c r="L19" i="106" s="1"/>
  <c r="L18" i="106"/>
  <c r="K18" i="106"/>
  <c r="K17" i="106"/>
  <c r="L17" i="106" s="1"/>
  <c r="K16" i="106"/>
  <c r="L16" i="106" s="1"/>
  <c r="K15" i="106"/>
  <c r="L15" i="106" s="1"/>
  <c r="L14" i="106"/>
  <c r="K14" i="106"/>
  <c r="K13" i="106"/>
  <c r="L13" i="106" s="1"/>
  <c r="K12" i="106"/>
  <c r="L12" i="106" s="1"/>
  <c r="L11" i="106"/>
  <c r="K11" i="106"/>
  <c r="K10" i="106"/>
  <c r="L10" i="106" s="1"/>
  <c r="K9" i="106"/>
  <c r="L9" i="106" s="1"/>
  <c r="L8" i="106"/>
  <c r="K8" i="106"/>
  <c r="K7" i="106"/>
  <c r="L7" i="106" s="1"/>
  <c r="R6" i="106"/>
  <c r="L6" i="106"/>
  <c r="K6" i="106"/>
  <c r="R5" i="106"/>
  <c r="K5" i="106"/>
  <c r="L5" i="106" s="1"/>
  <c r="R4" i="106"/>
  <c r="K4" i="106"/>
  <c r="L4" i="106" s="1"/>
  <c r="C18" i="105"/>
  <c r="C61" i="103"/>
  <c r="C62" i="103"/>
  <c r="B62" i="103"/>
  <c r="K61" i="103"/>
  <c r="L61" i="103" s="1"/>
  <c r="B61" i="103"/>
  <c r="K60" i="103"/>
  <c r="L60" i="103" s="1"/>
  <c r="K59" i="103"/>
  <c r="L59" i="103" s="1"/>
  <c r="K58" i="103"/>
  <c r="L58" i="103" s="1"/>
  <c r="K57" i="103"/>
  <c r="L57" i="103" s="1"/>
  <c r="L56" i="103"/>
  <c r="K56" i="103"/>
  <c r="K55" i="103"/>
  <c r="L55" i="103" s="1"/>
  <c r="K54" i="103"/>
  <c r="L54" i="103" s="1"/>
  <c r="K53" i="103"/>
  <c r="L53" i="103" s="1"/>
  <c r="K52" i="103"/>
  <c r="L52" i="103" s="1"/>
  <c r="K51" i="103"/>
  <c r="L51" i="103" s="1"/>
  <c r="K50" i="103"/>
  <c r="L50" i="103" s="1"/>
  <c r="K49" i="103"/>
  <c r="L49" i="103" s="1"/>
  <c r="L48" i="103"/>
  <c r="K48" i="103"/>
  <c r="K47" i="103"/>
  <c r="L47" i="103" s="1"/>
  <c r="K46" i="103"/>
  <c r="L46" i="103" s="1"/>
  <c r="K45" i="103"/>
  <c r="L45" i="103" s="1"/>
  <c r="K44" i="103"/>
  <c r="L44" i="103" s="1"/>
  <c r="K43" i="103"/>
  <c r="L43" i="103" s="1"/>
  <c r="K42" i="103"/>
  <c r="L42" i="103" s="1"/>
  <c r="K41" i="103"/>
  <c r="L41" i="103" s="1"/>
  <c r="L40" i="103"/>
  <c r="K40" i="103"/>
  <c r="K39" i="103"/>
  <c r="L39" i="103" s="1"/>
  <c r="K38" i="103"/>
  <c r="L38" i="103" s="1"/>
  <c r="K37" i="103"/>
  <c r="L37" i="103" s="1"/>
  <c r="K36" i="103"/>
  <c r="L36" i="103" s="1"/>
  <c r="K35" i="103"/>
  <c r="L35" i="103" s="1"/>
  <c r="K34" i="103"/>
  <c r="L34" i="103" s="1"/>
  <c r="K33" i="103"/>
  <c r="L33" i="103" s="1"/>
  <c r="L32" i="103"/>
  <c r="K32" i="103"/>
  <c r="K31" i="103"/>
  <c r="L31" i="103" s="1"/>
  <c r="K30" i="103"/>
  <c r="L30" i="103" s="1"/>
  <c r="K29" i="103"/>
  <c r="L29" i="103" s="1"/>
  <c r="K28" i="103"/>
  <c r="L28" i="103" s="1"/>
  <c r="K27" i="103"/>
  <c r="L27" i="103" s="1"/>
  <c r="K26" i="103"/>
  <c r="L26" i="103" s="1"/>
  <c r="K25" i="103"/>
  <c r="L25" i="103" s="1"/>
  <c r="L24" i="103"/>
  <c r="K24" i="103"/>
  <c r="K23" i="103"/>
  <c r="L23" i="103" s="1"/>
  <c r="K22" i="103"/>
  <c r="L22" i="103" s="1"/>
  <c r="N21" i="103" a="1"/>
  <c r="N25" i="103" s="1"/>
  <c r="K21" i="103"/>
  <c r="L21" i="103" s="1"/>
  <c r="K20" i="103"/>
  <c r="L20" i="103" s="1"/>
  <c r="K19" i="103"/>
  <c r="L19" i="103" s="1"/>
  <c r="K18" i="103"/>
  <c r="L18" i="103" s="1"/>
  <c r="K17" i="103"/>
  <c r="L17" i="103" s="1"/>
  <c r="K16" i="103"/>
  <c r="L16" i="103" s="1"/>
  <c r="L15" i="103"/>
  <c r="K15" i="103"/>
  <c r="K14" i="103"/>
  <c r="L14" i="103" s="1"/>
  <c r="K13" i="103"/>
  <c r="L13" i="103" s="1"/>
  <c r="K12" i="103"/>
  <c r="L12" i="103" s="1"/>
  <c r="K11" i="103"/>
  <c r="L11" i="103" s="1"/>
  <c r="L10" i="103"/>
  <c r="K10" i="103"/>
  <c r="L9" i="103"/>
  <c r="K9" i="103"/>
  <c r="K8" i="103"/>
  <c r="L8" i="103" s="1"/>
  <c r="K7" i="103"/>
  <c r="L7" i="103" s="1"/>
  <c r="R6" i="103"/>
  <c r="K6" i="103"/>
  <c r="L6" i="103" s="1"/>
  <c r="R5" i="103"/>
  <c r="K5" i="103"/>
  <c r="L5" i="103" s="1"/>
  <c r="R4" i="103"/>
  <c r="K4" i="103"/>
  <c r="L4" i="103" s="1"/>
  <c r="C18" i="102"/>
  <c r="C62" i="100"/>
  <c r="B62" i="100"/>
  <c r="K61" i="100"/>
  <c r="L61" i="100" s="1"/>
  <c r="C61" i="100"/>
  <c r="B61" i="100"/>
  <c r="K60" i="100"/>
  <c r="L60" i="100" s="1"/>
  <c r="K59" i="100"/>
  <c r="L59" i="100" s="1"/>
  <c r="K58" i="100"/>
  <c r="L58" i="100" s="1"/>
  <c r="K57" i="100"/>
  <c r="L57" i="100" s="1"/>
  <c r="L56" i="100"/>
  <c r="K56" i="100"/>
  <c r="K55" i="100"/>
  <c r="L55" i="100" s="1"/>
  <c r="K54" i="100"/>
  <c r="L54" i="100" s="1"/>
  <c r="K53" i="100"/>
  <c r="L53" i="100" s="1"/>
  <c r="L52" i="100"/>
  <c r="K52" i="100"/>
  <c r="K51" i="100"/>
  <c r="L51" i="100" s="1"/>
  <c r="K50" i="100"/>
  <c r="L50" i="100" s="1"/>
  <c r="K49" i="100"/>
  <c r="L49" i="100" s="1"/>
  <c r="L48" i="100"/>
  <c r="K48" i="100"/>
  <c r="K47" i="100"/>
  <c r="L47" i="100" s="1"/>
  <c r="K46" i="100"/>
  <c r="L46" i="100" s="1"/>
  <c r="K45" i="100"/>
  <c r="L45" i="100" s="1"/>
  <c r="K44" i="100"/>
  <c r="L44" i="100" s="1"/>
  <c r="L43" i="100"/>
  <c r="K43" i="100"/>
  <c r="K42" i="100"/>
  <c r="L42" i="100" s="1"/>
  <c r="K41" i="100"/>
  <c r="L41" i="100" s="1"/>
  <c r="K40" i="100"/>
  <c r="L40" i="100" s="1"/>
  <c r="L39" i="100"/>
  <c r="K39" i="100"/>
  <c r="K38" i="100"/>
  <c r="L38" i="100" s="1"/>
  <c r="K37" i="100"/>
  <c r="L37" i="100" s="1"/>
  <c r="K36" i="100"/>
  <c r="L36" i="100" s="1"/>
  <c r="K35" i="100"/>
  <c r="L35" i="100" s="1"/>
  <c r="K34" i="100"/>
  <c r="L34" i="100" s="1"/>
  <c r="K33" i="100"/>
  <c r="L33" i="100" s="1"/>
  <c r="L32" i="100"/>
  <c r="K32" i="100"/>
  <c r="K31" i="100"/>
  <c r="L31" i="100" s="1"/>
  <c r="K30" i="100"/>
  <c r="L30" i="100" s="1"/>
  <c r="K29" i="100"/>
  <c r="L29" i="100" s="1"/>
  <c r="L28" i="100"/>
  <c r="K28" i="100"/>
  <c r="K27" i="100"/>
  <c r="L27" i="100" s="1"/>
  <c r="K26" i="100"/>
  <c r="L26" i="100" s="1"/>
  <c r="K25" i="100"/>
  <c r="L25" i="100" s="1"/>
  <c r="L24" i="100"/>
  <c r="K24" i="100"/>
  <c r="K23" i="100"/>
  <c r="L23" i="100" s="1"/>
  <c r="K22" i="100"/>
  <c r="L22" i="100" s="1"/>
  <c r="N21" i="100" a="1"/>
  <c r="O25" i="100" s="1"/>
  <c r="L21" i="100"/>
  <c r="K21" i="100"/>
  <c r="L20" i="100"/>
  <c r="K20" i="100"/>
  <c r="K19" i="100"/>
  <c r="L19" i="100" s="1"/>
  <c r="K18" i="100"/>
  <c r="L18" i="100" s="1"/>
  <c r="K17" i="100"/>
  <c r="L17" i="100" s="1"/>
  <c r="L16" i="100"/>
  <c r="K16" i="100"/>
  <c r="K15" i="100"/>
  <c r="L15" i="100" s="1"/>
  <c r="K14" i="100"/>
  <c r="L14" i="100" s="1"/>
  <c r="K13" i="100"/>
  <c r="L13" i="100" s="1"/>
  <c r="K12" i="100"/>
  <c r="L12" i="100" s="1"/>
  <c r="K11" i="100"/>
  <c r="L11" i="100" s="1"/>
  <c r="K10" i="100"/>
  <c r="L10" i="100" s="1"/>
  <c r="K9" i="100"/>
  <c r="L9" i="100" s="1"/>
  <c r="K8" i="100"/>
  <c r="L8" i="100" s="1"/>
  <c r="K7" i="100"/>
  <c r="L7" i="100" s="1"/>
  <c r="R6" i="100"/>
  <c r="K6" i="100"/>
  <c r="L6" i="100" s="1"/>
  <c r="R5" i="100"/>
  <c r="K5" i="100"/>
  <c r="L5" i="100" s="1"/>
  <c r="R4" i="100"/>
  <c r="L4" i="100"/>
  <c r="K4" i="100"/>
  <c r="C18" i="99"/>
  <c r="C62" i="95"/>
  <c r="B62" i="95"/>
  <c r="K61" i="95"/>
  <c r="L61" i="95" s="1"/>
  <c r="C61" i="95"/>
  <c r="B61" i="95"/>
  <c r="K60" i="95"/>
  <c r="L60" i="95" s="1"/>
  <c r="K59" i="95"/>
  <c r="L59" i="95" s="1"/>
  <c r="K58" i="95"/>
  <c r="L58" i="95" s="1"/>
  <c r="K57" i="95"/>
  <c r="L57" i="95" s="1"/>
  <c r="K56" i="95"/>
  <c r="L56" i="95" s="1"/>
  <c r="K55" i="95"/>
  <c r="L55" i="95" s="1"/>
  <c r="L54" i="95"/>
  <c r="K54" i="95"/>
  <c r="K53" i="95"/>
  <c r="L53" i="95" s="1"/>
  <c r="K52" i="95"/>
  <c r="L52" i="95" s="1"/>
  <c r="K51" i="95"/>
  <c r="L51" i="95" s="1"/>
  <c r="K50" i="95"/>
  <c r="L50" i="95" s="1"/>
  <c r="K49" i="95"/>
  <c r="L49" i="95" s="1"/>
  <c r="K48" i="95"/>
  <c r="L48" i="95" s="1"/>
  <c r="K47" i="95"/>
  <c r="L47" i="95" s="1"/>
  <c r="L46" i="95"/>
  <c r="K46" i="95"/>
  <c r="L45" i="95"/>
  <c r="K45" i="95"/>
  <c r="K44" i="95"/>
  <c r="L44" i="95" s="1"/>
  <c r="K43" i="95"/>
  <c r="L43" i="95" s="1"/>
  <c r="K42" i="95"/>
  <c r="L42" i="95" s="1"/>
  <c r="K41" i="95"/>
  <c r="L41" i="95" s="1"/>
  <c r="K40" i="95"/>
  <c r="L40" i="95" s="1"/>
  <c r="K39" i="95"/>
  <c r="L39" i="95" s="1"/>
  <c r="K38" i="95"/>
  <c r="L38" i="95" s="1"/>
  <c r="L37" i="95"/>
  <c r="K37" i="95"/>
  <c r="K36" i="95"/>
  <c r="L36" i="95" s="1"/>
  <c r="K35" i="95"/>
  <c r="L35" i="95" s="1"/>
  <c r="L34" i="95"/>
  <c r="K34" i="95"/>
  <c r="K33" i="95"/>
  <c r="L33" i="95" s="1"/>
  <c r="K32" i="95"/>
  <c r="L32" i="95" s="1"/>
  <c r="K31" i="95"/>
  <c r="L31" i="95" s="1"/>
  <c r="K30" i="95"/>
  <c r="L30" i="95" s="1"/>
  <c r="K29" i="95"/>
  <c r="L29" i="95" s="1"/>
  <c r="K28" i="95"/>
  <c r="L28" i="95" s="1"/>
  <c r="K27" i="95"/>
  <c r="L27" i="95" s="1"/>
  <c r="L26" i="95"/>
  <c r="K26" i="95"/>
  <c r="K25" i="95"/>
  <c r="L25" i="95" s="1"/>
  <c r="K24" i="95"/>
  <c r="L24" i="95" s="1"/>
  <c r="K23" i="95"/>
  <c r="L23" i="95" s="1"/>
  <c r="K22" i="95"/>
  <c r="L22" i="95" s="1"/>
  <c r="N21" i="95" a="1"/>
  <c r="O25" i="95" s="1"/>
  <c r="K21" i="95"/>
  <c r="L21" i="95" s="1"/>
  <c r="K20" i="95"/>
  <c r="L20" i="95" s="1"/>
  <c r="K19" i="95"/>
  <c r="L19" i="95" s="1"/>
  <c r="K18" i="95"/>
  <c r="L18" i="95" s="1"/>
  <c r="K17" i="95"/>
  <c r="L17" i="95" s="1"/>
  <c r="K16" i="95"/>
  <c r="L16" i="95" s="1"/>
  <c r="K15" i="95"/>
  <c r="L15" i="95" s="1"/>
  <c r="L14" i="95"/>
  <c r="K14" i="95"/>
  <c r="K13" i="95"/>
  <c r="L13" i="95" s="1"/>
  <c r="K12" i="95"/>
  <c r="L12" i="95" s="1"/>
  <c r="L11" i="95"/>
  <c r="K11" i="95"/>
  <c r="K10" i="95"/>
  <c r="L10" i="95" s="1"/>
  <c r="K9" i="95"/>
  <c r="L9" i="95" s="1"/>
  <c r="L8" i="95"/>
  <c r="K8" i="95"/>
  <c r="K7" i="95"/>
  <c r="L7" i="95" s="1"/>
  <c r="R6" i="95"/>
  <c r="L6" i="95"/>
  <c r="K6" i="95"/>
  <c r="R5" i="95"/>
  <c r="K5" i="95"/>
  <c r="L5" i="95" s="1"/>
  <c r="R4" i="95"/>
  <c r="K4" i="95"/>
  <c r="L4" i="95" s="1"/>
  <c r="I63" i="117" l="1"/>
  <c r="O21" i="112"/>
  <c r="Q21" i="112"/>
  <c r="P5" i="112" s="1"/>
  <c r="P22" i="112"/>
  <c r="P6" i="112" s="1"/>
  <c r="O23" i="112"/>
  <c r="Q23" i="112"/>
  <c r="P24" i="112"/>
  <c r="O25" i="112"/>
  <c r="Q25" i="112"/>
  <c r="V17" i="117"/>
  <c r="Q13" i="117"/>
  <c r="P10" i="112"/>
  <c r="P15" i="112" s="1"/>
  <c r="D10" i="114" s="1"/>
  <c r="N22" i="106"/>
  <c r="N24" i="106"/>
  <c r="O4" i="106" s="1"/>
  <c r="N21" i="106"/>
  <c r="N23" i="106"/>
  <c r="O9" i="106" s="1"/>
  <c r="D9" i="114" s="1"/>
  <c r="N25" i="106"/>
  <c r="O6" i="106"/>
  <c r="O21" i="106"/>
  <c r="O22" i="106"/>
  <c r="O23" i="106"/>
  <c r="O24" i="106"/>
  <c r="O21" i="103"/>
  <c r="O22" i="103"/>
  <c r="O23" i="103"/>
  <c r="O24" i="103"/>
  <c r="O25" i="103"/>
  <c r="N21" i="103"/>
  <c r="N22" i="103"/>
  <c r="N23" i="103"/>
  <c r="O9" i="103" s="1"/>
  <c r="D8" i="114" s="1"/>
  <c r="N24" i="103"/>
  <c r="O4" i="103" s="1"/>
  <c r="N22" i="100"/>
  <c r="N24" i="100"/>
  <c r="O4" i="100" s="1"/>
  <c r="N21" i="100"/>
  <c r="N23" i="100"/>
  <c r="O9" i="100" s="1"/>
  <c r="D7" i="114" s="1"/>
  <c r="N25" i="100"/>
  <c r="O21" i="100"/>
  <c r="O22" i="100"/>
  <c r="O23" i="100"/>
  <c r="O24" i="100"/>
  <c r="N22" i="95"/>
  <c r="N24" i="95"/>
  <c r="O4" i="95" s="1"/>
  <c r="N21" i="95"/>
  <c r="N23" i="95"/>
  <c r="O9" i="95" s="1"/>
  <c r="D6" i="114" s="1"/>
  <c r="N25" i="95"/>
  <c r="O21" i="95"/>
  <c r="O22" i="95"/>
  <c r="O23" i="95"/>
  <c r="O24" i="95"/>
  <c r="I6" i="114" l="1"/>
  <c r="J6" i="114" s="1"/>
  <c r="N6" i="114"/>
  <c r="O6" i="114" s="1"/>
  <c r="N7" i="114"/>
  <c r="O7" i="114" s="1"/>
  <c r="I7" i="114"/>
  <c r="J7" i="114" s="1"/>
  <c r="D3" i="100"/>
  <c r="N8" i="114"/>
  <c r="O8" i="114" s="1"/>
  <c r="I8" i="114"/>
  <c r="J8" i="114" s="1"/>
  <c r="I10" i="114"/>
  <c r="J10" i="114" s="1"/>
  <c r="E4" i="112"/>
  <c r="F4" i="112" s="1"/>
  <c r="E6" i="112"/>
  <c r="F6" i="112" s="1"/>
  <c r="E8" i="112"/>
  <c r="F8" i="112" s="1"/>
  <c r="E10" i="112"/>
  <c r="F10" i="112" s="1"/>
  <c r="E12" i="112"/>
  <c r="F12" i="112" s="1"/>
  <c r="E14" i="112"/>
  <c r="F14" i="112" s="1"/>
  <c r="E16" i="112"/>
  <c r="F16" i="112" s="1"/>
  <c r="E18" i="112"/>
  <c r="F18" i="112" s="1"/>
  <c r="E20" i="112"/>
  <c r="F20" i="112" s="1"/>
  <c r="E22" i="112"/>
  <c r="F22" i="112" s="1"/>
  <c r="E24" i="112"/>
  <c r="F24" i="112" s="1"/>
  <c r="E26" i="112"/>
  <c r="F26" i="112" s="1"/>
  <c r="E28" i="112"/>
  <c r="F28" i="112" s="1"/>
  <c r="E30" i="112"/>
  <c r="F30" i="112" s="1"/>
  <c r="E32" i="112"/>
  <c r="F32" i="112" s="1"/>
  <c r="E34" i="112"/>
  <c r="F34" i="112" s="1"/>
  <c r="E36" i="112"/>
  <c r="F36" i="112" s="1"/>
  <c r="E38" i="112"/>
  <c r="F38" i="112" s="1"/>
  <c r="E40" i="112"/>
  <c r="F40" i="112" s="1"/>
  <c r="E42" i="112"/>
  <c r="F42" i="112" s="1"/>
  <c r="E44" i="112"/>
  <c r="F44" i="112" s="1"/>
  <c r="E46" i="112"/>
  <c r="F46" i="112" s="1"/>
  <c r="E48" i="112"/>
  <c r="F48" i="112" s="1"/>
  <c r="E50" i="112"/>
  <c r="F50" i="112" s="1"/>
  <c r="E52" i="112"/>
  <c r="F52" i="112" s="1"/>
  <c r="E54" i="112"/>
  <c r="F54" i="112" s="1"/>
  <c r="E56" i="112"/>
  <c r="F56" i="112" s="1"/>
  <c r="E58" i="112"/>
  <c r="F58" i="112" s="1"/>
  <c r="E60" i="112"/>
  <c r="F60" i="112" s="1"/>
  <c r="E5" i="112"/>
  <c r="F5" i="112" s="1"/>
  <c r="E9" i="112"/>
  <c r="F9" i="112" s="1"/>
  <c r="E13" i="112"/>
  <c r="F13" i="112" s="1"/>
  <c r="E17" i="112"/>
  <c r="F17" i="112" s="1"/>
  <c r="E21" i="112"/>
  <c r="F21" i="112" s="1"/>
  <c r="E25" i="112"/>
  <c r="F25" i="112" s="1"/>
  <c r="E29" i="112"/>
  <c r="F29" i="112" s="1"/>
  <c r="E33" i="112"/>
  <c r="F33" i="112" s="1"/>
  <c r="E37" i="112"/>
  <c r="F37" i="112" s="1"/>
  <c r="E41" i="112"/>
  <c r="F41" i="112" s="1"/>
  <c r="E45" i="112"/>
  <c r="F45" i="112" s="1"/>
  <c r="E49" i="112"/>
  <c r="F49" i="112" s="1"/>
  <c r="E53" i="112"/>
  <c r="F53" i="112" s="1"/>
  <c r="E57" i="112"/>
  <c r="F57" i="112" s="1"/>
  <c r="E3" i="112"/>
  <c r="N10" i="114"/>
  <c r="O10" i="114" s="1"/>
  <c r="E7" i="112"/>
  <c r="F7" i="112" s="1"/>
  <c r="E11" i="112"/>
  <c r="F11" i="112" s="1"/>
  <c r="E15" i="112"/>
  <c r="F15" i="112" s="1"/>
  <c r="E19" i="112"/>
  <c r="F19" i="112" s="1"/>
  <c r="E23" i="112"/>
  <c r="F23" i="112" s="1"/>
  <c r="E27" i="112"/>
  <c r="F27" i="112" s="1"/>
  <c r="E31" i="112"/>
  <c r="F31" i="112" s="1"/>
  <c r="E35" i="112"/>
  <c r="F35" i="112" s="1"/>
  <c r="E39" i="112"/>
  <c r="F39" i="112" s="1"/>
  <c r="E43" i="112"/>
  <c r="F43" i="112" s="1"/>
  <c r="E47" i="112"/>
  <c r="F47" i="112" s="1"/>
  <c r="E51" i="112"/>
  <c r="F51" i="112" s="1"/>
  <c r="E55" i="112"/>
  <c r="F55" i="112" s="1"/>
  <c r="E59" i="112"/>
  <c r="F59" i="112" s="1"/>
  <c r="P7" i="112"/>
  <c r="O6" i="95"/>
  <c r="O6" i="100"/>
  <c r="N9" i="114"/>
  <c r="O9" i="114" s="1"/>
  <c r="I9" i="114"/>
  <c r="J9" i="114" s="1"/>
  <c r="I60" i="112"/>
  <c r="G60" i="112"/>
  <c r="H60" i="112"/>
  <c r="D21" i="106"/>
  <c r="E21" i="106" s="1"/>
  <c r="D6" i="106"/>
  <c r="E6" i="106" s="1"/>
  <c r="O5" i="106"/>
  <c r="D34" i="106"/>
  <c r="E34" i="106" s="1"/>
  <c r="D30" i="106"/>
  <c r="E30" i="106" s="1"/>
  <c r="D26" i="106"/>
  <c r="E26" i="106" s="1"/>
  <c r="D22" i="106"/>
  <c r="E22" i="106" s="1"/>
  <c r="D18" i="106"/>
  <c r="E18" i="106" s="1"/>
  <c r="D14" i="106"/>
  <c r="E14" i="106" s="1"/>
  <c r="D8" i="106"/>
  <c r="E8" i="106" s="1"/>
  <c r="D41" i="106"/>
  <c r="E41" i="106" s="1"/>
  <c r="D37" i="106"/>
  <c r="E37" i="106" s="1"/>
  <c r="D45" i="106"/>
  <c r="E45" i="106" s="1"/>
  <c r="D48" i="106"/>
  <c r="E48" i="106" s="1"/>
  <c r="D52" i="106"/>
  <c r="E52" i="106" s="1"/>
  <c r="D56" i="106"/>
  <c r="E56" i="106" s="1"/>
  <c r="D60" i="106"/>
  <c r="E60" i="106" s="1"/>
  <c r="D5" i="106"/>
  <c r="E5" i="106" s="1"/>
  <c r="D7" i="106"/>
  <c r="E7" i="106" s="1"/>
  <c r="D10" i="106"/>
  <c r="E10" i="106" s="1"/>
  <c r="D13" i="106"/>
  <c r="E13" i="106" s="1"/>
  <c r="D17" i="106"/>
  <c r="E17" i="106" s="1"/>
  <c r="D23" i="106"/>
  <c r="E23" i="106" s="1"/>
  <c r="D27" i="106"/>
  <c r="E27" i="106" s="1"/>
  <c r="D31" i="106"/>
  <c r="E31" i="106" s="1"/>
  <c r="D35" i="106"/>
  <c r="E35" i="106" s="1"/>
  <c r="D40" i="106"/>
  <c r="E40" i="106" s="1"/>
  <c r="D44" i="106"/>
  <c r="E44" i="106" s="1"/>
  <c r="D49" i="106"/>
  <c r="E49" i="106" s="1"/>
  <c r="D53" i="106"/>
  <c r="E53" i="106" s="1"/>
  <c r="D57" i="106"/>
  <c r="E57" i="106" s="1"/>
  <c r="D36" i="106"/>
  <c r="E36" i="106" s="1"/>
  <c r="D32" i="106"/>
  <c r="E32" i="106" s="1"/>
  <c r="D28" i="106"/>
  <c r="E28" i="106" s="1"/>
  <c r="D24" i="106"/>
  <c r="E24" i="106" s="1"/>
  <c r="D20" i="106"/>
  <c r="E20" i="106" s="1"/>
  <c r="D16" i="106"/>
  <c r="E16" i="106" s="1"/>
  <c r="D11" i="106"/>
  <c r="E11" i="106" s="1"/>
  <c r="D4" i="106"/>
  <c r="E4" i="106" s="1"/>
  <c r="D39" i="106"/>
  <c r="E39" i="106" s="1"/>
  <c r="D43" i="106"/>
  <c r="E43" i="106" s="1"/>
  <c r="D46" i="106"/>
  <c r="E46" i="106" s="1"/>
  <c r="D50" i="106"/>
  <c r="E50" i="106" s="1"/>
  <c r="D54" i="106"/>
  <c r="E54" i="106" s="1"/>
  <c r="D58" i="106"/>
  <c r="E58" i="106" s="1"/>
  <c r="D3" i="106"/>
  <c r="D9" i="106"/>
  <c r="E9" i="106" s="1"/>
  <c r="D12" i="106"/>
  <c r="E12" i="106" s="1"/>
  <c r="D15" i="106"/>
  <c r="E15" i="106" s="1"/>
  <c r="D19" i="106"/>
  <c r="E19" i="106" s="1"/>
  <c r="D25" i="106"/>
  <c r="E25" i="106" s="1"/>
  <c r="D29" i="106"/>
  <c r="E29" i="106" s="1"/>
  <c r="D33" i="106"/>
  <c r="E33" i="106" s="1"/>
  <c r="D38" i="106"/>
  <c r="E38" i="106" s="1"/>
  <c r="D42" i="106"/>
  <c r="E42" i="106" s="1"/>
  <c r="D47" i="106"/>
  <c r="E47" i="106" s="1"/>
  <c r="D51" i="106"/>
  <c r="E51" i="106" s="1"/>
  <c r="D55" i="106"/>
  <c r="E55" i="106" s="1"/>
  <c r="D59" i="106"/>
  <c r="E59" i="106" s="1"/>
  <c r="D59" i="103"/>
  <c r="E59" i="103" s="1"/>
  <c r="D57" i="103"/>
  <c r="E57" i="103" s="1"/>
  <c r="D55" i="103"/>
  <c r="E55" i="103" s="1"/>
  <c r="D53" i="103"/>
  <c r="E53" i="103" s="1"/>
  <c r="D51" i="103"/>
  <c r="E51" i="103" s="1"/>
  <c r="D49" i="103"/>
  <c r="E49" i="103" s="1"/>
  <c r="D47" i="103"/>
  <c r="E47" i="103" s="1"/>
  <c r="D44" i="103"/>
  <c r="E44" i="103" s="1"/>
  <c r="D42" i="103"/>
  <c r="E42" i="103" s="1"/>
  <c r="D40" i="103"/>
  <c r="E40" i="103" s="1"/>
  <c r="D38" i="103"/>
  <c r="E38" i="103" s="1"/>
  <c r="D60" i="103"/>
  <c r="E60" i="103" s="1"/>
  <c r="D58" i="103"/>
  <c r="E58" i="103" s="1"/>
  <c r="D56" i="103"/>
  <c r="E56" i="103" s="1"/>
  <c r="J25" i="102" s="1"/>
  <c r="D54" i="103"/>
  <c r="E54" i="103" s="1"/>
  <c r="D52" i="103"/>
  <c r="E52" i="103" s="1"/>
  <c r="D50" i="103"/>
  <c r="E50" i="103" s="1"/>
  <c r="D48" i="103"/>
  <c r="E48" i="103" s="1"/>
  <c r="I25" i="102" s="1"/>
  <c r="D46" i="103"/>
  <c r="E46" i="103" s="1"/>
  <c r="D45" i="103"/>
  <c r="E45" i="103" s="1"/>
  <c r="D43" i="103"/>
  <c r="E43" i="103" s="1"/>
  <c r="D41" i="103"/>
  <c r="E41" i="103" s="1"/>
  <c r="D39" i="103"/>
  <c r="E39" i="103" s="1"/>
  <c r="G25" i="102" s="1"/>
  <c r="D37" i="103"/>
  <c r="E37" i="103" s="1"/>
  <c r="D35" i="103"/>
  <c r="E35" i="103" s="1"/>
  <c r="D32" i="103"/>
  <c r="E32" i="103" s="1"/>
  <c r="D30" i="103"/>
  <c r="E30" i="103" s="1"/>
  <c r="D28" i="103"/>
  <c r="E28" i="103" s="1"/>
  <c r="D26" i="103"/>
  <c r="E26" i="103" s="1"/>
  <c r="D25" i="102" s="1"/>
  <c r="D24" i="103"/>
  <c r="E24" i="103" s="1"/>
  <c r="D22" i="103"/>
  <c r="E22" i="103" s="1"/>
  <c r="D21" i="103"/>
  <c r="E21" i="103" s="1"/>
  <c r="D20" i="103"/>
  <c r="E20" i="103" s="1"/>
  <c r="D18" i="103"/>
  <c r="E18" i="103" s="1"/>
  <c r="D16" i="103"/>
  <c r="E16" i="103" s="1"/>
  <c r="D14" i="103"/>
  <c r="E14" i="103" s="1"/>
  <c r="D11" i="103"/>
  <c r="E11" i="103" s="1"/>
  <c r="D8" i="103"/>
  <c r="E8" i="103" s="1"/>
  <c r="D36" i="103"/>
  <c r="E36" i="103" s="1"/>
  <c r="D34" i="103"/>
  <c r="E34" i="103" s="1"/>
  <c r="D33" i="103"/>
  <c r="E33" i="103" s="1"/>
  <c r="D31" i="103"/>
  <c r="E31" i="103" s="1"/>
  <c r="F25" i="102" s="1"/>
  <c r="D29" i="103"/>
  <c r="E29" i="103" s="1"/>
  <c r="D27" i="103"/>
  <c r="E27" i="103" s="1"/>
  <c r="E25" i="102" s="1"/>
  <c r="D25" i="103"/>
  <c r="E25" i="103" s="1"/>
  <c r="D23" i="103"/>
  <c r="E23" i="103" s="1"/>
  <c r="D19" i="103"/>
  <c r="E19" i="103" s="1"/>
  <c r="D17" i="103"/>
  <c r="E17" i="103" s="1"/>
  <c r="D15" i="103"/>
  <c r="E15" i="103" s="1"/>
  <c r="D13" i="103"/>
  <c r="E13" i="103" s="1"/>
  <c r="D9" i="103"/>
  <c r="E9" i="103" s="1"/>
  <c r="D7" i="103"/>
  <c r="E7" i="103" s="1"/>
  <c r="O6" i="103"/>
  <c r="D6" i="103"/>
  <c r="E6" i="103" s="1"/>
  <c r="D4" i="103"/>
  <c r="E4" i="103" s="1"/>
  <c r="D12" i="103"/>
  <c r="E12" i="103" s="1"/>
  <c r="D10" i="103"/>
  <c r="E10" i="103" s="1"/>
  <c r="D5" i="103"/>
  <c r="E5" i="103" s="1"/>
  <c r="D3" i="103"/>
  <c r="O5" i="103"/>
  <c r="D21" i="100"/>
  <c r="E21" i="100" s="1"/>
  <c r="D6" i="100"/>
  <c r="E6" i="100" s="1"/>
  <c r="O5" i="100"/>
  <c r="D34" i="100"/>
  <c r="E34" i="100" s="1"/>
  <c r="D30" i="100"/>
  <c r="E30" i="100" s="1"/>
  <c r="D26" i="100"/>
  <c r="E26" i="100" s="1"/>
  <c r="D22" i="100"/>
  <c r="E22" i="100" s="1"/>
  <c r="D18" i="100"/>
  <c r="E18" i="100" s="1"/>
  <c r="D14" i="100"/>
  <c r="E14" i="100" s="1"/>
  <c r="D8" i="100"/>
  <c r="E8" i="100" s="1"/>
  <c r="D41" i="100"/>
  <c r="E41" i="100" s="1"/>
  <c r="D37" i="100"/>
  <c r="E37" i="100" s="1"/>
  <c r="D45" i="100"/>
  <c r="E45" i="100" s="1"/>
  <c r="D48" i="100"/>
  <c r="E48" i="100" s="1"/>
  <c r="D52" i="100"/>
  <c r="E52" i="100" s="1"/>
  <c r="D56" i="100"/>
  <c r="E56" i="100" s="1"/>
  <c r="D60" i="100"/>
  <c r="E60" i="100" s="1"/>
  <c r="D5" i="100"/>
  <c r="E5" i="100" s="1"/>
  <c r="D7" i="100"/>
  <c r="E7" i="100" s="1"/>
  <c r="D10" i="100"/>
  <c r="E10" i="100" s="1"/>
  <c r="D13" i="100"/>
  <c r="E13" i="100" s="1"/>
  <c r="D17" i="100"/>
  <c r="E17" i="100" s="1"/>
  <c r="D23" i="100"/>
  <c r="E23" i="100" s="1"/>
  <c r="D27" i="100"/>
  <c r="E27" i="100" s="1"/>
  <c r="D31" i="100"/>
  <c r="E31" i="100" s="1"/>
  <c r="D35" i="100"/>
  <c r="E35" i="100" s="1"/>
  <c r="D40" i="100"/>
  <c r="E40" i="100" s="1"/>
  <c r="D44" i="100"/>
  <c r="E44" i="100" s="1"/>
  <c r="D49" i="100"/>
  <c r="E49" i="100" s="1"/>
  <c r="D53" i="100"/>
  <c r="E53" i="100" s="1"/>
  <c r="D57" i="100"/>
  <c r="E57" i="100" s="1"/>
  <c r="D36" i="100"/>
  <c r="E36" i="100" s="1"/>
  <c r="D32" i="100"/>
  <c r="E32" i="100" s="1"/>
  <c r="D28" i="100"/>
  <c r="E28" i="100" s="1"/>
  <c r="D24" i="100"/>
  <c r="E24" i="100" s="1"/>
  <c r="D20" i="100"/>
  <c r="E20" i="100" s="1"/>
  <c r="D16" i="100"/>
  <c r="E16" i="100" s="1"/>
  <c r="D11" i="100"/>
  <c r="E11" i="100" s="1"/>
  <c r="D4" i="100"/>
  <c r="E4" i="100" s="1"/>
  <c r="D39" i="100"/>
  <c r="E39" i="100" s="1"/>
  <c r="D43" i="100"/>
  <c r="E43" i="100" s="1"/>
  <c r="D46" i="100"/>
  <c r="E46" i="100" s="1"/>
  <c r="D50" i="100"/>
  <c r="E50" i="100" s="1"/>
  <c r="D54" i="100"/>
  <c r="E54" i="100" s="1"/>
  <c r="D58" i="100"/>
  <c r="E58" i="100" s="1"/>
  <c r="D9" i="100"/>
  <c r="E9" i="100" s="1"/>
  <c r="D12" i="100"/>
  <c r="E12" i="100" s="1"/>
  <c r="D15" i="100"/>
  <c r="E15" i="100" s="1"/>
  <c r="D19" i="100"/>
  <c r="E19" i="100" s="1"/>
  <c r="D25" i="100"/>
  <c r="E25" i="100" s="1"/>
  <c r="D29" i="100"/>
  <c r="E29" i="100" s="1"/>
  <c r="D33" i="100"/>
  <c r="E33" i="100" s="1"/>
  <c r="D38" i="100"/>
  <c r="E38" i="100" s="1"/>
  <c r="D42" i="100"/>
  <c r="E42" i="100" s="1"/>
  <c r="D47" i="100"/>
  <c r="E47" i="100" s="1"/>
  <c r="D51" i="100"/>
  <c r="E51" i="100" s="1"/>
  <c r="D55" i="100"/>
  <c r="E55" i="100" s="1"/>
  <c r="D59" i="100"/>
  <c r="E59" i="100" s="1"/>
  <c r="F25" i="99" s="1"/>
  <c r="D21" i="95"/>
  <c r="E21" i="95" s="1"/>
  <c r="D6" i="95"/>
  <c r="E6" i="95" s="1"/>
  <c r="O5" i="95"/>
  <c r="D34" i="95"/>
  <c r="E34" i="95" s="1"/>
  <c r="D30" i="95"/>
  <c r="E30" i="95" s="1"/>
  <c r="D26" i="95"/>
  <c r="E26" i="95" s="1"/>
  <c r="D22" i="95"/>
  <c r="E22" i="95" s="1"/>
  <c r="D18" i="95"/>
  <c r="E18" i="95" s="1"/>
  <c r="D14" i="95"/>
  <c r="E14" i="95" s="1"/>
  <c r="D8" i="95"/>
  <c r="E8" i="95" s="1"/>
  <c r="D41" i="95"/>
  <c r="E41" i="95" s="1"/>
  <c r="D37" i="95"/>
  <c r="E37" i="95" s="1"/>
  <c r="D45" i="95"/>
  <c r="E45" i="95" s="1"/>
  <c r="D48" i="95"/>
  <c r="E48" i="95" s="1"/>
  <c r="D52" i="95"/>
  <c r="E52" i="95" s="1"/>
  <c r="D56" i="95"/>
  <c r="E56" i="95" s="1"/>
  <c r="E25" i="94" s="1"/>
  <c r="D60" i="95"/>
  <c r="E60" i="95" s="1"/>
  <c r="D5" i="95"/>
  <c r="E5" i="95" s="1"/>
  <c r="D7" i="95"/>
  <c r="E7" i="95" s="1"/>
  <c r="D10" i="95"/>
  <c r="E10" i="95" s="1"/>
  <c r="D13" i="95"/>
  <c r="E13" i="95" s="1"/>
  <c r="D17" i="95"/>
  <c r="E17" i="95" s="1"/>
  <c r="D23" i="95"/>
  <c r="E23" i="95" s="1"/>
  <c r="D27" i="95"/>
  <c r="E27" i="95" s="1"/>
  <c r="D31" i="95"/>
  <c r="E31" i="95" s="1"/>
  <c r="D35" i="95"/>
  <c r="E35" i="95" s="1"/>
  <c r="D40" i="95"/>
  <c r="E40" i="95" s="1"/>
  <c r="D44" i="95"/>
  <c r="E44" i="95" s="1"/>
  <c r="D49" i="95"/>
  <c r="E49" i="95" s="1"/>
  <c r="D53" i="95"/>
  <c r="E53" i="95" s="1"/>
  <c r="D57" i="95"/>
  <c r="E57" i="95" s="1"/>
  <c r="D36" i="95"/>
  <c r="E36" i="95" s="1"/>
  <c r="D32" i="95"/>
  <c r="E32" i="95" s="1"/>
  <c r="D28" i="95"/>
  <c r="E28" i="95" s="1"/>
  <c r="D24" i="95"/>
  <c r="E24" i="95" s="1"/>
  <c r="D20" i="95"/>
  <c r="E20" i="95" s="1"/>
  <c r="D16" i="95"/>
  <c r="E16" i="95" s="1"/>
  <c r="D11" i="95"/>
  <c r="E11" i="95" s="1"/>
  <c r="D4" i="95"/>
  <c r="E4" i="95" s="1"/>
  <c r="D39" i="95"/>
  <c r="E39" i="95" s="1"/>
  <c r="D43" i="95"/>
  <c r="E43" i="95" s="1"/>
  <c r="D46" i="95"/>
  <c r="E46" i="95" s="1"/>
  <c r="D50" i="95"/>
  <c r="E50" i="95" s="1"/>
  <c r="D54" i="95"/>
  <c r="E54" i="95" s="1"/>
  <c r="D58" i="95"/>
  <c r="E58" i="95" s="1"/>
  <c r="D3" i="95"/>
  <c r="D9" i="95"/>
  <c r="E9" i="95" s="1"/>
  <c r="D12" i="95"/>
  <c r="E12" i="95" s="1"/>
  <c r="D15" i="95"/>
  <c r="E15" i="95" s="1"/>
  <c r="D19" i="95"/>
  <c r="E19" i="95" s="1"/>
  <c r="D25" i="95"/>
  <c r="E25" i="95" s="1"/>
  <c r="D29" i="95"/>
  <c r="E29" i="95" s="1"/>
  <c r="D33" i="95"/>
  <c r="E33" i="95" s="1"/>
  <c r="D38" i="95"/>
  <c r="E38" i="95" s="1"/>
  <c r="D42" i="95"/>
  <c r="E42" i="95" s="1"/>
  <c r="D47" i="95"/>
  <c r="E47" i="95" s="1"/>
  <c r="D51" i="95"/>
  <c r="E51" i="95" s="1"/>
  <c r="D55" i="95"/>
  <c r="E55" i="95" s="1"/>
  <c r="D59" i="95"/>
  <c r="E59" i="95" s="1"/>
  <c r="D25" i="99" l="1"/>
  <c r="B25" i="99"/>
  <c r="B26" i="99" s="1"/>
  <c r="C25" i="102"/>
  <c r="H25" i="102"/>
  <c r="D25" i="105"/>
  <c r="I55" i="112"/>
  <c r="H55" i="112"/>
  <c r="G55" i="112"/>
  <c r="I47" i="112"/>
  <c r="K45" i="108"/>
  <c r="H47" i="112"/>
  <c r="G47" i="112"/>
  <c r="I39" i="112"/>
  <c r="I45" i="108"/>
  <c r="H39" i="112"/>
  <c r="G39" i="112"/>
  <c r="I31" i="112"/>
  <c r="H31" i="112"/>
  <c r="G31" i="112"/>
  <c r="I23" i="112"/>
  <c r="H23" i="112"/>
  <c r="G23" i="112"/>
  <c r="I15" i="112"/>
  <c r="H15" i="112"/>
  <c r="G15" i="112"/>
  <c r="I7" i="112"/>
  <c r="H7" i="112"/>
  <c r="G7" i="112"/>
  <c r="F3" i="112"/>
  <c r="E62" i="112"/>
  <c r="E61" i="112"/>
  <c r="I53" i="112"/>
  <c r="H53" i="112"/>
  <c r="G53" i="112"/>
  <c r="I45" i="112"/>
  <c r="H45" i="112"/>
  <c r="G45" i="112"/>
  <c r="I37" i="112"/>
  <c r="H37" i="112"/>
  <c r="G37" i="112"/>
  <c r="I29" i="112"/>
  <c r="H29" i="112"/>
  <c r="G29" i="112"/>
  <c r="I21" i="112"/>
  <c r="H21" i="112"/>
  <c r="G21" i="112"/>
  <c r="I13" i="112"/>
  <c r="H13" i="112"/>
  <c r="G13" i="112"/>
  <c r="C45" i="108"/>
  <c r="I5" i="112"/>
  <c r="H5" i="112"/>
  <c r="G5" i="112"/>
  <c r="G58" i="112"/>
  <c r="I58" i="112"/>
  <c r="H58" i="112"/>
  <c r="G54" i="112"/>
  <c r="H54" i="112"/>
  <c r="I54" i="112"/>
  <c r="G50" i="112"/>
  <c r="I50" i="112"/>
  <c r="H50" i="112"/>
  <c r="G46" i="112"/>
  <c r="H46" i="112"/>
  <c r="I46" i="112"/>
  <c r="G42" i="112"/>
  <c r="I42" i="112"/>
  <c r="H42" i="112"/>
  <c r="G38" i="112"/>
  <c r="H38" i="112"/>
  <c r="I38" i="112"/>
  <c r="G34" i="112"/>
  <c r="I34" i="112"/>
  <c r="H34" i="112"/>
  <c r="G30" i="112"/>
  <c r="H30" i="112"/>
  <c r="I30" i="112"/>
  <c r="F45" i="108"/>
  <c r="G26" i="112"/>
  <c r="I26" i="112"/>
  <c r="H26" i="112"/>
  <c r="G22" i="112"/>
  <c r="H22" i="112"/>
  <c r="I22" i="112"/>
  <c r="E45" i="108"/>
  <c r="G18" i="112"/>
  <c r="I18" i="112"/>
  <c r="H18" i="112"/>
  <c r="G14" i="112"/>
  <c r="H14" i="112"/>
  <c r="I14" i="112"/>
  <c r="D45" i="108"/>
  <c r="G10" i="112"/>
  <c r="I10" i="112"/>
  <c r="H10" i="112"/>
  <c r="G6" i="112"/>
  <c r="H6" i="112"/>
  <c r="I6" i="112"/>
  <c r="C25" i="99"/>
  <c r="E25" i="99"/>
  <c r="B25" i="102"/>
  <c r="C25" i="105"/>
  <c r="B25" i="105"/>
  <c r="B27" i="105" s="1"/>
  <c r="E25" i="105"/>
  <c r="I59" i="112"/>
  <c r="H59" i="112"/>
  <c r="G59" i="112"/>
  <c r="I51" i="112"/>
  <c r="H51" i="112"/>
  <c r="G51" i="112"/>
  <c r="I43" i="112"/>
  <c r="H43" i="112"/>
  <c r="G43" i="112"/>
  <c r="I35" i="112"/>
  <c r="H35" i="112"/>
  <c r="G35" i="112"/>
  <c r="I27" i="112"/>
  <c r="G45" i="108"/>
  <c r="H27" i="112"/>
  <c r="G27" i="112"/>
  <c r="I19" i="112"/>
  <c r="H19" i="112"/>
  <c r="G19" i="112"/>
  <c r="I11" i="112"/>
  <c r="H11" i="112"/>
  <c r="G11" i="112"/>
  <c r="I57" i="112"/>
  <c r="L45" i="108"/>
  <c r="H57" i="112"/>
  <c r="G57" i="112"/>
  <c r="I49" i="112"/>
  <c r="H49" i="112"/>
  <c r="G49" i="112"/>
  <c r="I41" i="112"/>
  <c r="H41" i="112"/>
  <c r="G41" i="112"/>
  <c r="I33" i="112"/>
  <c r="H33" i="112"/>
  <c r="G33" i="112"/>
  <c r="I25" i="112"/>
  <c r="H25" i="112"/>
  <c r="G25" i="112"/>
  <c r="I17" i="112"/>
  <c r="H17" i="112"/>
  <c r="G17" i="112"/>
  <c r="I9" i="112"/>
  <c r="H9" i="112"/>
  <c r="G9" i="112"/>
  <c r="I56" i="112"/>
  <c r="G56" i="112"/>
  <c r="H56" i="112"/>
  <c r="G52" i="112"/>
  <c r="I52" i="112"/>
  <c r="H52" i="112"/>
  <c r="I48" i="112"/>
  <c r="G48" i="112"/>
  <c r="H48" i="112"/>
  <c r="G44" i="112"/>
  <c r="I44" i="112"/>
  <c r="H44" i="112"/>
  <c r="J45" i="108"/>
  <c r="I40" i="112"/>
  <c r="G40" i="112"/>
  <c r="H40" i="112"/>
  <c r="G36" i="112"/>
  <c r="I36" i="112"/>
  <c r="H36" i="112"/>
  <c r="H45" i="108"/>
  <c r="I32" i="112"/>
  <c r="G32" i="112"/>
  <c r="H32" i="112"/>
  <c r="G28" i="112"/>
  <c r="I28" i="112"/>
  <c r="H28" i="112"/>
  <c r="I24" i="112"/>
  <c r="G24" i="112"/>
  <c r="H24" i="112"/>
  <c r="G20" i="112"/>
  <c r="I20" i="112"/>
  <c r="H20" i="112"/>
  <c r="I16" i="112"/>
  <c r="G16" i="112"/>
  <c r="H16" i="112"/>
  <c r="G12" i="112"/>
  <c r="I12" i="112"/>
  <c r="H12" i="112"/>
  <c r="I8" i="112"/>
  <c r="G8" i="112"/>
  <c r="H8" i="112"/>
  <c r="B45" i="108"/>
  <c r="B46" i="108" s="1"/>
  <c r="G4" i="112"/>
  <c r="I4" i="112"/>
  <c r="I62" i="112" s="1"/>
  <c r="H4" i="112"/>
  <c r="I61" i="112"/>
  <c r="B67" i="108" s="1"/>
  <c r="F55" i="106"/>
  <c r="G55" i="106"/>
  <c r="H54" i="106"/>
  <c r="F47" i="106"/>
  <c r="G47" i="106"/>
  <c r="H46" i="106"/>
  <c r="F38" i="106"/>
  <c r="H37" i="106"/>
  <c r="G38" i="106"/>
  <c r="F29" i="106"/>
  <c r="G29" i="106"/>
  <c r="H28" i="106"/>
  <c r="F19" i="106"/>
  <c r="G19" i="106"/>
  <c r="H18" i="106"/>
  <c r="F12" i="106"/>
  <c r="G12" i="106"/>
  <c r="H11" i="106"/>
  <c r="D62" i="106"/>
  <c r="D61" i="106"/>
  <c r="E3" i="106"/>
  <c r="A25" i="105" s="1"/>
  <c r="G54" i="106"/>
  <c r="H53" i="106"/>
  <c r="F54" i="106"/>
  <c r="G46" i="106"/>
  <c r="F46" i="106"/>
  <c r="H45" i="106"/>
  <c r="G39" i="106"/>
  <c r="H38" i="106"/>
  <c r="F39" i="106"/>
  <c r="G11" i="106"/>
  <c r="H10" i="106"/>
  <c r="F11" i="106"/>
  <c r="G20" i="106"/>
  <c r="H19" i="106"/>
  <c r="F20" i="106"/>
  <c r="G28" i="106"/>
  <c r="H27" i="106"/>
  <c r="F28" i="106"/>
  <c r="F36" i="106"/>
  <c r="H35" i="106"/>
  <c r="G36" i="106"/>
  <c r="F53" i="106"/>
  <c r="G53" i="106"/>
  <c r="H52" i="106"/>
  <c r="F44" i="106"/>
  <c r="G44" i="106"/>
  <c r="H43" i="106"/>
  <c r="F35" i="106"/>
  <c r="G35" i="106"/>
  <c r="H34" i="106"/>
  <c r="F27" i="106"/>
  <c r="G27" i="106"/>
  <c r="H26" i="106"/>
  <c r="F17" i="106"/>
  <c r="G17" i="106"/>
  <c r="H16" i="106"/>
  <c r="F10" i="106"/>
  <c r="H9" i="106"/>
  <c r="G10" i="106"/>
  <c r="F5" i="106"/>
  <c r="H4" i="106"/>
  <c r="G5" i="106"/>
  <c r="G56" i="106"/>
  <c r="H55" i="106"/>
  <c r="F56" i="106"/>
  <c r="G48" i="106"/>
  <c r="H47" i="106"/>
  <c r="F48" i="106"/>
  <c r="G37" i="106"/>
  <c r="H36" i="106"/>
  <c r="F37" i="106"/>
  <c r="G8" i="106"/>
  <c r="H7" i="106"/>
  <c r="F8" i="106"/>
  <c r="G18" i="106"/>
  <c r="H17" i="106"/>
  <c r="F18" i="106"/>
  <c r="G26" i="106"/>
  <c r="H25" i="106"/>
  <c r="F26" i="106"/>
  <c r="G34" i="106"/>
  <c r="H33" i="106"/>
  <c r="F34" i="106"/>
  <c r="G6" i="106"/>
  <c r="H5" i="106"/>
  <c r="F6" i="106"/>
  <c r="F59" i="106"/>
  <c r="G59" i="106"/>
  <c r="H58" i="106"/>
  <c r="F51" i="106"/>
  <c r="G51" i="106"/>
  <c r="H50" i="106"/>
  <c r="F42" i="106"/>
  <c r="G42" i="106"/>
  <c r="H41" i="106"/>
  <c r="F33" i="106"/>
  <c r="G33" i="106"/>
  <c r="H32" i="106"/>
  <c r="F25" i="106"/>
  <c r="G25" i="106"/>
  <c r="H24" i="106"/>
  <c r="F15" i="106"/>
  <c r="G15" i="106"/>
  <c r="H14" i="106"/>
  <c r="F9" i="106"/>
  <c r="G9" i="106"/>
  <c r="H8" i="106"/>
  <c r="G58" i="106"/>
  <c r="H57" i="106"/>
  <c r="F58" i="106"/>
  <c r="G50" i="106"/>
  <c r="H49" i="106"/>
  <c r="F50" i="106"/>
  <c r="G43" i="106"/>
  <c r="H42" i="106"/>
  <c r="F43" i="106"/>
  <c r="G4" i="106"/>
  <c r="H3" i="106"/>
  <c r="F4" i="106"/>
  <c r="G16" i="106"/>
  <c r="H15" i="106"/>
  <c r="F16" i="106"/>
  <c r="G24" i="106"/>
  <c r="H23" i="106"/>
  <c r="F24" i="106"/>
  <c r="G32" i="106"/>
  <c r="H31" i="106"/>
  <c r="F32" i="106"/>
  <c r="F57" i="106"/>
  <c r="G57" i="106"/>
  <c r="H56" i="106"/>
  <c r="F49" i="106"/>
  <c r="G49" i="106"/>
  <c r="H48" i="106"/>
  <c r="F40" i="106"/>
  <c r="H39" i="106"/>
  <c r="G40" i="106"/>
  <c r="F31" i="106"/>
  <c r="G31" i="106"/>
  <c r="H30" i="106"/>
  <c r="F23" i="106"/>
  <c r="G23" i="106"/>
  <c r="H22" i="106"/>
  <c r="F13" i="106"/>
  <c r="H12" i="106"/>
  <c r="G13" i="106"/>
  <c r="F7" i="106"/>
  <c r="G7" i="106"/>
  <c r="H6" i="106"/>
  <c r="G60" i="106"/>
  <c r="H59" i="106"/>
  <c r="F60" i="106"/>
  <c r="G52" i="106"/>
  <c r="H51" i="106"/>
  <c r="F52" i="106"/>
  <c r="G45" i="106"/>
  <c r="H44" i="106"/>
  <c r="F45" i="106"/>
  <c r="G41" i="106"/>
  <c r="H40" i="106"/>
  <c r="F41" i="106"/>
  <c r="G14" i="106"/>
  <c r="H13" i="106"/>
  <c r="F14" i="106"/>
  <c r="G22" i="106"/>
  <c r="F22" i="106"/>
  <c r="H21" i="106"/>
  <c r="G30" i="106"/>
  <c r="H29" i="106"/>
  <c r="F30" i="106"/>
  <c r="G21" i="106"/>
  <c r="F21" i="106"/>
  <c r="H20" i="106"/>
  <c r="G5" i="103"/>
  <c r="H4" i="103"/>
  <c r="F5" i="103"/>
  <c r="G12" i="103"/>
  <c r="H11" i="103"/>
  <c r="F12" i="103"/>
  <c r="F6" i="103"/>
  <c r="G6" i="103"/>
  <c r="H5" i="103"/>
  <c r="G7" i="103"/>
  <c r="H6" i="103"/>
  <c r="F7" i="103"/>
  <c r="G13" i="103"/>
  <c r="F13" i="103"/>
  <c r="H12" i="103"/>
  <c r="G17" i="103"/>
  <c r="H16" i="103"/>
  <c r="F17" i="103"/>
  <c r="G23" i="103"/>
  <c r="H22" i="103"/>
  <c r="F23" i="103"/>
  <c r="G27" i="103"/>
  <c r="H26" i="103"/>
  <c r="F27" i="103"/>
  <c r="G31" i="103"/>
  <c r="H30" i="103"/>
  <c r="F31" i="103"/>
  <c r="G34" i="103"/>
  <c r="F34" i="103"/>
  <c r="H33" i="103"/>
  <c r="F8" i="103"/>
  <c r="G8" i="103"/>
  <c r="H7" i="103"/>
  <c r="F14" i="103"/>
  <c r="G14" i="103"/>
  <c r="H13" i="103"/>
  <c r="F18" i="103"/>
  <c r="G18" i="103"/>
  <c r="H17" i="103"/>
  <c r="F21" i="103"/>
  <c r="H20" i="103"/>
  <c r="G21" i="103"/>
  <c r="F24" i="103"/>
  <c r="G24" i="103"/>
  <c r="H23" i="103"/>
  <c r="F28" i="103"/>
  <c r="G28" i="103"/>
  <c r="H27" i="103"/>
  <c r="F32" i="103"/>
  <c r="G32" i="103"/>
  <c r="H31" i="103"/>
  <c r="G37" i="103"/>
  <c r="H36" i="103"/>
  <c r="F37" i="103"/>
  <c r="G41" i="103"/>
  <c r="H40" i="103"/>
  <c r="F41" i="103"/>
  <c r="G45" i="103"/>
  <c r="H44" i="103"/>
  <c r="F45" i="103"/>
  <c r="G48" i="103"/>
  <c r="H47" i="103"/>
  <c r="F48" i="103"/>
  <c r="G52" i="103"/>
  <c r="H51" i="103"/>
  <c r="F52" i="103"/>
  <c r="G56" i="103"/>
  <c r="H55" i="103"/>
  <c r="F56" i="103"/>
  <c r="G60" i="103"/>
  <c r="H59" i="103"/>
  <c r="F60" i="103"/>
  <c r="F40" i="103"/>
  <c r="G40" i="103"/>
  <c r="H39" i="103"/>
  <c r="F44" i="103"/>
  <c r="G44" i="103"/>
  <c r="H43" i="103"/>
  <c r="F49" i="103"/>
  <c r="G49" i="103"/>
  <c r="H48" i="103"/>
  <c r="F53" i="103"/>
  <c r="G53" i="103"/>
  <c r="H52" i="103"/>
  <c r="F57" i="103"/>
  <c r="G57" i="103"/>
  <c r="H56" i="103"/>
  <c r="D62" i="103"/>
  <c r="D61" i="103"/>
  <c r="E3" i="103"/>
  <c r="A25" i="102" s="1"/>
  <c r="G10" i="103"/>
  <c r="F10" i="103"/>
  <c r="H9" i="103"/>
  <c r="F4" i="103"/>
  <c r="G4" i="103"/>
  <c r="H3" i="103"/>
  <c r="G9" i="103"/>
  <c r="H8" i="103"/>
  <c r="F9" i="103"/>
  <c r="G15" i="103"/>
  <c r="H14" i="103"/>
  <c r="F15" i="103"/>
  <c r="G19" i="103"/>
  <c r="H18" i="103"/>
  <c r="F19" i="103"/>
  <c r="G25" i="103"/>
  <c r="H24" i="103"/>
  <c r="F25" i="103"/>
  <c r="G29" i="103"/>
  <c r="H28" i="103"/>
  <c r="F29" i="103"/>
  <c r="G33" i="103"/>
  <c r="H32" i="103"/>
  <c r="F33" i="103"/>
  <c r="G36" i="103"/>
  <c r="H35" i="103"/>
  <c r="F36" i="103"/>
  <c r="F11" i="103"/>
  <c r="G11" i="103"/>
  <c r="H10" i="103"/>
  <c r="F16" i="103"/>
  <c r="G16" i="103"/>
  <c r="H15" i="103"/>
  <c r="F20" i="103"/>
  <c r="G20" i="103"/>
  <c r="H19" i="103"/>
  <c r="F22" i="103"/>
  <c r="H21" i="103"/>
  <c r="G22" i="103"/>
  <c r="F26" i="103"/>
  <c r="G26" i="103"/>
  <c r="H25" i="103"/>
  <c r="F30" i="103"/>
  <c r="G30" i="103"/>
  <c r="H29" i="103"/>
  <c r="F35" i="103"/>
  <c r="G35" i="103"/>
  <c r="H34" i="103"/>
  <c r="G39" i="103"/>
  <c r="H38" i="103"/>
  <c r="F39" i="103"/>
  <c r="G43" i="103"/>
  <c r="H42" i="103"/>
  <c r="F43" i="103"/>
  <c r="G46" i="103"/>
  <c r="F46" i="103"/>
  <c r="H45" i="103"/>
  <c r="G50" i="103"/>
  <c r="H49" i="103"/>
  <c r="F50" i="103"/>
  <c r="G54" i="103"/>
  <c r="H53" i="103"/>
  <c r="F54" i="103"/>
  <c r="G58" i="103"/>
  <c r="H57" i="103"/>
  <c r="F58" i="103"/>
  <c r="F38" i="103"/>
  <c r="G38" i="103"/>
  <c r="H37" i="103"/>
  <c r="F42" i="103"/>
  <c r="G42" i="103"/>
  <c r="H41" i="103"/>
  <c r="F47" i="103"/>
  <c r="G47" i="103"/>
  <c r="H46" i="103"/>
  <c r="F51" i="103"/>
  <c r="G51" i="103"/>
  <c r="H50" i="103"/>
  <c r="F55" i="103"/>
  <c r="G55" i="103"/>
  <c r="H54" i="103"/>
  <c r="F59" i="103"/>
  <c r="G59" i="103"/>
  <c r="H58" i="103"/>
  <c r="F55" i="100"/>
  <c r="G55" i="100"/>
  <c r="H54" i="100"/>
  <c r="F47" i="100"/>
  <c r="G47" i="100"/>
  <c r="H46" i="100"/>
  <c r="F38" i="100"/>
  <c r="H37" i="100"/>
  <c r="G38" i="100"/>
  <c r="F29" i="100"/>
  <c r="G29" i="100"/>
  <c r="H28" i="100"/>
  <c r="F19" i="100"/>
  <c r="G19" i="100"/>
  <c r="H18" i="100"/>
  <c r="F12" i="100"/>
  <c r="G12" i="100"/>
  <c r="H11" i="100"/>
  <c r="D62" i="100"/>
  <c r="D61" i="100"/>
  <c r="E3" i="100"/>
  <c r="A25" i="99" s="1"/>
  <c r="G54" i="100"/>
  <c r="H53" i="100"/>
  <c r="F54" i="100"/>
  <c r="G46" i="100"/>
  <c r="F46" i="100"/>
  <c r="H45" i="100"/>
  <c r="G39" i="100"/>
  <c r="H38" i="100"/>
  <c r="F39" i="100"/>
  <c r="G11" i="100"/>
  <c r="H10" i="100"/>
  <c r="F11" i="100"/>
  <c r="G20" i="100"/>
  <c r="H19" i="100"/>
  <c r="F20" i="100"/>
  <c r="G28" i="100"/>
  <c r="H27" i="100"/>
  <c r="F28" i="100"/>
  <c r="F36" i="100"/>
  <c r="H35" i="100"/>
  <c r="G36" i="100"/>
  <c r="F53" i="100"/>
  <c r="G53" i="100"/>
  <c r="H52" i="100"/>
  <c r="F44" i="100"/>
  <c r="G44" i="100"/>
  <c r="H43" i="100"/>
  <c r="F35" i="100"/>
  <c r="G35" i="100"/>
  <c r="H34" i="100"/>
  <c r="F27" i="100"/>
  <c r="G27" i="100"/>
  <c r="H26" i="100"/>
  <c r="F17" i="100"/>
  <c r="G17" i="100"/>
  <c r="H16" i="100"/>
  <c r="F10" i="100"/>
  <c r="H9" i="100"/>
  <c r="G10" i="100"/>
  <c r="F5" i="100"/>
  <c r="H4" i="100"/>
  <c r="G5" i="100"/>
  <c r="G56" i="100"/>
  <c r="H55" i="100"/>
  <c r="F56" i="100"/>
  <c r="G48" i="100"/>
  <c r="H47" i="100"/>
  <c r="F48" i="100"/>
  <c r="G37" i="100"/>
  <c r="H36" i="100"/>
  <c r="F37" i="100"/>
  <c r="G8" i="100"/>
  <c r="H7" i="100"/>
  <c r="F8" i="100"/>
  <c r="G18" i="100"/>
  <c r="H17" i="100"/>
  <c r="F18" i="100"/>
  <c r="G26" i="100"/>
  <c r="H25" i="100"/>
  <c r="F26" i="100"/>
  <c r="G34" i="100"/>
  <c r="H33" i="100"/>
  <c r="F34" i="100"/>
  <c r="G6" i="100"/>
  <c r="H5" i="100"/>
  <c r="F6" i="100"/>
  <c r="F59" i="100"/>
  <c r="G59" i="100"/>
  <c r="H58" i="100"/>
  <c r="F51" i="100"/>
  <c r="G51" i="100"/>
  <c r="H50" i="100"/>
  <c r="F42" i="100"/>
  <c r="G42" i="100"/>
  <c r="H41" i="100"/>
  <c r="F33" i="100"/>
  <c r="G33" i="100"/>
  <c r="H32" i="100"/>
  <c r="F25" i="100"/>
  <c r="G25" i="100"/>
  <c r="H24" i="100"/>
  <c r="F15" i="100"/>
  <c r="G15" i="100"/>
  <c r="H14" i="100"/>
  <c r="F9" i="100"/>
  <c r="G9" i="100"/>
  <c r="H8" i="100"/>
  <c r="G58" i="100"/>
  <c r="H57" i="100"/>
  <c r="F58" i="100"/>
  <c r="G50" i="100"/>
  <c r="H49" i="100"/>
  <c r="F50" i="100"/>
  <c r="G43" i="100"/>
  <c r="H42" i="100"/>
  <c r="F43" i="100"/>
  <c r="G4" i="100"/>
  <c r="H3" i="100"/>
  <c r="F4" i="100"/>
  <c r="G16" i="100"/>
  <c r="H15" i="100"/>
  <c r="F16" i="100"/>
  <c r="G24" i="100"/>
  <c r="H23" i="100"/>
  <c r="F24" i="100"/>
  <c r="G32" i="100"/>
  <c r="H31" i="100"/>
  <c r="F32" i="100"/>
  <c r="F57" i="100"/>
  <c r="G57" i="100"/>
  <c r="H56" i="100"/>
  <c r="F49" i="100"/>
  <c r="G49" i="100"/>
  <c r="H48" i="100"/>
  <c r="F40" i="100"/>
  <c r="H39" i="100"/>
  <c r="G40" i="100"/>
  <c r="F31" i="100"/>
  <c r="G31" i="100"/>
  <c r="H30" i="100"/>
  <c r="F23" i="100"/>
  <c r="G23" i="100"/>
  <c r="H22" i="100"/>
  <c r="F13" i="100"/>
  <c r="H12" i="100"/>
  <c r="G13" i="100"/>
  <c r="F7" i="100"/>
  <c r="G7" i="100"/>
  <c r="H6" i="100"/>
  <c r="G60" i="100"/>
  <c r="H59" i="100"/>
  <c r="F60" i="100"/>
  <c r="G52" i="100"/>
  <c r="H51" i="100"/>
  <c r="F52" i="100"/>
  <c r="G45" i="100"/>
  <c r="H44" i="100"/>
  <c r="F45" i="100"/>
  <c r="G41" i="100"/>
  <c r="H40" i="100"/>
  <c r="F41" i="100"/>
  <c r="G14" i="100"/>
  <c r="H13" i="100"/>
  <c r="F14" i="100"/>
  <c r="G22" i="100"/>
  <c r="F22" i="100"/>
  <c r="H21" i="100"/>
  <c r="G30" i="100"/>
  <c r="H29" i="100"/>
  <c r="F30" i="100"/>
  <c r="G21" i="100"/>
  <c r="F21" i="100"/>
  <c r="H20" i="100"/>
  <c r="D25" i="94"/>
  <c r="B25" i="94"/>
  <c r="C25" i="94"/>
  <c r="F25" i="94"/>
  <c r="F55" i="95"/>
  <c r="G55" i="95"/>
  <c r="H54" i="95"/>
  <c r="F47" i="95"/>
  <c r="G47" i="95"/>
  <c r="H46" i="95"/>
  <c r="F38" i="95"/>
  <c r="H37" i="95"/>
  <c r="G38" i="95"/>
  <c r="F29" i="95"/>
  <c r="G29" i="95"/>
  <c r="H28" i="95"/>
  <c r="F19" i="95"/>
  <c r="G19" i="95"/>
  <c r="H18" i="95"/>
  <c r="F12" i="95"/>
  <c r="G12" i="95"/>
  <c r="H11" i="95"/>
  <c r="D62" i="95"/>
  <c r="D61" i="95"/>
  <c r="E3" i="95"/>
  <c r="A25" i="94" s="1"/>
  <c r="B27" i="94" s="1"/>
  <c r="G54" i="95"/>
  <c r="H53" i="95"/>
  <c r="F54" i="95"/>
  <c r="G46" i="95"/>
  <c r="F46" i="95"/>
  <c r="H45" i="95"/>
  <c r="G39" i="95"/>
  <c r="H38" i="95"/>
  <c r="F39" i="95"/>
  <c r="G11" i="95"/>
  <c r="H10" i="95"/>
  <c r="F11" i="95"/>
  <c r="G20" i="95"/>
  <c r="H19" i="95"/>
  <c r="F20" i="95"/>
  <c r="G28" i="95"/>
  <c r="H27" i="95"/>
  <c r="F28" i="95"/>
  <c r="F36" i="95"/>
  <c r="H35" i="95"/>
  <c r="G36" i="95"/>
  <c r="F53" i="95"/>
  <c r="G53" i="95"/>
  <c r="H52" i="95"/>
  <c r="F44" i="95"/>
  <c r="G44" i="95"/>
  <c r="H43" i="95"/>
  <c r="F35" i="95"/>
  <c r="G35" i="95"/>
  <c r="H34" i="95"/>
  <c r="F27" i="95"/>
  <c r="G27" i="95"/>
  <c r="H26" i="95"/>
  <c r="F17" i="95"/>
  <c r="G17" i="95"/>
  <c r="H16" i="95"/>
  <c r="F10" i="95"/>
  <c r="H9" i="95"/>
  <c r="G10" i="95"/>
  <c r="F5" i="95"/>
  <c r="H4" i="95"/>
  <c r="G5" i="95"/>
  <c r="G56" i="95"/>
  <c r="H55" i="95"/>
  <c r="F56" i="95"/>
  <c r="G48" i="95"/>
  <c r="H47" i="95"/>
  <c r="F48" i="95"/>
  <c r="G37" i="95"/>
  <c r="H36" i="95"/>
  <c r="F37" i="95"/>
  <c r="G8" i="95"/>
  <c r="H7" i="95"/>
  <c r="F8" i="95"/>
  <c r="G18" i="95"/>
  <c r="H17" i="95"/>
  <c r="F18" i="95"/>
  <c r="G26" i="95"/>
  <c r="H25" i="95"/>
  <c r="F26" i="95"/>
  <c r="G34" i="95"/>
  <c r="H33" i="95"/>
  <c r="F34" i="95"/>
  <c r="G6" i="95"/>
  <c r="H5" i="95"/>
  <c r="F6" i="95"/>
  <c r="F59" i="95"/>
  <c r="G59" i="95"/>
  <c r="H58" i="95"/>
  <c r="F51" i="95"/>
  <c r="G51" i="95"/>
  <c r="H50" i="95"/>
  <c r="F42" i="95"/>
  <c r="G42" i="95"/>
  <c r="H41" i="95"/>
  <c r="F33" i="95"/>
  <c r="G33" i="95"/>
  <c r="H32" i="95"/>
  <c r="F25" i="95"/>
  <c r="G25" i="95"/>
  <c r="H24" i="95"/>
  <c r="F15" i="95"/>
  <c r="G15" i="95"/>
  <c r="H14" i="95"/>
  <c r="F9" i="95"/>
  <c r="G9" i="95"/>
  <c r="H8" i="95"/>
  <c r="G58" i="95"/>
  <c r="H57" i="95"/>
  <c r="F58" i="95"/>
  <c r="G50" i="95"/>
  <c r="H49" i="95"/>
  <c r="F50" i="95"/>
  <c r="G43" i="95"/>
  <c r="H42" i="95"/>
  <c r="F43" i="95"/>
  <c r="G4" i="95"/>
  <c r="H3" i="95"/>
  <c r="F4" i="95"/>
  <c r="G16" i="95"/>
  <c r="H15" i="95"/>
  <c r="F16" i="95"/>
  <c r="G24" i="95"/>
  <c r="H23" i="95"/>
  <c r="F24" i="95"/>
  <c r="G32" i="95"/>
  <c r="H31" i="95"/>
  <c r="F32" i="95"/>
  <c r="F57" i="95"/>
  <c r="G57" i="95"/>
  <c r="H56" i="95"/>
  <c r="F49" i="95"/>
  <c r="G49" i="95"/>
  <c r="H48" i="95"/>
  <c r="F40" i="95"/>
  <c r="H39" i="95"/>
  <c r="G40" i="95"/>
  <c r="F31" i="95"/>
  <c r="G31" i="95"/>
  <c r="H30" i="95"/>
  <c r="F23" i="95"/>
  <c r="G23" i="95"/>
  <c r="H22" i="95"/>
  <c r="F13" i="95"/>
  <c r="H12" i="95"/>
  <c r="G13" i="95"/>
  <c r="F7" i="95"/>
  <c r="G7" i="95"/>
  <c r="H6" i="95"/>
  <c r="G60" i="95"/>
  <c r="H59" i="95"/>
  <c r="F60" i="95"/>
  <c r="G52" i="95"/>
  <c r="H51" i="95"/>
  <c r="F52" i="95"/>
  <c r="G45" i="95"/>
  <c r="H44" i="95"/>
  <c r="F45" i="95"/>
  <c r="G41" i="95"/>
  <c r="H40" i="95"/>
  <c r="F41" i="95"/>
  <c r="G14" i="95"/>
  <c r="H13" i="95"/>
  <c r="F14" i="95"/>
  <c r="G22" i="95"/>
  <c r="F22" i="95"/>
  <c r="H21" i="95"/>
  <c r="G30" i="95"/>
  <c r="H29" i="95"/>
  <c r="F30" i="95"/>
  <c r="G21" i="95"/>
  <c r="F21" i="95"/>
  <c r="H20" i="95"/>
  <c r="B27" i="99" l="1"/>
  <c r="G25" i="99"/>
  <c r="B28" i="99"/>
  <c r="F25" i="105"/>
  <c r="B26" i="105"/>
  <c r="B28" i="105"/>
  <c r="B36" i="99"/>
  <c r="B35" i="99"/>
  <c r="B27" i="102"/>
  <c r="K25" i="102"/>
  <c r="B28" i="102"/>
  <c r="B26" i="102"/>
  <c r="H3" i="112"/>
  <c r="T20" i="112"/>
  <c r="A45" i="108"/>
  <c r="F61" i="112"/>
  <c r="P45" i="112" s="1" a="1"/>
  <c r="G3" i="112"/>
  <c r="F62" i="112"/>
  <c r="B26" i="94"/>
  <c r="H62" i="106"/>
  <c r="H61" i="106"/>
  <c r="E61" i="106"/>
  <c r="F3" i="106"/>
  <c r="E62" i="106"/>
  <c r="G3" i="106"/>
  <c r="H62" i="103"/>
  <c r="H61" i="103"/>
  <c r="E61" i="103"/>
  <c r="E62" i="103"/>
  <c r="G3" i="103"/>
  <c r="F3" i="103"/>
  <c r="H62" i="100"/>
  <c r="H61" i="100"/>
  <c r="E61" i="100"/>
  <c r="F3" i="100"/>
  <c r="E62" i="100"/>
  <c r="G3" i="100"/>
  <c r="B28" i="94"/>
  <c r="G25" i="94"/>
  <c r="H62" i="95"/>
  <c r="H61" i="95"/>
  <c r="E61" i="95"/>
  <c r="F3" i="95"/>
  <c r="E62" i="95"/>
  <c r="G3" i="95"/>
  <c r="B35" i="94"/>
  <c r="C18" i="94"/>
  <c r="P48" i="112" l="1"/>
  <c r="Q45" i="112"/>
  <c r="P46" i="112"/>
  <c r="P49" i="112"/>
  <c r="Q48" i="112"/>
  <c r="Q49" i="112"/>
  <c r="P47" i="112"/>
  <c r="A38" i="108" s="1"/>
  <c r="Q47" i="112"/>
  <c r="P45" i="112"/>
  <c r="Q46" i="112"/>
  <c r="B35" i="102"/>
  <c r="B36" i="102"/>
  <c r="A38" i="99"/>
  <c r="E38" i="99"/>
  <c r="G62" i="112"/>
  <c r="P13" i="112" s="1"/>
  <c r="E10" i="114" s="1"/>
  <c r="G61" i="112"/>
  <c r="B48" i="108"/>
  <c r="M45" i="108"/>
  <c r="B47" i="108"/>
  <c r="H62" i="112"/>
  <c r="H61" i="112"/>
  <c r="B35" i="105"/>
  <c r="B36" i="105"/>
  <c r="G61" i="106"/>
  <c r="B47" i="105" s="1"/>
  <c r="G62" i="106"/>
  <c r="F62" i="106"/>
  <c r="O12" i="106" s="1"/>
  <c r="E9" i="114" s="1"/>
  <c r="F61" i="106"/>
  <c r="R20" i="106"/>
  <c r="O45" i="106" a="1"/>
  <c r="F62" i="103"/>
  <c r="O12" i="103" s="1"/>
  <c r="E8" i="114" s="1"/>
  <c r="F61" i="103"/>
  <c r="G61" i="103"/>
  <c r="B47" i="102" s="1"/>
  <c r="G62" i="103"/>
  <c r="R20" i="103"/>
  <c r="O45" i="103" a="1"/>
  <c r="G61" i="100"/>
  <c r="G62" i="100"/>
  <c r="F62" i="100"/>
  <c r="O12" i="100" s="1"/>
  <c r="E7" i="114" s="1"/>
  <c r="F61" i="100"/>
  <c r="R20" i="100"/>
  <c r="O45" i="100" a="1"/>
  <c r="G61" i="95"/>
  <c r="B47" i="94" s="1"/>
  <c r="G62" i="95"/>
  <c r="F62" i="95"/>
  <c r="O12" i="95" s="1"/>
  <c r="E6" i="114" s="1"/>
  <c r="F61" i="95"/>
  <c r="R20" i="95"/>
  <c r="O45" i="95" a="1"/>
  <c r="B36" i="94"/>
  <c r="A38" i="94" s="1"/>
  <c r="C62" i="93"/>
  <c r="B62" i="93"/>
  <c r="K61" i="93"/>
  <c r="L61" i="93" s="1"/>
  <c r="C61" i="93"/>
  <c r="B61" i="93"/>
  <c r="K60" i="93"/>
  <c r="L60" i="93" s="1"/>
  <c r="K59" i="93"/>
  <c r="L59" i="93" s="1"/>
  <c r="K58" i="93"/>
  <c r="L58" i="93" s="1"/>
  <c r="K57" i="93"/>
  <c r="L57" i="93" s="1"/>
  <c r="L56" i="93"/>
  <c r="K56" i="93"/>
  <c r="K55" i="93"/>
  <c r="L55" i="93" s="1"/>
  <c r="K54" i="93"/>
  <c r="L54" i="93" s="1"/>
  <c r="K53" i="93"/>
  <c r="L53" i="93" s="1"/>
  <c r="L52" i="93"/>
  <c r="K52" i="93"/>
  <c r="K51" i="93"/>
  <c r="L51" i="93" s="1"/>
  <c r="K50" i="93"/>
  <c r="L50" i="93" s="1"/>
  <c r="K49" i="93"/>
  <c r="L49" i="93" s="1"/>
  <c r="L48" i="93"/>
  <c r="K48" i="93"/>
  <c r="K47" i="93"/>
  <c r="L47" i="93" s="1"/>
  <c r="K46" i="93"/>
  <c r="L46" i="93" s="1"/>
  <c r="K45" i="93"/>
  <c r="L45" i="93" s="1"/>
  <c r="L44" i="93"/>
  <c r="K44" i="93"/>
  <c r="K43" i="93"/>
  <c r="L43" i="93" s="1"/>
  <c r="K42" i="93"/>
  <c r="L42" i="93" s="1"/>
  <c r="K41" i="93"/>
  <c r="L41" i="93" s="1"/>
  <c r="L40" i="93"/>
  <c r="K40" i="93"/>
  <c r="K39" i="93"/>
  <c r="L39" i="93" s="1"/>
  <c r="K38" i="93"/>
  <c r="L38" i="93" s="1"/>
  <c r="K37" i="93"/>
  <c r="L37" i="93" s="1"/>
  <c r="L36" i="93"/>
  <c r="K36" i="93"/>
  <c r="K35" i="93"/>
  <c r="L35" i="93" s="1"/>
  <c r="K34" i="93"/>
  <c r="L34" i="93" s="1"/>
  <c r="K33" i="93"/>
  <c r="L33" i="93" s="1"/>
  <c r="L32" i="93"/>
  <c r="K32" i="93"/>
  <c r="K31" i="93"/>
  <c r="L31" i="93" s="1"/>
  <c r="K30" i="93"/>
  <c r="L30" i="93" s="1"/>
  <c r="K29" i="93"/>
  <c r="L29" i="93" s="1"/>
  <c r="L28" i="93"/>
  <c r="K28" i="93"/>
  <c r="K27" i="93"/>
  <c r="L27" i="93" s="1"/>
  <c r="K26" i="93"/>
  <c r="L26" i="93" s="1"/>
  <c r="K25" i="93"/>
  <c r="L25" i="93" s="1"/>
  <c r="L24" i="93"/>
  <c r="K24" i="93"/>
  <c r="K23" i="93"/>
  <c r="L23" i="93" s="1"/>
  <c r="K22" i="93"/>
  <c r="L22" i="93" s="1"/>
  <c r="N21" i="93" a="1"/>
  <c r="O25" i="93" s="1"/>
  <c r="L21" i="93"/>
  <c r="K21" i="93"/>
  <c r="L20" i="93"/>
  <c r="K20" i="93"/>
  <c r="K19" i="93"/>
  <c r="L19" i="93" s="1"/>
  <c r="K18" i="93"/>
  <c r="L18" i="93" s="1"/>
  <c r="K17" i="93"/>
  <c r="L17" i="93" s="1"/>
  <c r="L16" i="93"/>
  <c r="K16" i="93"/>
  <c r="K15" i="93"/>
  <c r="L15" i="93" s="1"/>
  <c r="K14" i="93"/>
  <c r="L14" i="93" s="1"/>
  <c r="K13" i="93"/>
  <c r="L13" i="93" s="1"/>
  <c r="K12" i="93"/>
  <c r="L12" i="93" s="1"/>
  <c r="K11" i="93"/>
  <c r="L11" i="93" s="1"/>
  <c r="K10" i="93"/>
  <c r="L10" i="93" s="1"/>
  <c r="K9" i="93"/>
  <c r="L9" i="93" s="1"/>
  <c r="K8" i="93"/>
  <c r="L8" i="93" s="1"/>
  <c r="L7" i="93"/>
  <c r="K7" i="93"/>
  <c r="R6" i="93"/>
  <c r="K6" i="93"/>
  <c r="L6" i="93" s="1"/>
  <c r="R5" i="93"/>
  <c r="K5" i="93"/>
  <c r="L5" i="93" s="1"/>
  <c r="R4" i="93"/>
  <c r="K4" i="93"/>
  <c r="L4" i="93" s="1"/>
  <c r="C18" i="92"/>
  <c r="K5" i="90"/>
  <c r="K6" i="90"/>
  <c r="K7" i="90"/>
  <c r="K8" i="90"/>
  <c r="L8" i="90" s="1"/>
  <c r="K9" i="90"/>
  <c r="K10" i="90"/>
  <c r="K11" i="90"/>
  <c r="K12" i="90"/>
  <c r="K13" i="90"/>
  <c r="K14" i="90"/>
  <c r="L14" i="90" s="1"/>
  <c r="K15" i="90"/>
  <c r="K16" i="90"/>
  <c r="L16" i="90" s="1"/>
  <c r="K17" i="90"/>
  <c r="K18" i="90"/>
  <c r="L18" i="90" s="1"/>
  <c r="K19" i="90"/>
  <c r="K20" i="90"/>
  <c r="K21" i="90"/>
  <c r="K22" i="90"/>
  <c r="K23" i="90"/>
  <c r="K24" i="90"/>
  <c r="L24" i="90" s="1"/>
  <c r="K25" i="90"/>
  <c r="K26" i="90"/>
  <c r="L26" i="90" s="1"/>
  <c r="K27" i="90"/>
  <c r="K28" i="90"/>
  <c r="K29" i="90"/>
  <c r="K30" i="90"/>
  <c r="K31" i="90"/>
  <c r="K32" i="90"/>
  <c r="L32" i="90" s="1"/>
  <c r="K33" i="90"/>
  <c r="K34" i="90"/>
  <c r="L34" i="90" s="1"/>
  <c r="K35" i="90"/>
  <c r="K36" i="90"/>
  <c r="K37" i="90"/>
  <c r="K38" i="90"/>
  <c r="K39" i="90"/>
  <c r="K40" i="90"/>
  <c r="L40" i="90" s="1"/>
  <c r="K41" i="90"/>
  <c r="K42" i="90"/>
  <c r="L42" i="90" s="1"/>
  <c r="K43" i="90"/>
  <c r="K44" i="90"/>
  <c r="K45" i="90"/>
  <c r="K46" i="90"/>
  <c r="K47" i="90"/>
  <c r="K48" i="90"/>
  <c r="L48" i="90" s="1"/>
  <c r="K49" i="90"/>
  <c r="K50" i="90"/>
  <c r="L50" i="90" s="1"/>
  <c r="K51" i="90"/>
  <c r="K52" i="90"/>
  <c r="K53" i="90"/>
  <c r="K54" i="90"/>
  <c r="K55" i="90"/>
  <c r="K56" i="90"/>
  <c r="L56" i="90" s="1"/>
  <c r="K57" i="90"/>
  <c r="K58" i="90"/>
  <c r="L58" i="90" s="1"/>
  <c r="K59" i="90"/>
  <c r="K60" i="90"/>
  <c r="K61" i="90"/>
  <c r="L5" i="90"/>
  <c r="L6" i="90"/>
  <c r="L12" i="90"/>
  <c r="L22" i="90"/>
  <c r="L30" i="90"/>
  <c r="L38" i="90"/>
  <c r="L46" i="90"/>
  <c r="L54" i="90"/>
  <c r="K4" i="90"/>
  <c r="L4" i="90" s="1"/>
  <c r="C18" i="69"/>
  <c r="L29" i="90"/>
  <c r="L33" i="90"/>
  <c r="L37" i="90"/>
  <c r="L41" i="90"/>
  <c r="L45" i="90"/>
  <c r="L49" i="90"/>
  <c r="L53" i="90"/>
  <c r="L55" i="90"/>
  <c r="L57" i="90"/>
  <c r="L59" i="90"/>
  <c r="L61" i="90"/>
  <c r="N21" i="90" a="1"/>
  <c r="O21" i="90"/>
  <c r="O5" i="90" s="1"/>
  <c r="O22" i="90"/>
  <c r="O23" i="90"/>
  <c r="O24" i="90"/>
  <c r="O25" i="90"/>
  <c r="L60" i="90"/>
  <c r="L9" i="90"/>
  <c r="L11" i="90"/>
  <c r="L13" i="90"/>
  <c r="L17" i="90"/>
  <c r="L19" i="90"/>
  <c r="L21" i="90"/>
  <c r="L23" i="90"/>
  <c r="L25" i="90"/>
  <c r="L27" i="90"/>
  <c r="L31" i="90"/>
  <c r="L35" i="90"/>
  <c r="L39" i="90"/>
  <c r="L43" i="90"/>
  <c r="L47" i="90"/>
  <c r="L51" i="90"/>
  <c r="L52" i="90"/>
  <c r="L44" i="90"/>
  <c r="L36" i="90"/>
  <c r="L28" i="90"/>
  <c r="L20" i="90"/>
  <c r="L15" i="90"/>
  <c r="L10" i="90"/>
  <c r="R6" i="90"/>
  <c r="L7" i="90"/>
  <c r="R5" i="90"/>
  <c r="R4" i="90"/>
  <c r="C62" i="90"/>
  <c r="C61" i="90"/>
  <c r="B62" i="90"/>
  <c r="B61" i="90"/>
  <c r="C28" i="85"/>
  <c r="N21" i="90" l="1"/>
  <c r="N22" i="90"/>
  <c r="N23" i="90"/>
  <c r="O9" i="90" s="1"/>
  <c r="D4" i="114" s="1"/>
  <c r="N24" i="90"/>
  <c r="O4" i="90" s="1"/>
  <c r="N25" i="90"/>
  <c r="B55" i="108"/>
  <c r="B56" i="108"/>
  <c r="E38" i="105"/>
  <c r="E38" i="102"/>
  <c r="A38" i="102"/>
  <c r="P49" i="106"/>
  <c r="P48" i="106"/>
  <c r="P47" i="106"/>
  <c r="P46" i="106"/>
  <c r="P45" i="106"/>
  <c r="O49" i="106"/>
  <c r="O47" i="106"/>
  <c r="A18" i="105" s="1"/>
  <c r="O45" i="106"/>
  <c r="O48" i="106"/>
  <c r="O46" i="106"/>
  <c r="P49" i="103"/>
  <c r="P48" i="103"/>
  <c r="P47" i="103"/>
  <c r="P46" i="103"/>
  <c r="P45" i="103"/>
  <c r="O49" i="103"/>
  <c r="O48" i="103"/>
  <c r="O47" i="103"/>
  <c r="A18" i="102" s="1"/>
  <c r="O46" i="103"/>
  <c r="O45" i="103"/>
  <c r="P49" i="100"/>
  <c r="P48" i="100"/>
  <c r="P47" i="100"/>
  <c r="P46" i="100"/>
  <c r="P45" i="100"/>
  <c r="O49" i="100"/>
  <c r="O47" i="100"/>
  <c r="A18" i="99" s="1"/>
  <c r="O45" i="100"/>
  <c r="O48" i="100"/>
  <c r="O46" i="100"/>
  <c r="P49" i="95"/>
  <c r="P48" i="95"/>
  <c r="P47" i="95"/>
  <c r="P46" i="95"/>
  <c r="P45" i="95"/>
  <c r="O49" i="95"/>
  <c r="O47" i="95"/>
  <c r="A18" i="94" s="1"/>
  <c r="O45" i="95"/>
  <c r="O48" i="95"/>
  <c r="O46" i="95"/>
  <c r="E38" i="94"/>
  <c r="N22" i="93"/>
  <c r="N24" i="93"/>
  <c r="O4" i="93" s="1"/>
  <c r="N21" i="93"/>
  <c r="N23" i="93"/>
  <c r="O9" i="93" s="1"/>
  <c r="D5" i="114" s="1"/>
  <c r="N25" i="93"/>
  <c r="O21" i="93"/>
  <c r="D57" i="93" s="1"/>
  <c r="E57" i="93" s="1"/>
  <c r="O22" i="93"/>
  <c r="O23" i="93"/>
  <c r="O24" i="93"/>
  <c r="E58" i="108" l="1"/>
  <c r="A58" i="108"/>
  <c r="O6" i="93"/>
  <c r="N5" i="114"/>
  <c r="O5" i="114" s="1"/>
  <c r="I5" i="114"/>
  <c r="J5" i="114" s="1"/>
  <c r="N4" i="114"/>
  <c r="O4" i="114" s="1"/>
  <c r="I4" i="114"/>
  <c r="J4" i="114" s="1"/>
  <c r="D4" i="90"/>
  <c r="E4" i="90" s="1"/>
  <c r="D6" i="90"/>
  <c r="E6" i="90" s="1"/>
  <c r="D8" i="90"/>
  <c r="E8" i="90" s="1"/>
  <c r="D10" i="90"/>
  <c r="E10" i="90" s="1"/>
  <c r="D12" i="90"/>
  <c r="E12" i="90" s="1"/>
  <c r="D14" i="90"/>
  <c r="E14" i="90" s="1"/>
  <c r="D16" i="90"/>
  <c r="E16" i="90" s="1"/>
  <c r="D18" i="90"/>
  <c r="E18" i="90" s="1"/>
  <c r="D20" i="90"/>
  <c r="E20" i="90" s="1"/>
  <c r="D22" i="90"/>
  <c r="E22" i="90" s="1"/>
  <c r="D24" i="90"/>
  <c r="E24" i="90" s="1"/>
  <c r="D26" i="90"/>
  <c r="E26" i="90" s="1"/>
  <c r="D28" i="90"/>
  <c r="E28" i="90" s="1"/>
  <c r="D30" i="90"/>
  <c r="E30" i="90" s="1"/>
  <c r="D32" i="90"/>
  <c r="E32" i="90" s="1"/>
  <c r="D34" i="90"/>
  <c r="E34" i="90" s="1"/>
  <c r="D36" i="90"/>
  <c r="E36" i="90" s="1"/>
  <c r="D38" i="90"/>
  <c r="E38" i="90" s="1"/>
  <c r="D40" i="90"/>
  <c r="E40" i="90" s="1"/>
  <c r="D42" i="90"/>
  <c r="E42" i="90" s="1"/>
  <c r="D44" i="90"/>
  <c r="E44" i="90" s="1"/>
  <c r="D46" i="90"/>
  <c r="E46" i="90" s="1"/>
  <c r="D48" i="90"/>
  <c r="E48" i="90" s="1"/>
  <c r="D50" i="90"/>
  <c r="E50" i="90" s="1"/>
  <c r="D52" i="90"/>
  <c r="E52" i="90" s="1"/>
  <c r="D54" i="90"/>
  <c r="E54" i="90" s="1"/>
  <c r="D56" i="90"/>
  <c r="E56" i="90" s="1"/>
  <c r="D58" i="90"/>
  <c r="E58" i="90" s="1"/>
  <c r="D60" i="90"/>
  <c r="E60" i="90" s="1"/>
  <c r="D5" i="90"/>
  <c r="E5" i="90" s="1"/>
  <c r="D7" i="90"/>
  <c r="E7" i="90" s="1"/>
  <c r="D9" i="90"/>
  <c r="E9" i="90" s="1"/>
  <c r="D11" i="90"/>
  <c r="E11" i="90" s="1"/>
  <c r="D13" i="90"/>
  <c r="E13" i="90" s="1"/>
  <c r="D15" i="90"/>
  <c r="E15" i="90" s="1"/>
  <c r="D17" i="90"/>
  <c r="E17" i="90" s="1"/>
  <c r="D19" i="90"/>
  <c r="E19" i="90" s="1"/>
  <c r="D21" i="90"/>
  <c r="E21" i="90" s="1"/>
  <c r="D23" i="90"/>
  <c r="E23" i="90" s="1"/>
  <c r="D25" i="90"/>
  <c r="E25" i="90" s="1"/>
  <c r="D29" i="90"/>
  <c r="E29" i="90" s="1"/>
  <c r="D33" i="90"/>
  <c r="E33" i="90" s="1"/>
  <c r="D37" i="90"/>
  <c r="E37" i="90" s="1"/>
  <c r="D41" i="90"/>
  <c r="E41" i="90" s="1"/>
  <c r="D45" i="90"/>
  <c r="E45" i="90" s="1"/>
  <c r="D49" i="90"/>
  <c r="E49" i="90" s="1"/>
  <c r="D53" i="90"/>
  <c r="E53" i="90" s="1"/>
  <c r="D57" i="90"/>
  <c r="E57" i="90" s="1"/>
  <c r="D3" i="90"/>
  <c r="D27" i="90"/>
  <c r="E27" i="90" s="1"/>
  <c r="D31" i="90"/>
  <c r="E31" i="90" s="1"/>
  <c r="D35" i="90"/>
  <c r="E35" i="90" s="1"/>
  <c r="D39" i="90"/>
  <c r="E39" i="90" s="1"/>
  <c r="D43" i="90"/>
  <c r="E43" i="90" s="1"/>
  <c r="D47" i="90"/>
  <c r="E47" i="90" s="1"/>
  <c r="D51" i="90"/>
  <c r="E51" i="90" s="1"/>
  <c r="D55" i="90"/>
  <c r="E55" i="90" s="1"/>
  <c r="D59" i="90"/>
  <c r="E59" i="90" s="1"/>
  <c r="O6" i="90"/>
  <c r="F57" i="93"/>
  <c r="G57" i="93"/>
  <c r="D36" i="93"/>
  <c r="E36" i="93" s="1"/>
  <c r="D32" i="93"/>
  <c r="E32" i="93" s="1"/>
  <c r="D28" i="93"/>
  <c r="E28" i="93" s="1"/>
  <c r="D24" i="93"/>
  <c r="E24" i="93" s="1"/>
  <c r="D20" i="93"/>
  <c r="E20" i="93" s="1"/>
  <c r="D16" i="93"/>
  <c r="E16" i="93" s="1"/>
  <c r="D11" i="93"/>
  <c r="E11" i="93" s="1"/>
  <c r="D6" i="93"/>
  <c r="E6" i="93" s="1"/>
  <c r="D9" i="93"/>
  <c r="E9" i="93" s="1"/>
  <c r="D12" i="93"/>
  <c r="E12" i="93" s="1"/>
  <c r="D15" i="93"/>
  <c r="E15" i="93" s="1"/>
  <c r="D19" i="93"/>
  <c r="E19" i="93" s="1"/>
  <c r="D25" i="93"/>
  <c r="E25" i="93" s="1"/>
  <c r="D29" i="93"/>
  <c r="E29" i="93" s="1"/>
  <c r="D33" i="93"/>
  <c r="E33" i="93" s="1"/>
  <c r="D37" i="93"/>
  <c r="E37" i="93" s="1"/>
  <c r="D41" i="93"/>
  <c r="E41" i="93" s="1"/>
  <c r="D45" i="93"/>
  <c r="E45" i="93" s="1"/>
  <c r="D48" i="93"/>
  <c r="E48" i="93" s="1"/>
  <c r="D52" i="93"/>
  <c r="E52" i="93" s="1"/>
  <c r="D56" i="93"/>
  <c r="E56" i="93" s="1"/>
  <c r="D60" i="93"/>
  <c r="E60" i="93" s="1"/>
  <c r="D40" i="93"/>
  <c r="E40" i="93" s="1"/>
  <c r="D44" i="93"/>
  <c r="E44" i="93" s="1"/>
  <c r="D49" i="93"/>
  <c r="E49" i="93" s="1"/>
  <c r="D53" i="93"/>
  <c r="E53" i="93" s="1"/>
  <c r="O5" i="93"/>
  <c r="D21" i="93"/>
  <c r="E21" i="93" s="1"/>
  <c r="D7" i="93"/>
  <c r="E7" i="93" s="1"/>
  <c r="D5" i="93"/>
  <c r="E5" i="93" s="1"/>
  <c r="D3" i="93"/>
  <c r="D34" i="93"/>
  <c r="E34" i="93" s="1"/>
  <c r="D30" i="93"/>
  <c r="E30" i="93" s="1"/>
  <c r="D26" i="93"/>
  <c r="E26" i="93" s="1"/>
  <c r="D22" i="93"/>
  <c r="E22" i="93" s="1"/>
  <c r="D18" i="93"/>
  <c r="E18" i="93" s="1"/>
  <c r="D14" i="93"/>
  <c r="E14" i="93" s="1"/>
  <c r="D8" i="93"/>
  <c r="E8" i="93" s="1"/>
  <c r="D4" i="93"/>
  <c r="E4" i="93" s="1"/>
  <c r="D10" i="93"/>
  <c r="E10" i="93" s="1"/>
  <c r="D13" i="93"/>
  <c r="E13" i="93" s="1"/>
  <c r="D17" i="93"/>
  <c r="E17" i="93" s="1"/>
  <c r="D23" i="93"/>
  <c r="E23" i="93" s="1"/>
  <c r="D27" i="93"/>
  <c r="E27" i="93" s="1"/>
  <c r="D31" i="93"/>
  <c r="E31" i="93" s="1"/>
  <c r="D35" i="93"/>
  <c r="E35" i="93" s="1"/>
  <c r="D39" i="93"/>
  <c r="E39" i="93" s="1"/>
  <c r="D43" i="93"/>
  <c r="E43" i="93" s="1"/>
  <c r="D46" i="93"/>
  <c r="E46" i="93" s="1"/>
  <c r="D50" i="93"/>
  <c r="E50" i="93" s="1"/>
  <c r="D54" i="93"/>
  <c r="E54" i="93" s="1"/>
  <c r="D58" i="93"/>
  <c r="E58" i="93" s="1"/>
  <c r="D38" i="93"/>
  <c r="E38" i="93" s="1"/>
  <c r="D42" i="93"/>
  <c r="E42" i="93" s="1"/>
  <c r="D47" i="93"/>
  <c r="E47" i="93" s="1"/>
  <c r="E25" i="92" s="1"/>
  <c r="D51" i="93"/>
  <c r="E51" i="93" s="1"/>
  <c r="F25" i="92" s="1"/>
  <c r="D55" i="93"/>
  <c r="E55" i="93" s="1"/>
  <c r="D59" i="93"/>
  <c r="E59" i="93" s="1"/>
  <c r="H54" i="90" l="1"/>
  <c r="G55" i="90"/>
  <c r="F55" i="90"/>
  <c r="H46" i="90"/>
  <c r="G47" i="90"/>
  <c r="F47" i="90"/>
  <c r="H38" i="90"/>
  <c r="G39" i="90"/>
  <c r="F39" i="90"/>
  <c r="H30" i="90"/>
  <c r="G31" i="90"/>
  <c r="F31" i="90"/>
  <c r="D62" i="90"/>
  <c r="D61" i="90"/>
  <c r="E3" i="90"/>
  <c r="H52" i="90"/>
  <c r="G53" i="90"/>
  <c r="F53" i="90"/>
  <c r="H44" i="90"/>
  <c r="G45" i="90"/>
  <c r="F45" i="90"/>
  <c r="H36" i="90"/>
  <c r="G37" i="90"/>
  <c r="F25" i="69"/>
  <c r="F37" i="90"/>
  <c r="H28" i="90"/>
  <c r="G29" i="90"/>
  <c r="F29" i="90"/>
  <c r="H22" i="90"/>
  <c r="G23" i="90"/>
  <c r="F23" i="90"/>
  <c r="H18" i="90"/>
  <c r="G19" i="90"/>
  <c r="F19" i="90"/>
  <c r="H14" i="90"/>
  <c r="G15" i="90"/>
  <c r="F15" i="90"/>
  <c r="H10" i="90"/>
  <c r="G11" i="90"/>
  <c r="F11" i="90"/>
  <c r="H6" i="90"/>
  <c r="G7" i="90"/>
  <c r="F7" i="90"/>
  <c r="H59" i="90"/>
  <c r="F60" i="90"/>
  <c r="G60" i="90"/>
  <c r="H55" i="90"/>
  <c r="F56" i="90"/>
  <c r="G56" i="90"/>
  <c r="H51" i="90"/>
  <c r="G25" i="69"/>
  <c r="F52" i="90"/>
  <c r="G52" i="90"/>
  <c r="H47" i="90"/>
  <c r="F48" i="90"/>
  <c r="G48" i="90"/>
  <c r="H43" i="90"/>
  <c r="F44" i="90"/>
  <c r="G44" i="90"/>
  <c r="H39" i="90"/>
  <c r="F40" i="90"/>
  <c r="G40" i="90"/>
  <c r="H35" i="90"/>
  <c r="F36" i="90"/>
  <c r="G36" i="90"/>
  <c r="H31" i="90"/>
  <c r="F32" i="90"/>
  <c r="G32" i="90"/>
  <c r="H27" i="90"/>
  <c r="F28" i="90"/>
  <c r="G28" i="90"/>
  <c r="H23" i="90"/>
  <c r="F24" i="90"/>
  <c r="G24" i="90"/>
  <c r="H19" i="90"/>
  <c r="F20" i="90"/>
  <c r="G20" i="90"/>
  <c r="H15" i="90"/>
  <c r="F16" i="90"/>
  <c r="G16" i="90"/>
  <c r="H11" i="90"/>
  <c r="F12" i="90"/>
  <c r="G12" i="90"/>
  <c r="H7" i="90"/>
  <c r="F8" i="90"/>
  <c r="G8" i="90"/>
  <c r="H3" i="90"/>
  <c r="F4" i="90"/>
  <c r="G4" i="90"/>
  <c r="B25" i="92"/>
  <c r="B26" i="92" s="1"/>
  <c r="D25" i="92"/>
  <c r="G25" i="92"/>
  <c r="C25" i="92"/>
  <c r="H58" i="90"/>
  <c r="G59" i="90"/>
  <c r="F59" i="90"/>
  <c r="H50" i="90"/>
  <c r="G51" i="90"/>
  <c r="F51" i="90"/>
  <c r="H42" i="90"/>
  <c r="G43" i="90"/>
  <c r="F43" i="90"/>
  <c r="H34" i="90"/>
  <c r="G35" i="90"/>
  <c r="F35" i="90"/>
  <c r="H26" i="90"/>
  <c r="E25" i="69"/>
  <c r="G27" i="90"/>
  <c r="F27" i="90"/>
  <c r="H56" i="90"/>
  <c r="G57" i="90"/>
  <c r="F57" i="90"/>
  <c r="H48" i="90"/>
  <c r="G49" i="90"/>
  <c r="F49" i="90"/>
  <c r="H40" i="90"/>
  <c r="G41" i="90"/>
  <c r="F41" i="90"/>
  <c r="H32" i="90"/>
  <c r="G33" i="90"/>
  <c r="F33" i="90"/>
  <c r="H24" i="90"/>
  <c r="G25" i="90"/>
  <c r="F25" i="90"/>
  <c r="H20" i="90"/>
  <c r="G21" i="90"/>
  <c r="F21" i="90"/>
  <c r="H16" i="90"/>
  <c r="G17" i="90"/>
  <c r="F17" i="90"/>
  <c r="H12" i="90"/>
  <c r="C25" i="69"/>
  <c r="G13" i="90"/>
  <c r="F13" i="90"/>
  <c r="H8" i="90"/>
  <c r="G9" i="90"/>
  <c r="F9" i="90"/>
  <c r="H4" i="90"/>
  <c r="G5" i="90"/>
  <c r="F5" i="90"/>
  <c r="H57" i="90"/>
  <c r="F58" i="90"/>
  <c r="G58" i="90"/>
  <c r="H53" i="90"/>
  <c r="F54" i="90"/>
  <c r="G54" i="90"/>
  <c r="H49" i="90"/>
  <c r="F50" i="90"/>
  <c r="G50" i="90"/>
  <c r="H45" i="90"/>
  <c r="F46" i="90"/>
  <c r="G46" i="90"/>
  <c r="H41" i="90"/>
  <c r="F42" i="90"/>
  <c r="G42" i="90"/>
  <c r="H37" i="90"/>
  <c r="F38" i="90"/>
  <c r="G38" i="90"/>
  <c r="H33" i="90"/>
  <c r="F34" i="90"/>
  <c r="G34" i="90"/>
  <c r="H29" i="90"/>
  <c r="F30" i="90"/>
  <c r="G30" i="90"/>
  <c r="H25" i="90"/>
  <c r="F26" i="90"/>
  <c r="G26" i="90"/>
  <c r="H21" i="90"/>
  <c r="F22" i="90"/>
  <c r="G22" i="90"/>
  <c r="H17" i="90"/>
  <c r="F18" i="90"/>
  <c r="G18" i="90"/>
  <c r="H13" i="90"/>
  <c r="F14" i="90"/>
  <c r="G14" i="90"/>
  <c r="D25" i="69"/>
  <c r="H9" i="90"/>
  <c r="F10" i="90"/>
  <c r="G10" i="90"/>
  <c r="B25" i="69"/>
  <c r="H5" i="90"/>
  <c r="F6" i="90"/>
  <c r="G6" i="90"/>
  <c r="F55" i="93"/>
  <c r="G55" i="93"/>
  <c r="H54" i="93"/>
  <c r="F47" i="93"/>
  <c r="G47" i="93"/>
  <c r="H46" i="93"/>
  <c r="F38" i="93"/>
  <c r="G38" i="93"/>
  <c r="H37" i="93"/>
  <c r="G54" i="93"/>
  <c r="H53" i="93"/>
  <c r="F54" i="93"/>
  <c r="G46" i="93"/>
  <c r="F46" i="93"/>
  <c r="H45" i="93"/>
  <c r="G39" i="93"/>
  <c r="H38" i="93"/>
  <c r="F39" i="93"/>
  <c r="F31" i="93"/>
  <c r="G31" i="93"/>
  <c r="H30" i="93"/>
  <c r="F23" i="93"/>
  <c r="G23" i="93"/>
  <c r="H22" i="93"/>
  <c r="F13" i="93"/>
  <c r="H12" i="93"/>
  <c r="G13" i="93"/>
  <c r="F4" i="93"/>
  <c r="G4" i="93"/>
  <c r="G14" i="93"/>
  <c r="H13" i="93"/>
  <c r="F14" i="93"/>
  <c r="G22" i="93"/>
  <c r="F22" i="93"/>
  <c r="H21" i="93"/>
  <c r="G30" i="93"/>
  <c r="H29" i="93"/>
  <c r="F30" i="93"/>
  <c r="D62" i="93"/>
  <c r="D61" i="93"/>
  <c r="E3" i="93"/>
  <c r="A25" i="92" s="1"/>
  <c r="G7" i="93"/>
  <c r="H6" i="93"/>
  <c r="F7" i="93"/>
  <c r="F49" i="93"/>
  <c r="G49" i="93"/>
  <c r="H48" i="93"/>
  <c r="F40" i="93"/>
  <c r="G40" i="93"/>
  <c r="H39" i="93"/>
  <c r="G56" i="93"/>
  <c r="H55" i="93"/>
  <c r="F56" i="93"/>
  <c r="G48" i="93"/>
  <c r="H47" i="93"/>
  <c r="F48" i="93"/>
  <c r="G41" i="93"/>
  <c r="H40" i="93"/>
  <c r="F41" i="93"/>
  <c r="F33" i="93"/>
  <c r="G33" i="93"/>
  <c r="H32" i="93"/>
  <c r="F25" i="93"/>
  <c r="G25" i="93"/>
  <c r="H24" i="93"/>
  <c r="F15" i="93"/>
  <c r="G15" i="93"/>
  <c r="H14" i="93"/>
  <c r="F9" i="93"/>
  <c r="G9" i="93"/>
  <c r="H8" i="93"/>
  <c r="G11" i="93"/>
  <c r="H10" i="93"/>
  <c r="F11" i="93"/>
  <c r="G20" i="93"/>
  <c r="H19" i="93"/>
  <c r="F20" i="93"/>
  <c r="G28" i="93"/>
  <c r="H27" i="93"/>
  <c r="F28" i="93"/>
  <c r="G36" i="93"/>
  <c r="H35" i="93"/>
  <c r="F36" i="93"/>
  <c r="F59" i="93"/>
  <c r="G59" i="93"/>
  <c r="H58" i="93"/>
  <c r="F51" i="93"/>
  <c r="G51" i="93"/>
  <c r="H50" i="93"/>
  <c r="F42" i="93"/>
  <c r="G42" i="93"/>
  <c r="H41" i="93"/>
  <c r="G58" i="93"/>
  <c r="H57" i="93"/>
  <c r="F58" i="93"/>
  <c r="G50" i="93"/>
  <c r="H49" i="93"/>
  <c r="F50" i="93"/>
  <c r="G43" i="93"/>
  <c r="H42" i="93"/>
  <c r="F43" i="93"/>
  <c r="F35" i="93"/>
  <c r="G35" i="93"/>
  <c r="H34" i="93"/>
  <c r="F27" i="93"/>
  <c r="G27" i="93"/>
  <c r="H26" i="93"/>
  <c r="F17" i="93"/>
  <c r="G17" i="93"/>
  <c r="H16" i="93"/>
  <c r="F10" i="93"/>
  <c r="H9" i="93"/>
  <c r="G10" i="93"/>
  <c r="F8" i="93"/>
  <c r="G8" i="93"/>
  <c r="H7" i="93"/>
  <c r="G18" i="93"/>
  <c r="H17" i="93"/>
  <c r="F18" i="93"/>
  <c r="G26" i="93"/>
  <c r="H25" i="93"/>
  <c r="F26" i="93"/>
  <c r="G34" i="93"/>
  <c r="F34" i="93"/>
  <c r="H33" i="93"/>
  <c r="G5" i="93"/>
  <c r="H4" i="93"/>
  <c r="F5" i="93"/>
  <c r="G21" i="93"/>
  <c r="F21" i="93"/>
  <c r="H20" i="93"/>
  <c r="F53" i="93"/>
  <c r="G53" i="93"/>
  <c r="H52" i="93"/>
  <c r="F44" i="93"/>
  <c r="G44" i="93"/>
  <c r="H43" i="93"/>
  <c r="G60" i="93"/>
  <c r="H59" i="93"/>
  <c r="F60" i="93"/>
  <c r="G52" i="93"/>
  <c r="H51" i="93"/>
  <c r="F52" i="93"/>
  <c r="G45" i="93"/>
  <c r="H44" i="93"/>
  <c r="F45" i="93"/>
  <c r="G37" i="93"/>
  <c r="F37" i="93"/>
  <c r="H36" i="93"/>
  <c r="F29" i="93"/>
  <c r="G29" i="93"/>
  <c r="H28" i="93"/>
  <c r="F19" i="93"/>
  <c r="G19" i="93"/>
  <c r="H18" i="93"/>
  <c r="F12" i="93"/>
  <c r="G12" i="93"/>
  <c r="H11" i="93"/>
  <c r="F6" i="93"/>
  <c r="G6" i="93"/>
  <c r="H5" i="93"/>
  <c r="G16" i="93"/>
  <c r="H15" i="93"/>
  <c r="F16" i="93"/>
  <c r="G24" i="93"/>
  <c r="H23" i="93"/>
  <c r="F24" i="93"/>
  <c r="G32" i="93"/>
  <c r="H31" i="93"/>
  <c r="F32" i="93"/>
  <c r="H56" i="93"/>
  <c r="B36" i="92" l="1"/>
  <c r="B27" i="92"/>
  <c r="B35" i="92" s="1"/>
  <c r="E38" i="92" s="1"/>
  <c r="H25" i="92"/>
  <c r="B28" i="92"/>
  <c r="B26" i="69"/>
  <c r="H62" i="90"/>
  <c r="H61" i="90"/>
  <c r="A25" i="69"/>
  <c r="E61" i="90"/>
  <c r="G3" i="90"/>
  <c r="E62" i="90"/>
  <c r="F3" i="90"/>
  <c r="E61" i="93"/>
  <c r="E62" i="93"/>
  <c r="G3" i="93"/>
  <c r="F3" i="93"/>
  <c r="H3" i="93"/>
  <c r="H4" i="70"/>
  <c r="O6" i="70"/>
  <c r="O5" i="70"/>
  <c r="O4" i="70"/>
  <c r="H5" i="70"/>
  <c r="H6" i="70"/>
  <c r="I6" i="70" s="1"/>
  <c r="H7" i="70"/>
  <c r="H8" i="70"/>
  <c r="I8" i="70" s="1"/>
  <c r="H9" i="70"/>
  <c r="H10" i="70"/>
  <c r="I10" i="70" s="1"/>
  <c r="H11" i="70"/>
  <c r="H12" i="70"/>
  <c r="I12" i="70" s="1"/>
  <c r="H13" i="70"/>
  <c r="H14" i="70"/>
  <c r="I14" i="70" s="1"/>
  <c r="H15" i="70"/>
  <c r="H16" i="70"/>
  <c r="I16" i="70" s="1"/>
  <c r="H17" i="70"/>
  <c r="H18" i="70"/>
  <c r="I18" i="70" s="1"/>
  <c r="H19" i="70"/>
  <c r="H20" i="70"/>
  <c r="I20" i="70" s="1"/>
  <c r="H21" i="70"/>
  <c r="H22" i="70"/>
  <c r="I22" i="70" s="1"/>
  <c r="H23" i="70"/>
  <c r="H24" i="70"/>
  <c r="I24" i="70" s="1"/>
  <c r="H25" i="70"/>
  <c r="H26" i="70"/>
  <c r="I26" i="70" s="1"/>
  <c r="H27" i="70"/>
  <c r="H28" i="70"/>
  <c r="I28" i="70" s="1"/>
  <c r="H29" i="70"/>
  <c r="H30" i="70"/>
  <c r="I30" i="70" s="1"/>
  <c r="H31" i="70"/>
  <c r="H32" i="70"/>
  <c r="I32" i="70" s="1"/>
  <c r="H33" i="70"/>
  <c r="H34" i="70"/>
  <c r="I34" i="70" s="1"/>
  <c r="H35" i="70"/>
  <c r="H36" i="70"/>
  <c r="I36" i="70" s="1"/>
  <c r="H37" i="70"/>
  <c r="H38" i="70"/>
  <c r="I38" i="70" s="1"/>
  <c r="H39" i="70"/>
  <c r="H40" i="70"/>
  <c r="I40" i="70" s="1"/>
  <c r="H41" i="70"/>
  <c r="H42" i="70"/>
  <c r="I42" i="70" s="1"/>
  <c r="H43" i="70"/>
  <c r="H44" i="70"/>
  <c r="I44" i="70" s="1"/>
  <c r="H45" i="70"/>
  <c r="H46" i="70"/>
  <c r="I46" i="70" s="1"/>
  <c r="H47" i="70"/>
  <c r="H48" i="70"/>
  <c r="I48" i="70" s="1"/>
  <c r="H49" i="70"/>
  <c r="H50" i="70"/>
  <c r="I50" i="70" s="1"/>
  <c r="H51" i="70"/>
  <c r="H52" i="70"/>
  <c r="I52" i="70" s="1"/>
  <c r="H53" i="70"/>
  <c r="H54" i="70"/>
  <c r="I54" i="70" s="1"/>
  <c r="H55" i="70"/>
  <c r="H56" i="70"/>
  <c r="I56" i="70" s="1"/>
  <c r="H57" i="70"/>
  <c r="H58" i="70"/>
  <c r="I58" i="70" s="1"/>
  <c r="H59" i="70"/>
  <c r="H60" i="70"/>
  <c r="I60" i="70" s="1"/>
  <c r="H61" i="70"/>
  <c r="I5" i="70"/>
  <c r="I7" i="70"/>
  <c r="I9" i="70"/>
  <c r="I11" i="70"/>
  <c r="I13" i="70"/>
  <c r="I15" i="70"/>
  <c r="I17" i="70"/>
  <c r="I19" i="70"/>
  <c r="I21" i="70"/>
  <c r="I23" i="70"/>
  <c r="I25" i="70"/>
  <c r="I27" i="70"/>
  <c r="I29" i="70"/>
  <c r="I31" i="70"/>
  <c r="I33" i="70"/>
  <c r="I35" i="70"/>
  <c r="I37" i="70"/>
  <c r="I39" i="70"/>
  <c r="I41" i="70"/>
  <c r="I43" i="70"/>
  <c r="I45" i="70"/>
  <c r="I47" i="70"/>
  <c r="I49" i="70"/>
  <c r="I51" i="70"/>
  <c r="I53" i="70"/>
  <c r="I55" i="70"/>
  <c r="I57" i="70"/>
  <c r="I59" i="70"/>
  <c r="I61" i="70"/>
  <c r="B63" i="70"/>
  <c r="B62" i="70"/>
  <c r="R20" i="90" l="1"/>
  <c r="O45" i="90" a="1"/>
  <c r="B35" i="69"/>
  <c r="A38" i="92"/>
  <c r="F62" i="90"/>
  <c r="O12" i="90" s="1"/>
  <c r="E4" i="114" s="1"/>
  <c r="F61" i="90"/>
  <c r="G62" i="90"/>
  <c r="G61" i="90"/>
  <c r="B47" i="69" s="1"/>
  <c r="B27" i="69"/>
  <c r="B36" i="69" s="1"/>
  <c r="B28" i="69"/>
  <c r="H25" i="69"/>
  <c r="F62" i="93"/>
  <c r="O12" i="93" s="1"/>
  <c r="E5" i="114" s="1"/>
  <c r="F61" i="93"/>
  <c r="H62" i="93"/>
  <c r="H61" i="93"/>
  <c r="G61" i="93"/>
  <c r="G62" i="93"/>
  <c r="R20" i="93"/>
  <c r="O45" i="93" a="1"/>
  <c r="K21" i="70" a="1"/>
  <c r="K21" i="70" s="1"/>
  <c r="I3" i="114" l="1"/>
  <c r="J3" i="114" s="1"/>
  <c r="C61" i="70"/>
  <c r="D61" i="70" s="1"/>
  <c r="E61" i="70" s="1"/>
  <c r="C57" i="70"/>
  <c r="D57" i="70" s="1"/>
  <c r="E57" i="70" s="1"/>
  <c r="C53" i="70"/>
  <c r="D53" i="70" s="1"/>
  <c r="E53" i="70" s="1"/>
  <c r="C49" i="70"/>
  <c r="D49" i="70" s="1"/>
  <c r="E49" i="70" s="1"/>
  <c r="C45" i="70"/>
  <c r="D45" i="70" s="1"/>
  <c r="E45" i="70" s="1"/>
  <c r="C41" i="70"/>
  <c r="D41" i="70" s="1"/>
  <c r="E41" i="70" s="1"/>
  <c r="C37" i="70"/>
  <c r="D37" i="70" s="1"/>
  <c r="E37" i="70" s="1"/>
  <c r="C33" i="70"/>
  <c r="D33" i="70" s="1"/>
  <c r="E33" i="70" s="1"/>
  <c r="C29" i="70"/>
  <c r="D29" i="70" s="1"/>
  <c r="E29" i="70" s="1"/>
  <c r="C25" i="70"/>
  <c r="D25" i="70" s="1"/>
  <c r="E25" i="70" s="1"/>
  <c r="C21" i="70"/>
  <c r="D21" i="70" s="1"/>
  <c r="E21" i="70" s="1"/>
  <c r="C17" i="70"/>
  <c r="D17" i="70" s="1"/>
  <c r="E17" i="70" s="1"/>
  <c r="C13" i="70"/>
  <c r="D13" i="70" s="1"/>
  <c r="E13" i="70" s="1"/>
  <c r="C9" i="70"/>
  <c r="D9" i="70" s="1"/>
  <c r="E9" i="70" s="1"/>
  <c r="C5" i="70"/>
  <c r="D5" i="70" s="1"/>
  <c r="E5" i="70" s="1"/>
  <c r="A38" i="69"/>
  <c r="E38" i="69"/>
  <c r="O48" i="90"/>
  <c r="O49" i="90"/>
  <c r="O45" i="90"/>
  <c r="P46" i="90"/>
  <c r="P48" i="90"/>
  <c r="P49" i="90"/>
  <c r="O46" i="90"/>
  <c r="O47" i="90"/>
  <c r="A18" i="69" s="1"/>
  <c r="P45" i="90"/>
  <c r="P47" i="90"/>
  <c r="C60" i="70"/>
  <c r="D60" i="70" s="1"/>
  <c r="E60" i="70" s="1"/>
  <c r="C56" i="70"/>
  <c r="D56" i="70" s="1"/>
  <c r="E56" i="70" s="1"/>
  <c r="C52" i="70"/>
  <c r="D52" i="70" s="1"/>
  <c r="C48" i="70"/>
  <c r="D48" i="70" s="1"/>
  <c r="E48" i="70" s="1"/>
  <c r="C44" i="70"/>
  <c r="D44" i="70" s="1"/>
  <c r="E44" i="70" s="1"/>
  <c r="C40" i="70"/>
  <c r="D40" i="70" s="1"/>
  <c r="E40" i="70" s="1"/>
  <c r="C36" i="70"/>
  <c r="D36" i="70" s="1"/>
  <c r="E36" i="70" s="1"/>
  <c r="C32" i="70"/>
  <c r="D32" i="70" s="1"/>
  <c r="E32" i="70" s="1"/>
  <c r="C28" i="70"/>
  <c r="D28" i="70" s="1"/>
  <c r="E28" i="70" s="1"/>
  <c r="C24" i="70"/>
  <c r="D24" i="70" s="1"/>
  <c r="E24" i="70" s="1"/>
  <c r="C20" i="70"/>
  <c r="D20" i="70" s="1"/>
  <c r="E20" i="70" s="1"/>
  <c r="C16" i="70"/>
  <c r="D16" i="70" s="1"/>
  <c r="E16" i="70" s="1"/>
  <c r="C12" i="70"/>
  <c r="D12" i="70" s="1"/>
  <c r="E12" i="70" s="1"/>
  <c r="C8" i="70"/>
  <c r="D8" i="70" s="1"/>
  <c r="E8" i="70" s="1"/>
  <c r="B47" i="92"/>
  <c r="P49" i="93"/>
  <c r="P48" i="93"/>
  <c r="P47" i="93"/>
  <c r="P46" i="93"/>
  <c r="P45" i="93"/>
  <c r="O49" i="93"/>
  <c r="O48" i="93"/>
  <c r="O47" i="93"/>
  <c r="A18" i="92" s="1"/>
  <c r="O46" i="93"/>
  <c r="O45" i="93"/>
  <c r="L25" i="70"/>
  <c r="L24" i="70"/>
  <c r="L23" i="70"/>
  <c r="L22" i="70"/>
  <c r="L21" i="70"/>
  <c r="K25" i="70"/>
  <c r="K24" i="70"/>
  <c r="L4" i="70" s="1"/>
  <c r="K23" i="70"/>
  <c r="L9" i="70" s="1"/>
  <c r="D3" i="114" s="1"/>
  <c r="K22" i="70"/>
  <c r="L6" i="70" s="1"/>
  <c r="B65" i="68"/>
  <c r="C59" i="68"/>
  <c r="C60" i="68"/>
  <c r="C61" i="68"/>
  <c r="C58" i="68"/>
  <c r="B63" i="68"/>
  <c r="B62" i="68"/>
  <c r="D58" i="68"/>
  <c r="B65" i="67"/>
  <c r="C58" i="67"/>
  <c r="C59" i="67"/>
  <c r="C60" i="67"/>
  <c r="C61" i="67"/>
  <c r="C57" i="67"/>
  <c r="B66" i="67" s="1"/>
  <c r="B63" i="67"/>
  <c r="D62" i="67"/>
  <c r="B62" i="67"/>
  <c r="G61" i="67"/>
  <c r="D61" i="67"/>
  <c r="G60" i="67"/>
  <c r="D60" i="67"/>
  <c r="G59" i="67"/>
  <c r="D59" i="67"/>
  <c r="G58" i="67"/>
  <c r="D58" i="67"/>
  <c r="G57" i="67"/>
  <c r="D57" i="67"/>
  <c r="G62" i="67"/>
  <c r="B65" i="66"/>
  <c r="B63" i="66"/>
  <c r="B62" i="66"/>
  <c r="C61" i="66"/>
  <c r="D60" i="66"/>
  <c r="G60" i="66" s="1"/>
  <c r="C60" i="66"/>
  <c r="D59" i="66"/>
  <c r="G59" i="66" s="1"/>
  <c r="C59" i="66"/>
  <c r="C58" i="66"/>
  <c r="C57" i="66"/>
  <c r="C62" i="66" s="1"/>
  <c r="C56" i="66"/>
  <c r="B66" i="66" s="1"/>
  <c r="B65" i="65"/>
  <c r="C56" i="65"/>
  <c r="C57" i="65"/>
  <c r="C58" i="65"/>
  <c r="C59" i="65"/>
  <c r="C60" i="65"/>
  <c r="C61" i="65"/>
  <c r="C55" i="65"/>
  <c r="B63" i="65"/>
  <c r="B62" i="65"/>
  <c r="D61" i="65"/>
  <c r="D57" i="65"/>
  <c r="B65" i="64"/>
  <c r="C55" i="64"/>
  <c r="B66" i="64" s="1"/>
  <c r="C56" i="64"/>
  <c r="C57" i="64"/>
  <c r="C58" i="64"/>
  <c r="C59" i="64"/>
  <c r="C60" i="64"/>
  <c r="C61" i="64"/>
  <c r="C54" i="64"/>
  <c r="B63" i="64"/>
  <c r="B62" i="64"/>
  <c r="D61" i="64"/>
  <c r="D60" i="64"/>
  <c r="D59" i="64"/>
  <c r="D58" i="64"/>
  <c r="D57" i="64"/>
  <c r="D56" i="64"/>
  <c r="D55" i="64"/>
  <c r="D54" i="64"/>
  <c r="C62" i="64"/>
  <c r="B65" i="63"/>
  <c r="C54" i="63"/>
  <c r="C55" i="63"/>
  <c r="C56" i="63"/>
  <c r="C57" i="63"/>
  <c r="C58" i="63"/>
  <c r="C59" i="63"/>
  <c r="C60" i="63"/>
  <c r="C61" i="63"/>
  <c r="C53" i="63"/>
  <c r="B66" i="63" s="1"/>
  <c r="B63" i="63"/>
  <c r="B62" i="63"/>
  <c r="D61" i="63"/>
  <c r="G61" i="63" s="1"/>
  <c r="D60" i="63"/>
  <c r="G60" i="63" s="1"/>
  <c r="D59" i="63"/>
  <c r="G59" i="63" s="1"/>
  <c r="D58" i="63"/>
  <c r="G58" i="63" s="1"/>
  <c r="D57" i="63"/>
  <c r="G57" i="63" s="1"/>
  <c r="D56" i="63"/>
  <c r="G56" i="63" s="1"/>
  <c r="D55" i="63"/>
  <c r="G55" i="63" s="1"/>
  <c r="D54" i="63"/>
  <c r="G54" i="63" s="1"/>
  <c r="D53" i="63"/>
  <c r="B65" i="62"/>
  <c r="C53" i="62"/>
  <c r="B66" i="62" s="1"/>
  <c r="C54" i="62"/>
  <c r="C55" i="62"/>
  <c r="C56" i="62"/>
  <c r="C57" i="62"/>
  <c r="C58" i="62"/>
  <c r="C59" i="62"/>
  <c r="C60" i="62"/>
  <c r="C61" i="62"/>
  <c r="C52" i="62"/>
  <c r="B63" i="62"/>
  <c r="B62" i="62"/>
  <c r="D61" i="62"/>
  <c r="D60" i="62"/>
  <c r="D59" i="62"/>
  <c r="D58" i="62"/>
  <c r="D57" i="62"/>
  <c r="D56" i="62"/>
  <c r="D55" i="62"/>
  <c r="D54" i="62"/>
  <c r="D53" i="62"/>
  <c r="D52" i="62"/>
  <c r="C62" i="62"/>
  <c r="B65" i="61"/>
  <c r="C52" i="61"/>
  <c r="C53" i="61"/>
  <c r="C54" i="61"/>
  <c r="C55" i="61"/>
  <c r="C56" i="61"/>
  <c r="C57" i="61"/>
  <c r="C58" i="61"/>
  <c r="C59" i="61"/>
  <c r="C60" i="61"/>
  <c r="C61" i="61"/>
  <c r="C51" i="61"/>
  <c r="B66" i="61" s="1"/>
  <c r="B63" i="61"/>
  <c r="B62" i="61"/>
  <c r="D61" i="61"/>
  <c r="G61" i="61" s="1"/>
  <c r="D60" i="61"/>
  <c r="G60" i="61" s="1"/>
  <c r="D59" i="61"/>
  <c r="G59" i="61" s="1"/>
  <c r="D58" i="61"/>
  <c r="G58" i="61" s="1"/>
  <c r="D57" i="61"/>
  <c r="G57" i="61" s="1"/>
  <c r="D56" i="61"/>
  <c r="G56" i="61" s="1"/>
  <c r="D55" i="61"/>
  <c r="G55" i="61" s="1"/>
  <c r="D54" i="61"/>
  <c r="G54" i="61" s="1"/>
  <c r="D53" i="61"/>
  <c r="G53" i="61" s="1"/>
  <c r="D52" i="61"/>
  <c r="G52" i="61" s="1"/>
  <c r="D51" i="61"/>
  <c r="B65" i="58"/>
  <c r="C51" i="58"/>
  <c r="B66" i="58" s="1"/>
  <c r="C52" i="58"/>
  <c r="C53" i="58"/>
  <c r="C54" i="58"/>
  <c r="C55" i="58"/>
  <c r="C56" i="58"/>
  <c r="C57" i="58"/>
  <c r="C58" i="58"/>
  <c r="C59" i="58"/>
  <c r="C60" i="58"/>
  <c r="C61" i="58"/>
  <c r="C50" i="58"/>
  <c r="B63" i="58"/>
  <c r="B62" i="58"/>
  <c r="D61" i="58"/>
  <c r="G61" i="58" s="1"/>
  <c r="D60" i="58"/>
  <c r="G60" i="58" s="1"/>
  <c r="D59" i="58"/>
  <c r="G59" i="58" s="1"/>
  <c r="D58" i="58"/>
  <c r="G58" i="58" s="1"/>
  <c r="D57" i="58"/>
  <c r="G57" i="58" s="1"/>
  <c r="D56" i="58"/>
  <c r="G56" i="58" s="1"/>
  <c r="D55" i="58"/>
  <c r="G55" i="58" s="1"/>
  <c r="D54" i="58"/>
  <c r="G54" i="58" s="1"/>
  <c r="D53" i="58"/>
  <c r="G53" i="58" s="1"/>
  <c r="D52" i="58"/>
  <c r="G52" i="58" s="1"/>
  <c r="D51" i="58"/>
  <c r="G51" i="58" s="1"/>
  <c r="D50" i="58"/>
  <c r="C62" i="58"/>
  <c r="B65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49" i="57"/>
  <c r="B66" i="57" s="1"/>
  <c r="B63" i="57"/>
  <c r="B62" i="57"/>
  <c r="D61" i="57"/>
  <c r="G61" i="57" s="1"/>
  <c r="D60" i="57"/>
  <c r="G60" i="57" s="1"/>
  <c r="D59" i="57"/>
  <c r="G59" i="57" s="1"/>
  <c r="D58" i="57"/>
  <c r="G58" i="57" s="1"/>
  <c r="D57" i="57"/>
  <c r="G57" i="57" s="1"/>
  <c r="D56" i="57"/>
  <c r="G56" i="57" s="1"/>
  <c r="D55" i="57"/>
  <c r="G55" i="57" s="1"/>
  <c r="D54" i="57"/>
  <c r="G54" i="57" s="1"/>
  <c r="D53" i="57"/>
  <c r="G53" i="57" s="1"/>
  <c r="D52" i="57"/>
  <c r="G52" i="57" s="1"/>
  <c r="D51" i="57"/>
  <c r="G51" i="57" s="1"/>
  <c r="D50" i="57"/>
  <c r="G50" i="57" s="1"/>
  <c r="D49" i="57"/>
  <c r="B65" i="56"/>
  <c r="C49" i="56"/>
  <c r="B66" i="56" s="1"/>
  <c r="C50" i="56"/>
  <c r="C51" i="56"/>
  <c r="C52" i="56"/>
  <c r="C53" i="56"/>
  <c r="C54" i="56"/>
  <c r="C55" i="56"/>
  <c r="C56" i="56"/>
  <c r="C57" i="56"/>
  <c r="C58" i="56"/>
  <c r="C59" i="56"/>
  <c r="C60" i="56"/>
  <c r="C61" i="56"/>
  <c r="C48" i="56"/>
  <c r="B63" i="56"/>
  <c r="B62" i="56"/>
  <c r="D61" i="56"/>
  <c r="D60" i="56"/>
  <c r="D59" i="56"/>
  <c r="D58" i="56"/>
  <c r="D57" i="56"/>
  <c r="D56" i="56"/>
  <c r="D55" i="56"/>
  <c r="D54" i="56"/>
  <c r="D53" i="56"/>
  <c r="D52" i="56"/>
  <c r="D51" i="56"/>
  <c r="D50" i="56"/>
  <c r="D49" i="56"/>
  <c r="D48" i="56"/>
  <c r="C62" i="56"/>
  <c r="B65" i="55"/>
  <c r="C48" i="55"/>
  <c r="C49" i="55"/>
  <c r="C50" i="55"/>
  <c r="C51" i="55"/>
  <c r="C52" i="55"/>
  <c r="C53" i="55"/>
  <c r="C54" i="55"/>
  <c r="C55" i="55"/>
  <c r="C56" i="55"/>
  <c r="C57" i="55"/>
  <c r="C58" i="55"/>
  <c r="C59" i="55"/>
  <c r="C60" i="55"/>
  <c r="C61" i="55"/>
  <c r="C47" i="55"/>
  <c r="B66" i="55" s="1"/>
  <c r="B63" i="55"/>
  <c r="B62" i="55"/>
  <c r="D61" i="55"/>
  <c r="G61" i="55" s="1"/>
  <c r="D60" i="55"/>
  <c r="G60" i="55" s="1"/>
  <c r="D59" i="55"/>
  <c r="G59" i="55" s="1"/>
  <c r="D58" i="55"/>
  <c r="G58" i="55" s="1"/>
  <c r="D57" i="55"/>
  <c r="G57" i="55" s="1"/>
  <c r="D56" i="55"/>
  <c r="G56" i="55" s="1"/>
  <c r="D55" i="55"/>
  <c r="G55" i="55" s="1"/>
  <c r="D54" i="55"/>
  <c r="G54" i="55" s="1"/>
  <c r="D53" i="55"/>
  <c r="G53" i="55" s="1"/>
  <c r="D52" i="55"/>
  <c r="G52" i="55" s="1"/>
  <c r="D51" i="55"/>
  <c r="G51" i="55" s="1"/>
  <c r="D50" i="55"/>
  <c r="G50" i="55" s="1"/>
  <c r="D49" i="55"/>
  <c r="G49" i="55" s="1"/>
  <c r="D48" i="55"/>
  <c r="G48" i="55" s="1"/>
  <c r="D47" i="55"/>
  <c r="B65" i="54"/>
  <c r="D61" i="54" s="1"/>
  <c r="G61" i="54" s="1"/>
  <c r="C47" i="54"/>
  <c r="B66" i="54" s="1"/>
  <c r="C48" i="54"/>
  <c r="C49" i="54"/>
  <c r="C50" i="54"/>
  <c r="C51" i="54"/>
  <c r="C52" i="54"/>
  <c r="C53" i="54"/>
  <c r="C54" i="54"/>
  <c r="C55" i="54"/>
  <c r="C56" i="54"/>
  <c r="C57" i="54"/>
  <c r="C58" i="54"/>
  <c r="C59" i="54"/>
  <c r="C60" i="54"/>
  <c r="C61" i="54"/>
  <c r="C46" i="54"/>
  <c r="B63" i="54"/>
  <c r="B62" i="54"/>
  <c r="G60" i="54"/>
  <c r="D60" i="54"/>
  <c r="G59" i="54"/>
  <c r="D59" i="54"/>
  <c r="G58" i="54"/>
  <c r="D58" i="54"/>
  <c r="G57" i="54"/>
  <c r="D57" i="54"/>
  <c r="G56" i="54"/>
  <c r="D56" i="54"/>
  <c r="G55" i="54"/>
  <c r="D55" i="54"/>
  <c r="G54" i="54"/>
  <c r="D54" i="54"/>
  <c r="G53" i="54"/>
  <c r="D53" i="54"/>
  <c r="G52" i="54"/>
  <c r="D52" i="54"/>
  <c r="G51" i="54"/>
  <c r="D51" i="54"/>
  <c r="G50" i="54"/>
  <c r="D50" i="54"/>
  <c r="G49" i="54"/>
  <c r="D49" i="54"/>
  <c r="G48" i="54"/>
  <c r="D48" i="54"/>
  <c r="G47" i="54"/>
  <c r="D47" i="54"/>
  <c r="G46" i="54"/>
  <c r="D46" i="54"/>
  <c r="D62" i="54" s="1"/>
  <c r="C62" i="54"/>
  <c r="B6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45" i="53"/>
  <c r="B66" i="53" s="1"/>
  <c r="B63" i="53"/>
  <c r="B62" i="53"/>
  <c r="D61" i="53"/>
  <c r="D59" i="53"/>
  <c r="D57" i="53"/>
  <c r="D55" i="53"/>
  <c r="D53" i="53"/>
  <c r="D51" i="53"/>
  <c r="D49" i="53"/>
  <c r="D47" i="53"/>
  <c r="D45" i="53"/>
  <c r="B65" i="52"/>
  <c r="C45" i="52"/>
  <c r="B66" i="52" s="1"/>
  <c r="C46" i="52"/>
  <c r="C47" i="52"/>
  <c r="C48" i="52"/>
  <c r="C49" i="52"/>
  <c r="C50" i="52"/>
  <c r="C51" i="52"/>
  <c r="C52" i="52"/>
  <c r="C53" i="52"/>
  <c r="C54" i="52"/>
  <c r="C55" i="52"/>
  <c r="C56" i="52"/>
  <c r="C57" i="52"/>
  <c r="C58" i="52"/>
  <c r="C59" i="52"/>
  <c r="C60" i="52"/>
  <c r="C61" i="52"/>
  <c r="C44" i="52"/>
  <c r="B63" i="52"/>
  <c r="B62" i="52"/>
  <c r="D61" i="52"/>
  <c r="D60" i="52"/>
  <c r="D59" i="52"/>
  <c r="D58" i="52"/>
  <c r="D57" i="52"/>
  <c r="D56" i="52"/>
  <c r="D55" i="52"/>
  <c r="D54" i="52"/>
  <c r="D53" i="52"/>
  <c r="D52" i="52"/>
  <c r="D51" i="52"/>
  <c r="D50" i="52"/>
  <c r="D49" i="52"/>
  <c r="D48" i="52"/>
  <c r="D47" i="52"/>
  <c r="D46" i="52"/>
  <c r="D45" i="52"/>
  <c r="D44" i="52"/>
  <c r="C62" i="52"/>
  <c r="B65" i="51"/>
  <c r="C44" i="51"/>
  <c r="C45" i="51"/>
  <c r="C46" i="51"/>
  <c r="C47" i="51"/>
  <c r="C48" i="51"/>
  <c r="C49" i="51"/>
  <c r="C50" i="51"/>
  <c r="C51" i="51"/>
  <c r="C52" i="51"/>
  <c r="C53" i="51"/>
  <c r="C54" i="51"/>
  <c r="C55" i="51"/>
  <c r="C56" i="51"/>
  <c r="C57" i="51"/>
  <c r="C58" i="51"/>
  <c r="C59" i="51"/>
  <c r="C60" i="51"/>
  <c r="C61" i="51"/>
  <c r="C43" i="51"/>
  <c r="B66" i="51" s="1"/>
  <c r="B63" i="51"/>
  <c r="B62" i="51"/>
  <c r="D61" i="51"/>
  <c r="D57" i="51"/>
  <c r="D55" i="51"/>
  <c r="D53" i="51"/>
  <c r="D51" i="51"/>
  <c r="D49" i="51"/>
  <c r="D47" i="51"/>
  <c r="D45" i="51"/>
  <c r="D43" i="51"/>
  <c r="B65" i="50"/>
  <c r="D60" i="50" s="1"/>
  <c r="G60" i="50" s="1"/>
  <c r="C43" i="50"/>
  <c r="C44" i="50"/>
  <c r="C45" i="50"/>
  <c r="C46" i="50"/>
  <c r="C47" i="50"/>
  <c r="C48" i="50"/>
  <c r="C49" i="50"/>
  <c r="C50" i="50"/>
  <c r="C51" i="50"/>
  <c r="C52" i="50"/>
  <c r="C53" i="50"/>
  <c r="C54" i="50"/>
  <c r="C55" i="50"/>
  <c r="C56" i="50"/>
  <c r="C57" i="50"/>
  <c r="C58" i="50"/>
  <c r="C59" i="50"/>
  <c r="C60" i="50"/>
  <c r="C61" i="50"/>
  <c r="C42" i="50"/>
  <c r="B63" i="50"/>
  <c r="B62" i="50"/>
  <c r="D61" i="50"/>
  <c r="G61" i="50" s="1"/>
  <c r="D59" i="50"/>
  <c r="G59" i="50" s="1"/>
  <c r="D58" i="50"/>
  <c r="G58" i="50" s="1"/>
  <c r="D57" i="50"/>
  <c r="G57" i="50" s="1"/>
  <c r="D56" i="50"/>
  <c r="G56" i="50" s="1"/>
  <c r="D55" i="50"/>
  <c r="G55" i="50" s="1"/>
  <c r="D54" i="50"/>
  <c r="G54" i="50" s="1"/>
  <c r="D53" i="50"/>
  <c r="G53" i="50" s="1"/>
  <c r="D52" i="50"/>
  <c r="G52" i="50" s="1"/>
  <c r="D51" i="50"/>
  <c r="G51" i="50" s="1"/>
  <c r="D50" i="50"/>
  <c r="G50" i="50" s="1"/>
  <c r="D49" i="50"/>
  <c r="G49" i="50" s="1"/>
  <c r="D48" i="50"/>
  <c r="G48" i="50" s="1"/>
  <c r="D47" i="50"/>
  <c r="G47" i="50" s="1"/>
  <c r="D46" i="50"/>
  <c r="G46" i="50" s="1"/>
  <c r="D45" i="50"/>
  <c r="G45" i="50" s="1"/>
  <c r="D44" i="50"/>
  <c r="G44" i="50" s="1"/>
  <c r="D43" i="50"/>
  <c r="G43" i="50" s="1"/>
  <c r="D42" i="50"/>
  <c r="G42" i="50" s="1"/>
  <c r="B65" i="49"/>
  <c r="D60" i="49" s="1"/>
  <c r="G60" i="49" s="1"/>
  <c r="C42" i="49"/>
  <c r="C43" i="49"/>
  <c r="C44" i="49"/>
  <c r="C45" i="49"/>
  <c r="C46" i="49"/>
  <c r="C47" i="49"/>
  <c r="C48" i="49"/>
  <c r="C49" i="49"/>
  <c r="C50" i="49"/>
  <c r="C51" i="49"/>
  <c r="C52" i="49"/>
  <c r="C53" i="49"/>
  <c r="C54" i="49"/>
  <c r="C55" i="49"/>
  <c r="C56" i="49"/>
  <c r="C57" i="49"/>
  <c r="C58" i="49"/>
  <c r="C59" i="49"/>
  <c r="C60" i="49"/>
  <c r="C61" i="49"/>
  <c r="C41" i="49"/>
  <c r="B63" i="49"/>
  <c r="B62" i="49"/>
  <c r="D61" i="49"/>
  <c r="G61" i="49" s="1"/>
  <c r="D59" i="49"/>
  <c r="G59" i="49" s="1"/>
  <c r="D57" i="49"/>
  <c r="G57" i="49" s="1"/>
  <c r="D55" i="49"/>
  <c r="G55" i="49" s="1"/>
  <c r="D53" i="49"/>
  <c r="G53" i="49" s="1"/>
  <c r="D51" i="49"/>
  <c r="G51" i="49" s="1"/>
  <c r="D49" i="49"/>
  <c r="G49" i="49" s="1"/>
  <c r="D47" i="49"/>
  <c r="G47" i="49" s="1"/>
  <c r="D45" i="49"/>
  <c r="G45" i="49" s="1"/>
  <c r="D43" i="49"/>
  <c r="G43" i="49" s="1"/>
  <c r="D41" i="49"/>
  <c r="B65" i="48"/>
  <c r="C41" i="48"/>
  <c r="B66" i="48" s="1"/>
  <c r="C42" i="48"/>
  <c r="C43" i="48"/>
  <c r="C44" i="48"/>
  <c r="C45" i="48"/>
  <c r="C46" i="48"/>
  <c r="C47" i="48"/>
  <c r="C48" i="48"/>
  <c r="C49" i="48"/>
  <c r="C50" i="48"/>
  <c r="C51" i="48"/>
  <c r="C52" i="48"/>
  <c r="C53" i="48"/>
  <c r="C54" i="48"/>
  <c r="C55" i="48"/>
  <c r="C56" i="48"/>
  <c r="C57" i="48"/>
  <c r="C58" i="48"/>
  <c r="C59" i="48"/>
  <c r="C60" i="48"/>
  <c r="C61" i="48"/>
  <c r="C40" i="48"/>
  <c r="B63" i="48"/>
  <c r="B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C62" i="48"/>
  <c r="B65" i="47"/>
  <c r="C40" i="47"/>
  <c r="C41" i="47"/>
  <c r="C62" i="47" s="1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39" i="47"/>
  <c r="B63" i="47"/>
  <c r="B62" i="47"/>
  <c r="D55" i="47"/>
  <c r="G55" i="47" s="1"/>
  <c r="D52" i="47"/>
  <c r="G52" i="47" s="1"/>
  <c r="D48" i="47"/>
  <c r="G48" i="47" s="1"/>
  <c r="D44" i="47"/>
  <c r="G44" i="47" s="1"/>
  <c r="D40" i="47"/>
  <c r="G40" i="47" s="1"/>
  <c r="B65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C53" i="46"/>
  <c r="C54" i="46"/>
  <c r="C55" i="46"/>
  <c r="C56" i="46"/>
  <c r="C57" i="46"/>
  <c r="C58" i="46"/>
  <c r="C59" i="46"/>
  <c r="C60" i="46"/>
  <c r="C61" i="46"/>
  <c r="C38" i="46"/>
  <c r="B63" i="46"/>
  <c r="B62" i="46"/>
  <c r="D58" i="46"/>
  <c r="G58" i="46" s="1"/>
  <c r="D54" i="46"/>
  <c r="G54" i="46" s="1"/>
  <c r="D50" i="46"/>
  <c r="G50" i="46" s="1"/>
  <c r="D46" i="46"/>
  <c r="G46" i="46" s="1"/>
  <c r="D42" i="46"/>
  <c r="G42" i="46" s="1"/>
  <c r="D38" i="46"/>
  <c r="B65" i="45"/>
  <c r="D60" i="45" s="1"/>
  <c r="C38" i="45"/>
  <c r="C39" i="45"/>
  <c r="C40" i="45"/>
  <c r="C41" i="45"/>
  <c r="C42" i="45"/>
  <c r="C43" i="45"/>
  <c r="C44" i="45"/>
  <c r="C45" i="45"/>
  <c r="C46" i="45"/>
  <c r="C47" i="45"/>
  <c r="C48" i="45"/>
  <c r="C49" i="45"/>
  <c r="C50" i="45"/>
  <c r="C51" i="45"/>
  <c r="C52" i="45"/>
  <c r="C53" i="45"/>
  <c r="C54" i="45"/>
  <c r="C55" i="45"/>
  <c r="C56" i="45"/>
  <c r="C57" i="45"/>
  <c r="C58" i="45"/>
  <c r="C59" i="45"/>
  <c r="C60" i="45"/>
  <c r="C61" i="45"/>
  <c r="C37" i="45"/>
  <c r="B66" i="45" s="1"/>
  <c r="B63" i="45"/>
  <c r="B62" i="45"/>
  <c r="D61" i="45"/>
  <c r="D59" i="45"/>
  <c r="D58" i="45"/>
  <c r="D57" i="45"/>
  <c r="D56" i="45"/>
  <c r="D55" i="45"/>
  <c r="D54" i="45"/>
  <c r="D53" i="45"/>
  <c r="D52" i="45"/>
  <c r="D51" i="45"/>
  <c r="D50" i="45"/>
  <c r="D49" i="45"/>
  <c r="D48" i="45"/>
  <c r="D47" i="45"/>
  <c r="G47" i="45" s="1"/>
  <c r="D46" i="45"/>
  <c r="G46" i="45" s="1"/>
  <c r="D45" i="45"/>
  <c r="G45" i="45" s="1"/>
  <c r="D44" i="45"/>
  <c r="G44" i="45" s="1"/>
  <c r="D43" i="45"/>
  <c r="G43" i="45" s="1"/>
  <c r="D42" i="45"/>
  <c r="G42" i="45" s="1"/>
  <c r="D41" i="45"/>
  <c r="G41" i="45" s="1"/>
  <c r="D40" i="45"/>
  <c r="G40" i="45" s="1"/>
  <c r="D39" i="45"/>
  <c r="G39" i="45" s="1"/>
  <c r="D38" i="45"/>
  <c r="G38" i="45" s="1"/>
  <c r="D37" i="45"/>
  <c r="G37" i="45" s="1"/>
  <c r="B65" i="44"/>
  <c r="C37" i="44"/>
  <c r="C38" i="44"/>
  <c r="C39" i="44"/>
  <c r="C40" i="44"/>
  <c r="C41" i="44"/>
  <c r="C42" i="44"/>
  <c r="C43" i="44"/>
  <c r="C44" i="44"/>
  <c r="C45" i="44"/>
  <c r="C46" i="44"/>
  <c r="C47" i="44"/>
  <c r="C48" i="44"/>
  <c r="C49" i="44"/>
  <c r="C50" i="44"/>
  <c r="C51" i="44"/>
  <c r="C52" i="44"/>
  <c r="C53" i="44"/>
  <c r="C54" i="44"/>
  <c r="C55" i="44"/>
  <c r="C56" i="44"/>
  <c r="C57" i="44"/>
  <c r="C58" i="44"/>
  <c r="C59" i="44"/>
  <c r="C60" i="44"/>
  <c r="C61" i="44"/>
  <c r="C36" i="44"/>
  <c r="B66" i="44" s="1"/>
  <c r="B63" i="44"/>
  <c r="B62" i="44"/>
  <c r="D58" i="44"/>
  <c r="G58" i="44" s="1"/>
  <c r="D54" i="44"/>
  <c r="G54" i="44" s="1"/>
  <c r="D50" i="44"/>
  <c r="G50" i="44" s="1"/>
  <c r="D46" i="44"/>
  <c r="G46" i="44" s="1"/>
  <c r="D42" i="44"/>
  <c r="G42" i="44" s="1"/>
  <c r="D38" i="44"/>
  <c r="G38" i="44" s="1"/>
  <c r="B65" i="43"/>
  <c r="C36" i="43"/>
  <c r="C37" i="43"/>
  <c r="C38" i="43"/>
  <c r="C39" i="43"/>
  <c r="C40" i="43"/>
  <c r="C41" i="43"/>
  <c r="C42" i="43"/>
  <c r="C43" i="43"/>
  <c r="C44" i="43"/>
  <c r="C45" i="43"/>
  <c r="C46" i="43"/>
  <c r="C47" i="43"/>
  <c r="C48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35" i="43"/>
  <c r="B63" i="43"/>
  <c r="B62" i="43"/>
  <c r="D61" i="43"/>
  <c r="G61" i="43" s="1"/>
  <c r="D57" i="43"/>
  <c r="G57" i="43" s="1"/>
  <c r="D53" i="43"/>
  <c r="G53" i="43" s="1"/>
  <c r="D49" i="43"/>
  <c r="G49" i="43" s="1"/>
  <c r="D45" i="43"/>
  <c r="G45" i="43" s="1"/>
  <c r="D41" i="43"/>
  <c r="G41" i="43" s="1"/>
  <c r="D37" i="43"/>
  <c r="G37" i="43" s="1"/>
  <c r="B65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34" i="42"/>
  <c r="B66" i="42" s="1"/>
  <c r="B63" i="42"/>
  <c r="B62" i="42"/>
  <c r="D58" i="42"/>
  <c r="G58" i="42" s="1"/>
  <c r="D54" i="42"/>
  <c r="G54" i="42" s="1"/>
  <c r="D50" i="42"/>
  <c r="G50" i="42" s="1"/>
  <c r="D46" i="42"/>
  <c r="G46" i="42" s="1"/>
  <c r="D42" i="42"/>
  <c r="G42" i="42" s="1"/>
  <c r="D38" i="42"/>
  <c r="G38" i="42" s="1"/>
  <c r="D34" i="42"/>
  <c r="B65" i="41"/>
  <c r="C34" i="41"/>
  <c r="C35" i="41"/>
  <c r="C36" i="41"/>
  <c r="C37" i="41"/>
  <c r="C38" i="41"/>
  <c r="C39" i="41"/>
  <c r="C40" i="41"/>
  <c r="C41" i="41"/>
  <c r="C42" i="41"/>
  <c r="C43" i="41"/>
  <c r="C44" i="41"/>
  <c r="C45" i="41"/>
  <c r="C46" i="41"/>
  <c r="C47" i="41"/>
  <c r="C48" i="41"/>
  <c r="C49" i="41"/>
  <c r="C50" i="41"/>
  <c r="C51" i="41"/>
  <c r="C52" i="41"/>
  <c r="C53" i="41"/>
  <c r="C54" i="41"/>
  <c r="C55" i="41"/>
  <c r="C56" i="41"/>
  <c r="C57" i="41"/>
  <c r="C58" i="41"/>
  <c r="C59" i="41"/>
  <c r="C60" i="41"/>
  <c r="C61" i="41"/>
  <c r="C33" i="41"/>
  <c r="B66" i="41" s="1"/>
  <c r="B63" i="41"/>
  <c r="B62" i="41"/>
  <c r="D42" i="41"/>
  <c r="G42" i="41" s="1"/>
  <c r="D41" i="41"/>
  <c r="G41" i="41" s="1"/>
  <c r="D40" i="41"/>
  <c r="G40" i="41" s="1"/>
  <c r="D39" i="41"/>
  <c r="G39" i="41" s="1"/>
  <c r="D37" i="41"/>
  <c r="G37" i="41" s="1"/>
  <c r="D35" i="41"/>
  <c r="G35" i="41" s="1"/>
  <c r="D33" i="41"/>
  <c r="B65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32" i="40"/>
  <c r="B63" i="40"/>
  <c r="B62" i="40"/>
  <c r="D60" i="40"/>
  <c r="D58" i="40"/>
  <c r="D56" i="40"/>
  <c r="D54" i="40"/>
  <c r="D52" i="40"/>
  <c r="D50" i="40"/>
  <c r="D48" i="40"/>
  <c r="D46" i="40"/>
  <c r="D44" i="40"/>
  <c r="D42" i="40"/>
  <c r="D40" i="40"/>
  <c r="D38" i="40"/>
  <c r="D36" i="40"/>
  <c r="D34" i="40"/>
  <c r="D32" i="40"/>
  <c r="B65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31" i="39"/>
  <c r="B66" i="39" s="1"/>
  <c r="B63" i="39"/>
  <c r="B62" i="39"/>
  <c r="D60" i="39"/>
  <c r="G60" i="39" s="1"/>
  <c r="D59" i="39"/>
  <c r="G59" i="39" s="1"/>
  <c r="D58" i="39"/>
  <c r="G58" i="39" s="1"/>
  <c r="D57" i="39"/>
  <c r="G57" i="39" s="1"/>
  <c r="D56" i="39"/>
  <c r="G56" i="39" s="1"/>
  <c r="D55" i="39"/>
  <c r="G55" i="39" s="1"/>
  <c r="D54" i="39"/>
  <c r="G54" i="39" s="1"/>
  <c r="D53" i="39"/>
  <c r="G53" i="39" s="1"/>
  <c r="D52" i="39"/>
  <c r="G52" i="39" s="1"/>
  <c r="D50" i="39"/>
  <c r="G50" i="39" s="1"/>
  <c r="D48" i="39"/>
  <c r="G48" i="39" s="1"/>
  <c r="D46" i="39"/>
  <c r="G46" i="39" s="1"/>
  <c r="D44" i="39"/>
  <c r="G44" i="39" s="1"/>
  <c r="D42" i="39"/>
  <c r="G42" i="39" s="1"/>
  <c r="D40" i="39"/>
  <c r="G40" i="39" s="1"/>
  <c r="D38" i="39"/>
  <c r="G38" i="39" s="1"/>
  <c r="D36" i="39"/>
  <c r="G36" i="39" s="1"/>
  <c r="D34" i="39"/>
  <c r="G34" i="39" s="1"/>
  <c r="D32" i="39"/>
  <c r="G32" i="39" s="1"/>
  <c r="B65" i="38"/>
  <c r="D61" i="38" s="1"/>
  <c r="C31" i="38"/>
  <c r="B66" i="38" s="1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30" i="38"/>
  <c r="B63" i="38"/>
  <c r="B62" i="38"/>
  <c r="D60" i="38"/>
  <c r="D58" i="38"/>
  <c r="D57" i="38"/>
  <c r="D56" i="38"/>
  <c r="D55" i="38"/>
  <c r="D54" i="38"/>
  <c r="D53" i="38"/>
  <c r="D52" i="38"/>
  <c r="D51" i="38"/>
  <c r="D50" i="38"/>
  <c r="D49" i="38"/>
  <c r="D48" i="38"/>
  <c r="D47" i="38"/>
  <c r="D46" i="38"/>
  <c r="D45" i="38"/>
  <c r="D44" i="38"/>
  <c r="D43" i="38"/>
  <c r="D42" i="38"/>
  <c r="D41" i="38"/>
  <c r="D40" i="38"/>
  <c r="D39" i="38"/>
  <c r="D38" i="38"/>
  <c r="D37" i="38"/>
  <c r="D36" i="38"/>
  <c r="D35" i="38"/>
  <c r="D34" i="38"/>
  <c r="D33" i="38"/>
  <c r="D32" i="38"/>
  <c r="D31" i="38"/>
  <c r="D30" i="38"/>
  <c r="B65" i="37"/>
  <c r="C30" i="37"/>
  <c r="C31" i="37"/>
  <c r="C32" i="37"/>
  <c r="C33" i="37"/>
  <c r="C34" i="37"/>
  <c r="C35" i="37"/>
  <c r="C36" i="37"/>
  <c r="C37" i="37"/>
  <c r="C38" i="37"/>
  <c r="C39" i="37"/>
  <c r="C40" i="37"/>
  <c r="C41" i="37"/>
  <c r="C42" i="37"/>
  <c r="C43" i="37"/>
  <c r="C44" i="37"/>
  <c r="C45" i="37"/>
  <c r="C46" i="37"/>
  <c r="C47" i="37"/>
  <c r="C48" i="37"/>
  <c r="C49" i="37"/>
  <c r="C50" i="37"/>
  <c r="C51" i="37"/>
  <c r="C52" i="37"/>
  <c r="C53" i="37"/>
  <c r="C54" i="37"/>
  <c r="C55" i="37"/>
  <c r="C56" i="37"/>
  <c r="C57" i="37"/>
  <c r="C58" i="37"/>
  <c r="C59" i="37"/>
  <c r="C60" i="37"/>
  <c r="C61" i="37"/>
  <c r="C29" i="37"/>
  <c r="B66" i="37" s="1"/>
  <c r="B63" i="37"/>
  <c r="D62" i="37"/>
  <c r="B62" i="37"/>
  <c r="G61" i="37"/>
  <c r="D61" i="37"/>
  <c r="G60" i="37"/>
  <c r="D60" i="37"/>
  <c r="G59" i="37"/>
  <c r="D59" i="37"/>
  <c r="G58" i="37"/>
  <c r="D58" i="37"/>
  <c r="G57" i="37"/>
  <c r="D57" i="37"/>
  <c r="G56" i="37"/>
  <c r="D56" i="37"/>
  <c r="G55" i="37"/>
  <c r="D55" i="37"/>
  <c r="G54" i="37"/>
  <c r="D54" i="37"/>
  <c r="G53" i="37"/>
  <c r="D53" i="37"/>
  <c r="G52" i="37"/>
  <c r="D52" i="37"/>
  <c r="G51" i="37"/>
  <c r="D51" i="37"/>
  <c r="G50" i="37"/>
  <c r="D50" i="37"/>
  <c r="G49" i="37"/>
  <c r="D49" i="37"/>
  <c r="G48" i="37"/>
  <c r="D48" i="37"/>
  <c r="G47" i="37"/>
  <c r="D47" i="37"/>
  <c r="G46" i="37"/>
  <c r="D46" i="37"/>
  <c r="G45" i="37"/>
  <c r="D45" i="37"/>
  <c r="G44" i="37"/>
  <c r="D44" i="37"/>
  <c r="G43" i="37"/>
  <c r="D43" i="37"/>
  <c r="G42" i="37"/>
  <c r="D42" i="37"/>
  <c r="G41" i="37"/>
  <c r="D41" i="37"/>
  <c r="G40" i="37"/>
  <c r="D40" i="37"/>
  <c r="G39" i="37"/>
  <c r="D39" i="37"/>
  <c r="G38" i="37"/>
  <c r="D38" i="37"/>
  <c r="G37" i="37"/>
  <c r="D37" i="37"/>
  <c r="G36" i="37"/>
  <c r="D36" i="37"/>
  <c r="G35" i="37"/>
  <c r="D35" i="37"/>
  <c r="G34" i="37"/>
  <c r="D34" i="37"/>
  <c r="G33" i="37"/>
  <c r="D33" i="37"/>
  <c r="G32" i="37"/>
  <c r="D32" i="37"/>
  <c r="G31" i="37"/>
  <c r="D31" i="37"/>
  <c r="G30" i="37"/>
  <c r="D30" i="37"/>
  <c r="G29" i="37"/>
  <c r="D29" i="37"/>
  <c r="G62" i="37"/>
  <c r="B65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28" i="36"/>
  <c r="B66" i="36" s="1"/>
  <c r="B63" i="36"/>
  <c r="B62" i="36"/>
  <c r="D60" i="36"/>
  <c r="G60" i="36" s="1"/>
  <c r="D59" i="36"/>
  <c r="G59" i="36" s="1"/>
  <c r="D58" i="36"/>
  <c r="G58" i="36" s="1"/>
  <c r="D57" i="36"/>
  <c r="G57" i="36" s="1"/>
  <c r="D56" i="36"/>
  <c r="G56" i="36" s="1"/>
  <c r="D55" i="36"/>
  <c r="G55" i="36" s="1"/>
  <c r="D54" i="36"/>
  <c r="G54" i="36" s="1"/>
  <c r="D52" i="36"/>
  <c r="G52" i="36" s="1"/>
  <c r="D50" i="36"/>
  <c r="G50" i="36" s="1"/>
  <c r="D48" i="36"/>
  <c r="G48" i="36" s="1"/>
  <c r="D46" i="36"/>
  <c r="G46" i="36" s="1"/>
  <c r="D44" i="36"/>
  <c r="G44" i="36" s="1"/>
  <c r="D42" i="36"/>
  <c r="G42" i="36" s="1"/>
  <c r="D40" i="36"/>
  <c r="G40" i="36" s="1"/>
  <c r="D38" i="36"/>
  <c r="G38" i="36" s="1"/>
  <c r="D36" i="36"/>
  <c r="G36" i="36" s="1"/>
  <c r="D34" i="36"/>
  <c r="G34" i="36" s="1"/>
  <c r="D32" i="36"/>
  <c r="G32" i="36" s="1"/>
  <c r="D30" i="36"/>
  <c r="G30" i="36" s="1"/>
  <c r="D28" i="36"/>
  <c r="B65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27" i="28"/>
  <c r="B63" i="28"/>
  <c r="B62" i="28"/>
  <c r="D61" i="28"/>
  <c r="D57" i="28"/>
  <c r="D53" i="28"/>
  <c r="D49" i="28"/>
  <c r="D45" i="28"/>
  <c r="D41" i="28"/>
  <c r="D37" i="28"/>
  <c r="D33" i="28"/>
  <c r="D29" i="28"/>
  <c r="B65" i="27"/>
  <c r="D61" i="27"/>
  <c r="G61" i="27" s="1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26" i="27"/>
  <c r="B66" i="27" s="1"/>
  <c r="B63" i="27"/>
  <c r="B62" i="27"/>
  <c r="D60" i="27"/>
  <c r="G60" i="27" s="1"/>
  <c r="D59" i="27"/>
  <c r="G59" i="27" s="1"/>
  <c r="D58" i="27"/>
  <c r="G58" i="27" s="1"/>
  <c r="D57" i="27"/>
  <c r="G57" i="27" s="1"/>
  <c r="D56" i="27"/>
  <c r="G56" i="27" s="1"/>
  <c r="D55" i="27"/>
  <c r="G55" i="27" s="1"/>
  <c r="D54" i="27"/>
  <c r="G54" i="27" s="1"/>
  <c r="D53" i="27"/>
  <c r="G53" i="27" s="1"/>
  <c r="D52" i="27"/>
  <c r="G52" i="27" s="1"/>
  <c r="D51" i="27"/>
  <c r="G51" i="27" s="1"/>
  <c r="D50" i="27"/>
  <c r="G50" i="27" s="1"/>
  <c r="D49" i="27"/>
  <c r="G49" i="27" s="1"/>
  <c r="D48" i="27"/>
  <c r="G48" i="27" s="1"/>
  <c r="D47" i="27"/>
  <c r="G47" i="27" s="1"/>
  <c r="D46" i="27"/>
  <c r="G46" i="27" s="1"/>
  <c r="D45" i="27"/>
  <c r="G45" i="27" s="1"/>
  <c r="D44" i="27"/>
  <c r="G44" i="27" s="1"/>
  <c r="D43" i="27"/>
  <c r="G43" i="27" s="1"/>
  <c r="D42" i="27"/>
  <c r="G42" i="27" s="1"/>
  <c r="D41" i="27"/>
  <c r="G41" i="27" s="1"/>
  <c r="D40" i="27"/>
  <c r="G40" i="27" s="1"/>
  <c r="D39" i="27"/>
  <c r="G39" i="27" s="1"/>
  <c r="D38" i="27"/>
  <c r="G38" i="27" s="1"/>
  <c r="D37" i="27"/>
  <c r="G37" i="27" s="1"/>
  <c r="D36" i="27"/>
  <c r="G36" i="27" s="1"/>
  <c r="D35" i="27"/>
  <c r="G35" i="27" s="1"/>
  <c r="D34" i="27"/>
  <c r="G34" i="27" s="1"/>
  <c r="D33" i="27"/>
  <c r="G33" i="27" s="1"/>
  <c r="D32" i="27"/>
  <c r="G32" i="27" s="1"/>
  <c r="D31" i="27"/>
  <c r="G31" i="27" s="1"/>
  <c r="D30" i="27"/>
  <c r="G30" i="27" s="1"/>
  <c r="D29" i="27"/>
  <c r="G29" i="27" s="1"/>
  <c r="D28" i="27"/>
  <c r="G28" i="27" s="1"/>
  <c r="D27" i="27"/>
  <c r="G27" i="27" s="1"/>
  <c r="D26" i="27"/>
  <c r="B65" i="26"/>
  <c r="D60" i="26" s="1"/>
  <c r="G60" i="26" s="1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25" i="26"/>
  <c r="B63" i="26"/>
  <c r="B62" i="26"/>
  <c r="D61" i="26"/>
  <c r="G61" i="26" s="1"/>
  <c r="D59" i="26"/>
  <c r="G59" i="26" s="1"/>
  <c r="D57" i="26"/>
  <c r="G57" i="26" s="1"/>
  <c r="D55" i="26"/>
  <c r="G55" i="26" s="1"/>
  <c r="D53" i="26"/>
  <c r="G53" i="26" s="1"/>
  <c r="D51" i="26"/>
  <c r="G51" i="26" s="1"/>
  <c r="D49" i="26"/>
  <c r="G49" i="26" s="1"/>
  <c r="D47" i="26"/>
  <c r="G47" i="26" s="1"/>
  <c r="D45" i="26"/>
  <c r="G45" i="26" s="1"/>
  <c r="D43" i="26"/>
  <c r="G43" i="26" s="1"/>
  <c r="D41" i="26"/>
  <c r="G41" i="26" s="1"/>
  <c r="D39" i="26"/>
  <c r="G39" i="26" s="1"/>
  <c r="D37" i="26"/>
  <c r="G37" i="26" s="1"/>
  <c r="D35" i="26"/>
  <c r="G35" i="26" s="1"/>
  <c r="D33" i="26"/>
  <c r="G33" i="26" s="1"/>
  <c r="D31" i="26"/>
  <c r="G31" i="26" s="1"/>
  <c r="D29" i="26"/>
  <c r="G29" i="26" s="1"/>
  <c r="D27" i="26"/>
  <c r="G27" i="26" s="1"/>
  <c r="D25" i="26"/>
  <c r="B65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24" i="25"/>
  <c r="B66" i="25" s="1"/>
  <c r="B63" i="25"/>
  <c r="B62" i="25"/>
  <c r="D60" i="25"/>
  <c r="G60" i="25" s="1"/>
  <c r="D58" i="25"/>
  <c r="G58" i="25" s="1"/>
  <c r="D56" i="25"/>
  <c r="G56" i="25" s="1"/>
  <c r="D54" i="25"/>
  <c r="G54" i="25" s="1"/>
  <c r="D52" i="25"/>
  <c r="G52" i="25" s="1"/>
  <c r="D50" i="25"/>
  <c r="G50" i="25" s="1"/>
  <c r="D48" i="25"/>
  <c r="G48" i="25" s="1"/>
  <c r="D46" i="25"/>
  <c r="G46" i="25" s="1"/>
  <c r="D44" i="25"/>
  <c r="G44" i="25" s="1"/>
  <c r="D42" i="25"/>
  <c r="G42" i="25" s="1"/>
  <c r="D40" i="25"/>
  <c r="G40" i="25" s="1"/>
  <c r="D38" i="25"/>
  <c r="G38" i="25" s="1"/>
  <c r="D36" i="25"/>
  <c r="G36" i="25" s="1"/>
  <c r="D34" i="25"/>
  <c r="G34" i="25" s="1"/>
  <c r="D32" i="25"/>
  <c r="G32" i="25" s="1"/>
  <c r="D30" i="25"/>
  <c r="G30" i="25" s="1"/>
  <c r="D28" i="25"/>
  <c r="G28" i="25" s="1"/>
  <c r="D26" i="25"/>
  <c r="G26" i="25" s="1"/>
  <c r="D24" i="25"/>
  <c r="B65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23" i="24"/>
  <c r="B66" i="24" s="1"/>
  <c r="B63" i="24"/>
  <c r="B62" i="24"/>
  <c r="D61" i="24"/>
  <c r="G61" i="24" s="1"/>
  <c r="D60" i="24"/>
  <c r="G60" i="24" s="1"/>
  <c r="D59" i="24"/>
  <c r="G59" i="24" s="1"/>
  <c r="D58" i="24"/>
  <c r="G58" i="24" s="1"/>
  <c r="D57" i="24"/>
  <c r="G57" i="24" s="1"/>
  <c r="D56" i="24"/>
  <c r="G56" i="24" s="1"/>
  <c r="D55" i="24"/>
  <c r="G55" i="24" s="1"/>
  <c r="D54" i="24"/>
  <c r="G54" i="24" s="1"/>
  <c r="D53" i="24"/>
  <c r="G53" i="24" s="1"/>
  <c r="D52" i="24"/>
  <c r="G52" i="24" s="1"/>
  <c r="D51" i="24"/>
  <c r="G51" i="24" s="1"/>
  <c r="D50" i="24"/>
  <c r="G50" i="24" s="1"/>
  <c r="D49" i="24"/>
  <c r="G49" i="24" s="1"/>
  <c r="D48" i="24"/>
  <c r="G48" i="24" s="1"/>
  <c r="D47" i="24"/>
  <c r="G47" i="24" s="1"/>
  <c r="D46" i="24"/>
  <c r="G46" i="24" s="1"/>
  <c r="D45" i="24"/>
  <c r="G45" i="24" s="1"/>
  <c r="D44" i="24"/>
  <c r="G44" i="24" s="1"/>
  <c r="D43" i="24"/>
  <c r="G43" i="24" s="1"/>
  <c r="D42" i="24"/>
  <c r="G42" i="24" s="1"/>
  <c r="D41" i="24"/>
  <c r="G41" i="24" s="1"/>
  <c r="D40" i="24"/>
  <c r="G40" i="24" s="1"/>
  <c r="D39" i="24"/>
  <c r="G39" i="24" s="1"/>
  <c r="D38" i="24"/>
  <c r="G38" i="24" s="1"/>
  <c r="D37" i="24"/>
  <c r="G37" i="24" s="1"/>
  <c r="D36" i="24"/>
  <c r="G36" i="24" s="1"/>
  <c r="D35" i="24"/>
  <c r="G35" i="24" s="1"/>
  <c r="D34" i="24"/>
  <c r="G34" i="24" s="1"/>
  <c r="D33" i="24"/>
  <c r="G33" i="24" s="1"/>
  <c r="D32" i="24"/>
  <c r="G32" i="24" s="1"/>
  <c r="D31" i="24"/>
  <c r="G31" i="24" s="1"/>
  <c r="D30" i="24"/>
  <c r="G30" i="24" s="1"/>
  <c r="D29" i="24"/>
  <c r="G29" i="24" s="1"/>
  <c r="D28" i="24"/>
  <c r="G28" i="24" s="1"/>
  <c r="D27" i="24"/>
  <c r="G27" i="24" s="1"/>
  <c r="D26" i="24"/>
  <c r="G26" i="24" s="1"/>
  <c r="D25" i="24"/>
  <c r="G25" i="24" s="1"/>
  <c r="D24" i="24"/>
  <c r="G24" i="24" s="1"/>
  <c r="D23" i="24"/>
  <c r="B65" i="23"/>
  <c r="C23" i="23"/>
  <c r="B66" i="23" s="1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22" i="23"/>
  <c r="B63" i="23"/>
  <c r="B62" i="23"/>
  <c r="G61" i="23"/>
  <c r="D61" i="23"/>
  <c r="G60" i="23"/>
  <c r="D60" i="23"/>
  <c r="G59" i="23"/>
  <c r="D59" i="23"/>
  <c r="G58" i="23"/>
  <c r="D58" i="23"/>
  <c r="G57" i="23"/>
  <c r="D57" i="23"/>
  <c r="G56" i="23"/>
  <c r="D56" i="23"/>
  <c r="G55" i="23"/>
  <c r="D55" i="23"/>
  <c r="G54" i="23"/>
  <c r="D54" i="23"/>
  <c r="G53" i="23"/>
  <c r="D53" i="23"/>
  <c r="G52" i="23"/>
  <c r="D52" i="23"/>
  <c r="G51" i="23"/>
  <c r="D51" i="23"/>
  <c r="G50" i="23"/>
  <c r="D50" i="23"/>
  <c r="G49" i="23"/>
  <c r="D49" i="23"/>
  <c r="G48" i="23"/>
  <c r="D48" i="23"/>
  <c r="G47" i="23"/>
  <c r="D47" i="23"/>
  <c r="G46" i="23"/>
  <c r="D46" i="23"/>
  <c r="G45" i="23"/>
  <c r="D45" i="23"/>
  <c r="G44" i="23"/>
  <c r="D44" i="23"/>
  <c r="G43" i="23"/>
  <c r="D43" i="23"/>
  <c r="G42" i="23"/>
  <c r="D42" i="23"/>
  <c r="G41" i="23"/>
  <c r="D41" i="23"/>
  <c r="G40" i="23"/>
  <c r="D40" i="23"/>
  <c r="G39" i="23"/>
  <c r="D39" i="23"/>
  <c r="G38" i="23"/>
  <c r="D38" i="23"/>
  <c r="G37" i="23"/>
  <c r="D37" i="23"/>
  <c r="G36" i="23"/>
  <c r="D36" i="23"/>
  <c r="G35" i="23"/>
  <c r="D35" i="23"/>
  <c r="G34" i="23"/>
  <c r="D34" i="23"/>
  <c r="G33" i="23"/>
  <c r="D33" i="23"/>
  <c r="G32" i="23"/>
  <c r="D32" i="23"/>
  <c r="G31" i="23"/>
  <c r="D31" i="23"/>
  <c r="G30" i="23"/>
  <c r="D30" i="23"/>
  <c r="G29" i="23"/>
  <c r="D29" i="23"/>
  <c r="G28" i="23"/>
  <c r="D28" i="23"/>
  <c r="G27" i="23"/>
  <c r="D27" i="23"/>
  <c r="G26" i="23"/>
  <c r="D26" i="23"/>
  <c r="G25" i="23"/>
  <c r="D25" i="23"/>
  <c r="G24" i="23"/>
  <c r="D24" i="23"/>
  <c r="G23" i="23"/>
  <c r="D23" i="23"/>
  <c r="G22" i="23"/>
  <c r="D22" i="23"/>
  <c r="D62" i="23"/>
  <c r="C22" i="22"/>
  <c r="D22" i="22"/>
  <c r="G22" i="22" s="1"/>
  <c r="C23" i="22"/>
  <c r="C24" i="22"/>
  <c r="D24" i="22"/>
  <c r="G24" i="22" s="1"/>
  <c r="C25" i="22"/>
  <c r="C26" i="22"/>
  <c r="C27" i="22"/>
  <c r="C28" i="22"/>
  <c r="D28" i="22"/>
  <c r="G28" i="22" s="1"/>
  <c r="C29" i="22"/>
  <c r="D29" i="22"/>
  <c r="G29" i="22" s="1"/>
  <c r="C30" i="22"/>
  <c r="D30" i="22"/>
  <c r="G30" i="22" s="1"/>
  <c r="C31" i="22"/>
  <c r="D31" i="22"/>
  <c r="G31" i="22" s="1"/>
  <c r="C32" i="22"/>
  <c r="D32" i="22"/>
  <c r="G32" i="22" s="1"/>
  <c r="C33" i="22"/>
  <c r="D33" i="22"/>
  <c r="G33" i="22" s="1"/>
  <c r="C34" i="22"/>
  <c r="D34" i="22"/>
  <c r="G34" i="22" s="1"/>
  <c r="C35" i="22"/>
  <c r="D35" i="22"/>
  <c r="G35" i="22" s="1"/>
  <c r="C36" i="22"/>
  <c r="D36" i="22"/>
  <c r="G36" i="22" s="1"/>
  <c r="C37" i="22"/>
  <c r="D37" i="22"/>
  <c r="G37" i="22" s="1"/>
  <c r="C38" i="22"/>
  <c r="D38" i="22"/>
  <c r="G38" i="22" s="1"/>
  <c r="C39" i="22"/>
  <c r="D39" i="22"/>
  <c r="G39" i="22" s="1"/>
  <c r="C40" i="22"/>
  <c r="D40" i="22"/>
  <c r="G40" i="22" s="1"/>
  <c r="C41" i="22"/>
  <c r="D41" i="22"/>
  <c r="G41" i="22" s="1"/>
  <c r="C42" i="22"/>
  <c r="D42" i="22"/>
  <c r="G42" i="22" s="1"/>
  <c r="C43" i="22"/>
  <c r="D43" i="22"/>
  <c r="G43" i="22" s="1"/>
  <c r="C44" i="22"/>
  <c r="D44" i="22"/>
  <c r="G44" i="22" s="1"/>
  <c r="C45" i="22"/>
  <c r="D45" i="22"/>
  <c r="G45" i="22" s="1"/>
  <c r="C46" i="22"/>
  <c r="D46" i="22"/>
  <c r="G46" i="22" s="1"/>
  <c r="C47" i="22"/>
  <c r="D47" i="22"/>
  <c r="G47" i="22" s="1"/>
  <c r="C48" i="22"/>
  <c r="D48" i="22"/>
  <c r="G48" i="22" s="1"/>
  <c r="C49" i="22"/>
  <c r="D49" i="22"/>
  <c r="G49" i="22" s="1"/>
  <c r="C50" i="22"/>
  <c r="D50" i="22"/>
  <c r="G50" i="22" s="1"/>
  <c r="C51" i="22"/>
  <c r="D51" i="22"/>
  <c r="G51" i="22" s="1"/>
  <c r="C52" i="22"/>
  <c r="D52" i="22"/>
  <c r="G52" i="22" s="1"/>
  <c r="C53" i="22"/>
  <c r="D53" i="22"/>
  <c r="G53" i="22" s="1"/>
  <c r="C54" i="22"/>
  <c r="D54" i="22"/>
  <c r="G54" i="22" s="1"/>
  <c r="C55" i="22"/>
  <c r="D55" i="22"/>
  <c r="G55" i="22" s="1"/>
  <c r="C56" i="22"/>
  <c r="D56" i="22"/>
  <c r="G56" i="22" s="1"/>
  <c r="C57" i="22"/>
  <c r="D57" i="22"/>
  <c r="G57" i="22" s="1"/>
  <c r="C58" i="22"/>
  <c r="D58" i="22"/>
  <c r="G58" i="22" s="1"/>
  <c r="C59" i="22"/>
  <c r="D59" i="22"/>
  <c r="G59" i="22" s="1"/>
  <c r="C60" i="22"/>
  <c r="D60" i="22"/>
  <c r="G60" i="22" s="1"/>
  <c r="C61" i="22"/>
  <c r="D61" i="22"/>
  <c r="G61" i="22" s="1"/>
  <c r="B65" i="22"/>
  <c r="C21" i="22"/>
  <c r="B66" i="22" s="1"/>
  <c r="E22" i="22" s="1"/>
  <c r="B63" i="22"/>
  <c r="B62" i="22"/>
  <c r="D21" i="22"/>
  <c r="C63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B65" i="21"/>
  <c r="D20" i="21" s="1"/>
  <c r="G20" i="21" s="1"/>
  <c r="C20" i="21"/>
  <c r="C63" i="20"/>
  <c r="C20" i="20"/>
  <c r="D20" i="20"/>
  <c r="G20" i="20" s="1"/>
  <c r="C21" i="20"/>
  <c r="D21" i="20"/>
  <c r="G21" i="20" s="1"/>
  <c r="C22" i="20"/>
  <c r="D22" i="20"/>
  <c r="G22" i="20" s="1"/>
  <c r="C23" i="20"/>
  <c r="D23" i="20"/>
  <c r="G23" i="20" s="1"/>
  <c r="C24" i="20"/>
  <c r="D24" i="20"/>
  <c r="G24" i="20" s="1"/>
  <c r="C25" i="20"/>
  <c r="D25" i="20"/>
  <c r="G25" i="20" s="1"/>
  <c r="C26" i="20"/>
  <c r="D26" i="20"/>
  <c r="G26" i="20" s="1"/>
  <c r="C27" i="20"/>
  <c r="D27" i="20"/>
  <c r="G27" i="20" s="1"/>
  <c r="C28" i="20"/>
  <c r="D28" i="20"/>
  <c r="G28" i="20" s="1"/>
  <c r="C29" i="20"/>
  <c r="D29" i="20"/>
  <c r="G29" i="20" s="1"/>
  <c r="C30" i="20"/>
  <c r="D30" i="20"/>
  <c r="G30" i="20" s="1"/>
  <c r="C31" i="20"/>
  <c r="D31" i="20"/>
  <c r="G31" i="20" s="1"/>
  <c r="C32" i="20"/>
  <c r="D32" i="20"/>
  <c r="G32" i="20" s="1"/>
  <c r="C33" i="20"/>
  <c r="D33" i="20"/>
  <c r="G33" i="20" s="1"/>
  <c r="C34" i="20"/>
  <c r="D34" i="20"/>
  <c r="G34" i="20" s="1"/>
  <c r="C35" i="20"/>
  <c r="D35" i="20"/>
  <c r="G35" i="20" s="1"/>
  <c r="C36" i="20"/>
  <c r="D36" i="20"/>
  <c r="G36" i="20" s="1"/>
  <c r="C37" i="20"/>
  <c r="D37" i="20"/>
  <c r="G37" i="20" s="1"/>
  <c r="C38" i="20"/>
  <c r="D38" i="20"/>
  <c r="G38" i="20" s="1"/>
  <c r="C39" i="20"/>
  <c r="D39" i="20"/>
  <c r="G39" i="20" s="1"/>
  <c r="C40" i="20"/>
  <c r="D40" i="20"/>
  <c r="G40" i="20" s="1"/>
  <c r="C41" i="20"/>
  <c r="D41" i="20"/>
  <c r="G41" i="20" s="1"/>
  <c r="C42" i="20"/>
  <c r="D42" i="20"/>
  <c r="G42" i="20" s="1"/>
  <c r="C43" i="20"/>
  <c r="D43" i="20"/>
  <c r="G43" i="20" s="1"/>
  <c r="C44" i="20"/>
  <c r="D44" i="20"/>
  <c r="G44" i="20" s="1"/>
  <c r="C45" i="20"/>
  <c r="D45" i="20"/>
  <c r="G45" i="20" s="1"/>
  <c r="C46" i="20"/>
  <c r="D46" i="20"/>
  <c r="G46" i="20" s="1"/>
  <c r="C47" i="20"/>
  <c r="D47" i="20"/>
  <c r="G47" i="20" s="1"/>
  <c r="C48" i="20"/>
  <c r="D48" i="20"/>
  <c r="G48" i="20" s="1"/>
  <c r="C49" i="20"/>
  <c r="D49" i="20"/>
  <c r="G49" i="20" s="1"/>
  <c r="C50" i="20"/>
  <c r="D50" i="20"/>
  <c r="G50" i="20" s="1"/>
  <c r="C51" i="20"/>
  <c r="D51" i="20"/>
  <c r="G51" i="20" s="1"/>
  <c r="C52" i="20"/>
  <c r="D52" i="20"/>
  <c r="G52" i="20" s="1"/>
  <c r="C53" i="20"/>
  <c r="D53" i="20"/>
  <c r="G53" i="20" s="1"/>
  <c r="C54" i="20"/>
  <c r="D54" i="20"/>
  <c r="G54" i="20" s="1"/>
  <c r="C55" i="20"/>
  <c r="D55" i="20"/>
  <c r="G55" i="20" s="1"/>
  <c r="C56" i="20"/>
  <c r="D56" i="20"/>
  <c r="G56" i="20" s="1"/>
  <c r="C57" i="20"/>
  <c r="D57" i="20"/>
  <c r="G57" i="20" s="1"/>
  <c r="C58" i="20"/>
  <c r="D58" i="20"/>
  <c r="G58" i="20" s="1"/>
  <c r="C59" i="20"/>
  <c r="D59" i="20"/>
  <c r="G59" i="20" s="1"/>
  <c r="C60" i="20"/>
  <c r="D60" i="20"/>
  <c r="G60" i="20" s="1"/>
  <c r="C61" i="20"/>
  <c r="D61" i="20"/>
  <c r="G61" i="20" s="1"/>
  <c r="C19" i="20"/>
  <c r="C62" i="20" s="1"/>
  <c r="B66" i="20"/>
  <c r="B65" i="20"/>
  <c r="D19" i="20"/>
  <c r="E19" i="20"/>
  <c r="D19" i="19"/>
  <c r="G19" i="19"/>
  <c r="D22" i="19"/>
  <c r="G22" i="19" s="1"/>
  <c r="D23" i="19"/>
  <c r="G23" i="19" s="1"/>
  <c r="D26" i="19"/>
  <c r="G26" i="19" s="1"/>
  <c r="D27" i="19"/>
  <c r="G27" i="19"/>
  <c r="D30" i="19"/>
  <c r="G30" i="19" s="1"/>
  <c r="D31" i="19"/>
  <c r="G31" i="19" s="1"/>
  <c r="D34" i="19"/>
  <c r="G34" i="19" s="1"/>
  <c r="D35" i="19"/>
  <c r="G35" i="19"/>
  <c r="D38" i="19"/>
  <c r="G38" i="19" s="1"/>
  <c r="D39" i="19"/>
  <c r="G39" i="19" s="1"/>
  <c r="D42" i="19"/>
  <c r="G42" i="19" s="1"/>
  <c r="D43" i="19"/>
  <c r="G43" i="19"/>
  <c r="D46" i="19"/>
  <c r="G46" i="19" s="1"/>
  <c r="D47" i="19"/>
  <c r="G47" i="19" s="1"/>
  <c r="D50" i="19"/>
  <c r="G50" i="19" s="1"/>
  <c r="D51" i="19"/>
  <c r="G51" i="19"/>
  <c r="D54" i="19"/>
  <c r="G54" i="19" s="1"/>
  <c r="D55" i="19"/>
  <c r="G55" i="19" s="1"/>
  <c r="D58" i="19"/>
  <c r="G58" i="19" s="1"/>
  <c r="D59" i="19"/>
  <c r="G59" i="19"/>
  <c r="B65" i="19"/>
  <c r="D20" i="19" s="1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18" i="19"/>
  <c r="G18" i="19"/>
  <c r="D18" i="19"/>
  <c r="D18" i="18"/>
  <c r="G18" i="18" s="1"/>
  <c r="D21" i="18"/>
  <c r="G21" i="18" s="1"/>
  <c r="D22" i="18"/>
  <c r="G22" i="18"/>
  <c r="D25" i="18"/>
  <c r="D26" i="18"/>
  <c r="G26" i="18" s="1"/>
  <c r="D29" i="18"/>
  <c r="G29" i="18" s="1"/>
  <c r="D30" i="18"/>
  <c r="G30" i="18"/>
  <c r="D33" i="18"/>
  <c r="D34" i="18"/>
  <c r="G34" i="18" s="1"/>
  <c r="D37" i="18"/>
  <c r="G37" i="18" s="1"/>
  <c r="D38" i="18"/>
  <c r="G38" i="18"/>
  <c r="D41" i="18"/>
  <c r="D42" i="18"/>
  <c r="G42" i="18" s="1"/>
  <c r="D45" i="18"/>
  <c r="G45" i="18" s="1"/>
  <c r="D46" i="18"/>
  <c r="G46" i="18"/>
  <c r="D49" i="18"/>
  <c r="D50" i="18"/>
  <c r="G50" i="18" s="1"/>
  <c r="D53" i="18"/>
  <c r="G53" i="18" s="1"/>
  <c r="D54" i="18"/>
  <c r="G54" i="18"/>
  <c r="D57" i="18"/>
  <c r="D58" i="18"/>
  <c r="G58" i="18" s="1"/>
  <c r="D61" i="18"/>
  <c r="G61" i="18" s="1"/>
  <c r="G17" i="18"/>
  <c r="B65" i="18"/>
  <c r="D19" i="18" s="1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17" i="18"/>
  <c r="C63" i="18" s="1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B65" i="17"/>
  <c r="D17" i="17"/>
  <c r="D17" i="18"/>
  <c r="D18" i="17"/>
  <c r="G18" i="17" s="1"/>
  <c r="D20" i="17"/>
  <c r="G20" i="17" s="1"/>
  <c r="D22" i="17"/>
  <c r="G22" i="17" s="1"/>
  <c r="D24" i="17"/>
  <c r="G24" i="17" s="1"/>
  <c r="D26" i="17"/>
  <c r="G26" i="17" s="1"/>
  <c r="D28" i="17"/>
  <c r="G28" i="17" s="1"/>
  <c r="D30" i="17"/>
  <c r="G30" i="17" s="1"/>
  <c r="D32" i="17"/>
  <c r="G32" i="17" s="1"/>
  <c r="D34" i="17"/>
  <c r="G34" i="17" s="1"/>
  <c r="D36" i="17"/>
  <c r="G36" i="17" s="1"/>
  <c r="D38" i="17"/>
  <c r="G38" i="17" s="1"/>
  <c r="D40" i="17"/>
  <c r="G40" i="17" s="1"/>
  <c r="D42" i="17"/>
  <c r="G42" i="17" s="1"/>
  <c r="D44" i="17"/>
  <c r="G44" i="17" s="1"/>
  <c r="D46" i="17"/>
  <c r="G46" i="17" s="1"/>
  <c r="D48" i="17"/>
  <c r="G48" i="17" s="1"/>
  <c r="D50" i="17"/>
  <c r="G50" i="17" s="1"/>
  <c r="D52" i="17"/>
  <c r="G52" i="17" s="1"/>
  <c r="D54" i="17"/>
  <c r="G54" i="17" s="1"/>
  <c r="D56" i="17"/>
  <c r="G56" i="17" s="1"/>
  <c r="D58" i="17"/>
  <c r="G58" i="17" s="1"/>
  <c r="D60" i="17"/>
  <c r="G60" i="17" s="1"/>
  <c r="D17" i="16"/>
  <c r="G17" i="16" s="1"/>
  <c r="D18" i="16"/>
  <c r="G18" i="16" s="1"/>
  <c r="D20" i="16"/>
  <c r="G20" i="16" s="1"/>
  <c r="D21" i="16"/>
  <c r="G21" i="16" s="1"/>
  <c r="D22" i="16"/>
  <c r="G22" i="16" s="1"/>
  <c r="D24" i="16"/>
  <c r="G24" i="16" s="1"/>
  <c r="D25" i="16"/>
  <c r="G25" i="16" s="1"/>
  <c r="D26" i="16"/>
  <c r="G26" i="16" s="1"/>
  <c r="D27" i="16"/>
  <c r="G27" i="16" s="1"/>
  <c r="D28" i="16"/>
  <c r="G28" i="16" s="1"/>
  <c r="D31" i="16"/>
  <c r="G31" i="16"/>
  <c r="D32" i="16"/>
  <c r="G32" i="16"/>
  <c r="D33" i="16"/>
  <c r="G33" i="16" s="1"/>
  <c r="D38" i="16"/>
  <c r="G38" i="16" s="1"/>
  <c r="D39" i="16"/>
  <c r="G39" i="16" s="1"/>
  <c r="D40" i="16"/>
  <c r="G40" i="16" s="1"/>
  <c r="D46" i="16"/>
  <c r="G46" i="16"/>
  <c r="D47" i="16"/>
  <c r="G47" i="16" s="1"/>
  <c r="D50" i="16"/>
  <c r="G50" i="16" s="1"/>
  <c r="D51" i="16"/>
  <c r="G51" i="16" s="1"/>
  <c r="D54" i="16"/>
  <c r="G54" i="16" s="1"/>
  <c r="D55" i="16"/>
  <c r="G55" i="16"/>
  <c r="D56" i="16"/>
  <c r="G56" i="16" s="1"/>
  <c r="D58" i="16"/>
  <c r="G58" i="16" s="1"/>
  <c r="D59" i="16"/>
  <c r="G59" i="16" s="1"/>
  <c r="D60" i="16"/>
  <c r="G60" i="16" s="1"/>
  <c r="D61" i="16"/>
  <c r="G61" i="16" s="1"/>
  <c r="B65" i="16"/>
  <c r="D16" i="16" s="1"/>
  <c r="G16" i="16" s="1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15" i="16"/>
  <c r="C63" i="16" s="1"/>
  <c r="B65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14" i="13"/>
  <c r="D15" i="15"/>
  <c r="G15" i="15" s="1"/>
  <c r="D16" i="15"/>
  <c r="G16" i="15" s="1"/>
  <c r="D19" i="15"/>
  <c r="G19" i="15" s="1"/>
  <c r="D20" i="15"/>
  <c r="G20" i="15"/>
  <c r="D23" i="15"/>
  <c r="G23" i="15" s="1"/>
  <c r="D24" i="15"/>
  <c r="G24" i="15" s="1"/>
  <c r="D27" i="15"/>
  <c r="G27" i="15" s="1"/>
  <c r="D28" i="15"/>
  <c r="G28" i="15"/>
  <c r="D31" i="15"/>
  <c r="G31" i="15" s="1"/>
  <c r="D32" i="15"/>
  <c r="G32" i="15" s="1"/>
  <c r="D35" i="15"/>
  <c r="G35" i="15" s="1"/>
  <c r="D36" i="15"/>
  <c r="G36" i="15"/>
  <c r="D39" i="15"/>
  <c r="D40" i="15"/>
  <c r="G40" i="15"/>
  <c r="D43" i="15"/>
  <c r="G43" i="15" s="1"/>
  <c r="D44" i="15"/>
  <c r="G44" i="15" s="1"/>
  <c r="D47" i="15"/>
  <c r="G47" i="15" s="1"/>
  <c r="D48" i="15"/>
  <c r="G48" i="15"/>
  <c r="D51" i="15"/>
  <c r="G51" i="15" s="1"/>
  <c r="D52" i="15"/>
  <c r="G52" i="15" s="1"/>
  <c r="D55" i="15"/>
  <c r="G55" i="15" s="1"/>
  <c r="D56" i="15"/>
  <c r="G56" i="15"/>
  <c r="D59" i="15"/>
  <c r="G59" i="15" s="1"/>
  <c r="D60" i="15"/>
  <c r="G60" i="15" s="1"/>
  <c r="B65" i="15"/>
  <c r="D14" i="15" s="1"/>
  <c r="G14" i="15" s="1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13" i="15"/>
  <c r="C12" i="14"/>
  <c r="C62" i="14" s="1"/>
  <c r="B65" i="14"/>
  <c r="D13" i="14" s="1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B63" i="21"/>
  <c r="B62" i="21"/>
  <c r="B63" i="20"/>
  <c r="B62" i="20"/>
  <c r="B63" i="19"/>
  <c r="B62" i="19"/>
  <c r="B63" i="18"/>
  <c r="B62" i="18"/>
  <c r="B63" i="17"/>
  <c r="B62" i="17"/>
  <c r="B63" i="16"/>
  <c r="B62" i="16"/>
  <c r="B63" i="13"/>
  <c r="B62" i="13"/>
  <c r="B63" i="15"/>
  <c r="B62" i="15"/>
  <c r="B63" i="14"/>
  <c r="B62" i="14"/>
  <c r="D13" i="12"/>
  <c r="D15" i="12"/>
  <c r="D17" i="12"/>
  <c r="D19" i="12"/>
  <c r="D21" i="12"/>
  <c r="D23" i="12"/>
  <c r="D25" i="12"/>
  <c r="D27" i="12"/>
  <c r="D29" i="12"/>
  <c r="D31" i="12"/>
  <c r="D33" i="12"/>
  <c r="D35" i="12"/>
  <c r="D37" i="12"/>
  <c r="D39" i="12"/>
  <c r="D41" i="12"/>
  <c r="D43" i="12"/>
  <c r="D45" i="12"/>
  <c r="D47" i="12"/>
  <c r="D49" i="12"/>
  <c r="D51" i="12"/>
  <c r="D53" i="12"/>
  <c r="D55" i="12"/>
  <c r="D57" i="12"/>
  <c r="D59" i="12"/>
  <c r="D61" i="12"/>
  <c r="B65" i="12"/>
  <c r="D11" i="12" s="1"/>
  <c r="G11" i="12" s="1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11" i="12"/>
  <c r="D14" i="11"/>
  <c r="G14" i="11" s="1"/>
  <c r="D18" i="11"/>
  <c r="G18" i="11" s="1"/>
  <c r="D22" i="11"/>
  <c r="G22" i="11" s="1"/>
  <c r="D26" i="11"/>
  <c r="G26" i="11" s="1"/>
  <c r="D30" i="11"/>
  <c r="G30" i="11" s="1"/>
  <c r="D34" i="11"/>
  <c r="G34" i="11" s="1"/>
  <c r="D38" i="11"/>
  <c r="G38" i="11" s="1"/>
  <c r="D42" i="11"/>
  <c r="G42" i="11" s="1"/>
  <c r="D46" i="11"/>
  <c r="G46" i="11" s="1"/>
  <c r="D50" i="11"/>
  <c r="G50" i="11" s="1"/>
  <c r="D54" i="11"/>
  <c r="G54" i="11" s="1"/>
  <c r="D58" i="11"/>
  <c r="G58" i="11" s="1"/>
  <c r="D10" i="11"/>
  <c r="B65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10" i="11"/>
  <c r="D27" i="10"/>
  <c r="D31" i="10"/>
  <c r="D35" i="10"/>
  <c r="D39" i="10"/>
  <c r="D43" i="10"/>
  <c r="D47" i="10"/>
  <c r="D49" i="10"/>
  <c r="D51" i="10"/>
  <c r="D53" i="10"/>
  <c r="D55" i="10"/>
  <c r="D57" i="10"/>
  <c r="G57" i="10" s="1"/>
  <c r="D59" i="10"/>
  <c r="G59" i="10" s="1"/>
  <c r="D61" i="10"/>
  <c r="G61" i="10" s="1"/>
  <c r="B65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9" i="10"/>
  <c r="B65" i="9"/>
  <c r="D10" i="9" s="1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8" i="9"/>
  <c r="C63" i="9" s="1"/>
  <c r="B65" i="8"/>
  <c r="D9" i="8" s="1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7" i="8"/>
  <c r="C63" i="8" s="1"/>
  <c r="B65" i="7"/>
  <c r="D8" i="7" s="1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" i="7"/>
  <c r="C63" i="7" s="1"/>
  <c r="B63" i="12"/>
  <c r="B62" i="12"/>
  <c r="B63" i="11"/>
  <c r="B62" i="11"/>
  <c r="B63" i="10"/>
  <c r="B62" i="10"/>
  <c r="B63" i="9"/>
  <c r="B62" i="9"/>
  <c r="B63" i="8"/>
  <c r="B62" i="8"/>
  <c r="B63" i="7"/>
  <c r="B62" i="7"/>
  <c r="B65" i="6"/>
  <c r="D7" i="6" s="1"/>
  <c r="B63" i="6"/>
  <c r="B62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5" i="6"/>
  <c r="G7" i="6" l="1"/>
  <c r="G10" i="9"/>
  <c r="G8" i="7"/>
  <c r="G9" i="8"/>
  <c r="C62" i="6"/>
  <c r="D5" i="6"/>
  <c r="D60" i="6"/>
  <c r="D58" i="6"/>
  <c r="D56" i="6"/>
  <c r="D54" i="6"/>
  <c r="D52" i="6"/>
  <c r="D50" i="6"/>
  <c r="D48" i="6"/>
  <c r="D46" i="6"/>
  <c r="D44" i="6"/>
  <c r="D42" i="6"/>
  <c r="D40" i="6"/>
  <c r="D38" i="6"/>
  <c r="D36" i="6"/>
  <c r="D34" i="6"/>
  <c r="D32" i="6"/>
  <c r="D30" i="6"/>
  <c r="D28" i="6"/>
  <c r="D26" i="6"/>
  <c r="D24" i="6"/>
  <c r="D22" i="6"/>
  <c r="D20" i="6"/>
  <c r="D18" i="6"/>
  <c r="D16" i="6"/>
  <c r="D14" i="6"/>
  <c r="D12" i="6"/>
  <c r="D10" i="6"/>
  <c r="D8" i="6"/>
  <c r="D6" i="6"/>
  <c r="B66" i="7"/>
  <c r="E58" i="7" s="1"/>
  <c r="H58" i="7" s="1"/>
  <c r="D61" i="7"/>
  <c r="D59" i="7"/>
  <c r="D57" i="7"/>
  <c r="D55" i="7"/>
  <c r="D53" i="7"/>
  <c r="D51" i="7"/>
  <c r="D49" i="7"/>
  <c r="D47" i="7"/>
  <c r="D45" i="7"/>
  <c r="D43" i="7"/>
  <c r="D41" i="7"/>
  <c r="D39" i="7"/>
  <c r="D37" i="7"/>
  <c r="D35" i="7"/>
  <c r="D33" i="7"/>
  <c r="D31" i="7"/>
  <c r="D29" i="7"/>
  <c r="D27" i="7"/>
  <c r="D25" i="7"/>
  <c r="D23" i="7"/>
  <c r="D21" i="7"/>
  <c r="D19" i="7"/>
  <c r="D17" i="7"/>
  <c r="D15" i="7"/>
  <c r="D13" i="7"/>
  <c r="D11" i="7"/>
  <c r="D9" i="7"/>
  <c r="D7" i="7"/>
  <c r="C62" i="7"/>
  <c r="D7" i="8"/>
  <c r="D60" i="8"/>
  <c r="D58" i="8"/>
  <c r="D56" i="8"/>
  <c r="D54" i="8"/>
  <c r="D52" i="8"/>
  <c r="D50" i="8"/>
  <c r="D48" i="8"/>
  <c r="D46" i="8"/>
  <c r="D44" i="8"/>
  <c r="D42" i="8"/>
  <c r="D40" i="8"/>
  <c r="D38" i="8"/>
  <c r="D36" i="8"/>
  <c r="D34" i="8"/>
  <c r="D32" i="8"/>
  <c r="D30" i="8"/>
  <c r="D28" i="8"/>
  <c r="D26" i="8"/>
  <c r="D24" i="8"/>
  <c r="D22" i="8"/>
  <c r="D20" i="8"/>
  <c r="D18" i="8"/>
  <c r="D16" i="8"/>
  <c r="D14" i="8"/>
  <c r="D12" i="8"/>
  <c r="D10" i="8"/>
  <c r="D8" i="8"/>
  <c r="C62" i="8"/>
  <c r="B66" i="9"/>
  <c r="E60" i="9" s="1"/>
  <c r="H60" i="9" s="1"/>
  <c r="D61" i="9"/>
  <c r="D59" i="9"/>
  <c r="D57" i="9"/>
  <c r="D55" i="9"/>
  <c r="D53" i="9"/>
  <c r="D51" i="9"/>
  <c r="D49" i="9"/>
  <c r="D47" i="9"/>
  <c r="D45" i="9"/>
  <c r="D43" i="9"/>
  <c r="D41" i="9"/>
  <c r="D39" i="9"/>
  <c r="D37" i="9"/>
  <c r="D35" i="9"/>
  <c r="D33" i="9"/>
  <c r="D31" i="9"/>
  <c r="D29" i="9"/>
  <c r="D27" i="9"/>
  <c r="D25" i="9"/>
  <c r="D23" i="9"/>
  <c r="D21" i="9"/>
  <c r="D19" i="9"/>
  <c r="D17" i="9"/>
  <c r="D15" i="9"/>
  <c r="D13" i="9"/>
  <c r="D11" i="9"/>
  <c r="D9" i="9"/>
  <c r="C62" i="9"/>
  <c r="D10" i="10"/>
  <c r="D12" i="10"/>
  <c r="D14" i="10"/>
  <c r="D16" i="10"/>
  <c r="D18" i="10"/>
  <c r="D20" i="10"/>
  <c r="D22" i="10"/>
  <c r="D24" i="10"/>
  <c r="D26" i="10"/>
  <c r="D28" i="10"/>
  <c r="D30" i="10"/>
  <c r="D32" i="10"/>
  <c r="D34" i="10"/>
  <c r="D36" i="10"/>
  <c r="D38" i="10"/>
  <c r="D40" i="10"/>
  <c r="D42" i="10"/>
  <c r="D44" i="10"/>
  <c r="D46" i="10"/>
  <c r="D9" i="10"/>
  <c r="D60" i="10"/>
  <c r="D58" i="10"/>
  <c r="D56" i="10"/>
  <c r="D54" i="10"/>
  <c r="D52" i="10"/>
  <c r="D50" i="10"/>
  <c r="D48" i="10"/>
  <c r="D45" i="10"/>
  <c r="D41" i="10"/>
  <c r="D37" i="10"/>
  <c r="D33" i="10"/>
  <c r="D29" i="10"/>
  <c r="D25" i="10"/>
  <c r="D21" i="10"/>
  <c r="D17" i="10"/>
  <c r="D13" i="10"/>
  <c r="C63" i="6"/>
  <c r="B66" i="6"/>
  <c r="E5" i="6" s="1"/>
  <c r="D61" i="6"/>
  <c r="D59" i="6"/>
  <c r="D57" i="6"/>
  <c r="D55" i="6"/>
  <c r="D53" i="6"/>
  <c r="D51" i="6"/>
  <c r="D49" i="6"/>
  <c r="D47" i="6"/>
  <c r="D45" i="6"/>
  <c r="D43" i="6"/>
  <c r="D41" i="6"/>
  <c r="D39" i="6"/>
  <c r="D37" i="6"/>
  <c r="D35" i="6"/>
  <c r="D33" i="6"/>
  <c r="D31" i="6"/>
  <c r="D29" i="6"/>
  <c r="D27" i="6"/>
  <c r="D25" i="6"/>
  <c r="D23" i="6"/>
  <c r="D21" i="6"/>
  <c r="D19" i="6"/>
  <c r="D17" i="6"/>
  <c r="D15" i="6"/>
  <c r="D13" i="6"/>
  <c r="D11" i="6"/>
  <c r="D9" i="6"/>
  <c r="D6" i="7"/>
  <c r="D60" i="7"/>
  <c r="D58" i="7"/>
  <c r="D56" i="7"/>
  <c r="D54" i="7"/>
  <c r="D52" i="7"/>
  <c r="D50" i="7"/>
  <c r="D48" i="7"/>
  <c r="D46" i="7"/>
  <c r="D44" i="7"/>
  <c r="D42" i="7"/>
  <c r="D40" i="7"/>
  <c r="D38" i="7"/>
  <c r="D36" i="7"/>
  <c r="D34" i="7"/>
  <c r="D32" i="7"/>
  <c r="D30" i="7"/>
  <c r="D28" i="7"/>
  <c r="D26" i="7"/>
  <c r="D24" i="7"/>
  <c r="D22" i="7"/>
  <c r="D20" i="7"/>
  <c r="D18" i="7"/>
  <c r="D16" i="7"/>
  <c r="D14" i="7"/>
  <c r="D12" i="7"/>
  <c r="D10" i="7"/>
  <c r="E6" i="7"/>
  <c r="B66" i="8"/>
  <c r="E58" i="8" s="1"/>
  <c r="H58" i="8" s="1"/>
  <c r="D61" i="8"/>
  <c r="D59" i="8"/>
  <c r="D57" i="8"/>
  <c r="D55" i="8"/>
  <c r="D53" i="8"/>
  <c r="D51" i="8"/>
  <c r="D49" i="8"/>
  <c r="D47" i="8"/>
  <c r="D45" i="8"/>
  <c r="D43" i="8"/>
  <c r="D41" i="8"/>
  <c r="D39" i="8"/>
  <c r="D37" i="8"/>
  <c r="D35" i="8"/>
  <c r="D33" i="8"/>
  <c r="D31" i="8"/>
  <c r="D29" i="8"/>
  <c r="D27" i="8"/>
  <c r="D25" i="8"/>
  <c r="D23" i="8"/>
  <c r="D21" i="8"/>
  <c r="D19" i="8"/>
  <c r="D17" i="8"/>
  <c r="D15" i="8"/>
  <c r="D13" i="8"/>
  <c r="D11" i="8"/>
  <c r="E7" i="8"/>
  <c r="D8" i="9"/>
  <c r="D60" i="9"/>
  <c r="D58" i="9"/>
  <c r="D56" i="9"/>
  <c r="D54" i="9"/>
  <c r="D52" i="9"/>
  <c r="D50" i="9"/>
  <c r="D48" i="9"/>
  <c r="D46" i="9"/>
  <c r="D44" i="9"/>
  <c r="D42" i="9"/>
  <c r="D40" i="9"/>
  <c r="D38" i="9"/>
  <c r="D36" i="9"/>
  <c r="D34" i="9"/>
  <c r="D32" i="9"/>
  <c r="D30" i="9"/>
  <c r="D28" i="9"/>
  <c r="D26" i="9"/>
  <c r="D24" i="9"/>
  <c r="D22" i="9"/>
  <c r="D20" i="9"/>
  <c r="D18" i="9"/>
  <c r="D16" i="9"/>
  <c r="D14" i="9"/>
  <c r="D12" i="9"/>
  <c r="E8" i="9"/>
  <c r="C62" i="10"/>
  <c r="C63" i="10"/>
  <c r="B66" i="10"/>
  <c r="E60" i="10" s="1"/>
  <c r="H60" i="10" s="1"/>
  <c r="G55" i="10"/>
  <c r="G53" i="10"/>
  <c r="G51" i="10"/>
  <c r="G49" i="10"/>
  <c r="G47" i="10"/>
  <c r="G43" i="10"/>
  <c r="G39" i="10"/>
  <c r="G35" i="10"/>
  <c r="G31" i="10"/>
  <c r="G27" i="10"/>
  <c r="D23" i="10"/>
  <c r="D19" i="10"/>
  <c r="D15" i="10"/>
  <c r="D11" i="10"/>
  <c r="G10" i="11"/>
  <c r="C62" i="12"/>
  <c r="B66" i="12"/>
  <c r="E60" i="12" s="1"/>
  <c r="H60" i="12" s="1"/>
  <c r="G59" i="12"/>
  <c r="G55" i="12"/>
  <c r="G51" i="12"/>
  <c r="G47" i="12"/>
  <c r="G43" i="12"/>
  <c r="G39" i="12"/>
  <c r="G35" i="12"/>
  <c r="G31" i="12"/>
  <c r="G27" i="12"/>
  <c r="G23" i="12"/>
  <c r="G19" i="12"/>
  <c r="G15" i="12"/>
  <c r="B66" i="14"/>
  <c r="E59" i="14" s="1"/>
  <c r="H59" i="14" s="1"/>
  <c r="C62" i="15"/>
  <c r="C63" i="15"/>
  <c r="B66" i="15"/>
  <c r="E54" i="15" s="1"/>
  <c r="G39" i="15"/>
  <c r="C62" i="11"/>
  <c r="B66" i="11"/>
  <c r="E60" i="11" s="1"/>
  <c r="H60" i="11" s="1"/>
  <c r="D11" i="11"/>
  <c r="D13" i="11"/>
  <c r="D15" i="11"/>
  <c r="D17" i="11"/>
  <c r="D19" i="11"/>
  <c r="D21" i="11"/>
  <c r="D23" i="11"/>
  <c r="D25" i="11"/>
  <c r="D27" i="11"/>
  <c r="D29" i="11"/>
  <c r="D31" i="11"/>
  <c r="D33" i="11"/>
  <c r="D35" i="11"/>
  <c r="D37" i="11"/>
  <c r="D39" i="11"/>
  <c r="D41" i="11"/>
  <c r="D43" i="11"/>
  <c r="D45" i="11"/>
  <c r="D47" i="11"/>
  <c r="D49" i="11"/>
  <c r="D51" i="11"/>
  <c r="D53" i="11"/>
  <c r="D55" i="11"/>
  <c r="D57" i="11"/>
  <c r="D59" i="11"/>
  <c r="D61" i="11"/>
  <c r="D60" i="11"/>
  <c r="D56" i="11"/>
  <c r="D52" i="11"/>
  <c r="D48" i="11"/>
  <c r="D44" i="11"/>
  <c r="D40" i="11"/>
  <c r="D36" i="11"/>
  <c r="D32" i="11"/>
  <c r="D28" i="11"/>
  <c r="D24" i="11"/>
  <c r="D20" i="11"/>
  <c r="D16" i="11"/>
  <c r="D12" i="11"/>
  <c r="C63" i="11"/>
  <c r="G61" i="12"/>
  <c r="G57" i="12"/>
  <c r="G53" i="12"/>
  <c r="G49" i="12"/>
  <c r="G45" i="12"/>
  <c r="G41" i="12"/>
  <c r="G37" i="12"/>
  <c r="G33" i="12"/>
  <c r="G29" i="12"/>
  <c r="G25" i="12"/>
  <c r="G21" i="12"/>
  <c r="G17" i="12"/>
  <c r="G13" i="12"/>
  <c r="C63" i="12"/>
  <c r="C63" i="14"/>
  <c r="E12" i="14"/>
  <c r="G13" i="14"/>
  <c r="E59" i="15"/>
  <c r="H59" i="15" s="1"/>
  <c r="E55" i="15"/>
  <c r="E51" i="15"/>
  <c r="H51" i="15" s="1"/>
  <c r="E47" i="15"/>
  <c r="E43" i="15"/>
  <c r="H43" i="15" s="1"/>
  <c r="E39" i="15"/>
  <c r="H39" i="15" s="1"/>
  <c r="E35" i="15"/>
  <c r="E31" i="15"/>
  <c r="H31" i="15" s="1"/>
  <c r="E27" i="15"/>
  <c r="E23" i="15"/>
  <c r="H23" i="15" s="1"/>
  <c r="E19" i="15"/>
  <c r="E15" i="15"/>
  <c r="H15" i="15" s="1"/>
  <c r="E13" i="15"/>
  <c r="F59" i="15"/>
  <c r="F51" i="15"/>
  <c r="F43" i="15"/>
  <c r="C62" i="13"/>
  <c r="E14" i="13"/>
  <c r="B66" i="13"/>
  <c r="E60" i="13"/>
  <c r="E58" i="13"/>
  <c r="E54" i="13"/>
  <c r="E50" i="13"/>
  <c r="E44" i="13"/>
  <c r="H44" i="13" s="1"/>
  <c r="E40" i="13"/>
  <c r="H40" i="13" s="1"/>
  <c r="E38" i="13"/>
  <c r="E28" i="13"/>
  <c r="E20" i="13"/>
  <c r="E18" i="13"/>
  <c r="E16" i="13"/>
  <c r="D15" i="13"/>
  <c r="D19" i="13"/>
  <c r="D22" i="13"/>
  <c r="G22" i="13" s="1"/>
  <c r="D23" i="13"/>
  <c r="G23" i="13" s="1"/>
  <c r="D24" i="13"/>
  <c r="G24" i="13" s="1"/>
  <c r="D25" i="13"/>
  <c r="G25" i="13" s="1"/>
  <c r="D26" i="13"/>
  <c r="D30" i="13"/>
  <c r="G30" i="13" s="1"/>
  <c r="D31" i="13"/>
  <c r="G31" i="13" s="1"/>
  <c r="D32" i="13"/>
  <c r="D34" i="13"/>
  <c r="G34" i="13" s="1"/>
  <c r="D35" i="13"/>
  <c r="G35" i="13" s="1"/>
  <c r="D36" i="13"/>
  <c r="G36" i="13" s="1"/>
  <c r="D37" i="13"/>
  <c r="D42" i="13"/>
  <c r="D43" i="13"/>
  <c r="G43" i="13" s="1"/>
  <c r="D46" i="13"/>
  <c r="D47" i="13"/>
  <c r="G47" i="13" s="1"/>
  <c r="D48" i="13"/>
  <c r="G48" i="13" s="1"/>
  <c r="D49" i="13"/>
  <c r="D52" i="13"/>
  <c r="D56" i="13"/>
  <c r="G56" i="13" s="1"/>
  <c r="D57" i="13"/>
  <c r="D55" i="13"/>
  <c r="D54" i="13"/>
  <c r="G54" i="13" s="1"/>
  <c r="D53" i="13"/>
  <c r="D41" i="13"/>
  <c r="G41" i="13" s="1"/>
  <c r="D40" i="13"/>
  <c r="D39" i="13"/>
  <c r="G39" i="13" s="1"/>
  <c r="D38" i="13"/>
  <c r="G38" i="13" s="1"/>
  <c r="D29" i="13"/>
  <c r="D28" i="13"/>
  <c r="G28" i="13" s="1"/>
  <c r="D27" i="13"/>
  <c r="G27" i="13" s="1"/>
  <c r="E56" i="16"/>
  <c r="E50" i="16"/>
  <c r="E40" i="16"/>
  <c r="H40" i="16" s="1"/>
  <c r="E32" i="16"/>
  <c r="E26" i="16"/>
  <c r="E22" i="16"/>
  <c r="F22" i="16" s="1"/>
  <c r="E18" i="16"/>
  <c r="F18" i="16" s="1"/>
  <c r="B66" i="16"/>
  <c r="C62" i="16"/>
  <c r="G57" i="18"/>
  <c r="G41" i="18"/>
  <c r="G25" i="18"/>
  <c r="F31" i="15"/>
  <c r="F23" i="15"/>
  <c r="F15" i="15"/>
  <c r="E61" i="13"/>
  <c r="E59" i="13"/>
  <c r="E55" i="13"/>
  <c r="H55" i="13" s="1"/>
  <c r="E53" i="13"/>
  <c r="H53" i="13" s="1"/>
  <c r="E51" i="13"/>
  <c r="H51" i="13" s="1"/>
  <c r="E45" i="13"/>
  <c r="E41" i="13"/>
  <c r="F41" i="13" s="1"/>
  <c r="E39" i="13"/>
  <c r="E33" i="13"/>
  <c r="H33" i="13" s="1"/>
  <c r="E29" i="13"/>
  <c r="H29" i="13" s="1"/>
  <c r="E27" i="13"/>
  <c r="E21" i="13"/>
  <c r="H21" i="13" s="1"/>
  <c r="E17" i="13"/>
  <c r="D14" i="13"/>
  <c r="D61" i="13"/>
  <c r="G61" i="13" s="1"/>
  <c r="D60" i="13"/>
  <c r="G60" i="13" s="1"/>
  <c r="D59" i="13"/>
  <c r="G59" i="13" s="1"/>
  <c r="D58" i="13"/>
  <c r="G58" i="13" s="1"/>
  <c r="D51" i="13"/>
  <c r="D50" i="13"/>
  <c r="G50" i="13" s="1"/>
  <c r="D45" i="13"/>
  <c r="G45" i="13" s="1"/>
  <c r="D44" i="13"/>
  <c r="D33" i="13"/>
  <c r="D21" i="13"/>
  <c r="D20" i="13"/>
  <c r="G20" i="13" s="1"/>
  <c r="D18" i="13"/>
  <c r="G18" i="13" s="1"/>
  <c r="D17" i="13"/>
  <c r="G17" i="13" s="1"/>
  <c r="D16" i="13"/>
  <c r="G16" i="13" s="1"/>
  <c r="C63" i="13"/>
  <c r="E61" i="16"/>
  <c r="H61" i="16" s="1"/>
  <c r="E59" i="16"/>
  <c r="E55" i="16"/>
  <c r="E51" i="16"/>
  <c r="F51" i="16" s="1"/>
  <c r="E47" i="16"/>
  <c r="E39" i="16"/>
  <c r="E33" i="16"/>
  <c r="E31" i="16"/>
  <c r="E27" i="16"/>
  <c r="E25" i="16"/>
  <c r="E21" i="16"/>
  <c r="E17" i="16"/>
  <c r="E15" i="16"/>
  <c r="B66" i="17"/>
  <c r="C63" i="17"/>
  <c r="G19" i="18"/>
  <c r="G49" i="18"/>
  <c r="G33" i="18"/>
  <c r="E27" i="19"/>
  <c r="F27" i="19" s="1"/>
  <c r="E19" i="19"/>
  <c r="F19" i="19" s="1"/>
  <c r="B66" i="19"/>
  <c r="C62" i="19"/>
  <c r="G25" i="26"/>
  <c r="C62" i="28"/>
  <c r="D60" i="28"/>
  <c r="D58" i="28"/>
  <c r="D56" i="28"/>
  <c r="D54" i="28"/>
  <c r="D52" i="28"/>
  <c r="D50" i="28"/>
  <c r="D48" i="28"/>
  <c r="D46" i="28"/>
  <c r="D44" i="28"/>
  <c r="D42" i="28"/>
  <c r="D40" i="28"/>
  <c r="D38" i="28"/>
  <c r="D36" i="28"/>
  <c r="D34" i="28"/>
  <c r="D32" i="28"/>
  <c r="D30" i="28"/>
  <c r="D28" i="28"/>
  <c r="D61" i="42"/>
  <c r="G61" i="42" s="1"/>
  <c r="D59" i="42"/>
  <c r="G59" i="42" s="1"/>
  <c r="D57" i="42"/>
  <c r="G57" i="42" s="1"/>
  <c r="D55" i="42"/>
  <c r="G55" i="42" s="1"/>
  <c r="D53" i="42"/>
  <c r="G53" i="42" s="1"/>
  <c r="D51" i="42"/>
  <c r="G51" i="42" s="1"/>
  <c r="D49" i="42"/>
  <c r="G49" i="42" s="1"/>
  <c r="D47" i="42"/>
  <c r="G47" i="42" s="1"/>
  <c r="D45" i="42"/>
  <c r="G45" i="42" s="1"/>
  <c r="D43" i="42"/>
  <c r="G43" i="42" s="1"/>
  <c r="D41" i="42"/>
  <c r="G41" i="42" s="1"/>
  <c r="D39" i="42"/>
  <c r="G39" i="42" s="1"/>
  <c r="D37" i="42"/>
  <c r="G37" i="42" s="1"/>
  <c r="D35" i="42"/>
  <c r="G35" i="42" s="1"/>
  <c r="D60" i="43"/>
  <c r="G60" i="43" s="1"/>
  <c r="D58" i="43"/>
  <c r="G58" i="43" s="1"/>
  <c r="D56" i="43"/>
  <c r="G56" i="43" s="1"/>
  <c r="D54" i="43"/>
  <c r="G54" i="43" s="1"/>
  <c r="D52" i="43"/>
  <c r="G52" i="43" s="1"/>
  <c r="D50" i="43"/>
  <c r="G50" i="43" s="1"/>
  <c r="D48" i="43"/>
  <c r="G48" i="43" s="1"/>
  <c r="D46" i="43"/>
  <c r="G46" i="43" s="1"/>
  <c r="D44" i="43"/>
  <c r="G44" i="43" s="1"/>
  <c r="D42" i="43"/>
  <c r="G42" i="43" s="1"/>
  <c r="D40" i="43"/>
  <c r="G40" i="43" s="1"/>
  <c r="D38" i="43"/>
  <c r="G38" i="43" s="1"/>
  <c r="D36" i="43"/>
  <c r="G36" i="43" s="1"/>
  <c r="D61" i="44"/>
  <c r="G61" i="44" s="1"/>
  <c r="D59" i="44"/>
  <c r="G59" i="44" s="1"/>
  <c r="D57" i="44"/>
  <c r="G57" i="44" s="1"/>
  <c r="D55" i="44"/>
  <c r="G55" i="44" s="1"/>
  <c r="D53" i="44"/>
  <c r="G53" i="44" s="1"/>
  <c r="D51" i="44"/>
  <c r="G51" i="44" s="1"/>
  <c r="D49" i="44"/>
  <c r="G49" i="44" s="1"/>
  <c r="D47" i="44"/>
  <c r="G47" i="44" s="1"/>
  <c r="D45" i="44"/>
  <c r="G45" i="44" s="1"/>
  <c r="D43" i="44"/>
  <c r="G43" i="44" s="1"/>
  <c r="D41" i="44"/>
  <c r="G41" i="44" s="1"/>
  <c r="D39" i="44"/>
  <c r="G39" i="44" s="1"/>
  <c r="D37" i="44"/>
  <c r="G37" i="44" s="1"/>
  <c r="B66" i="46"/>
  <c r="C62" i="46"/>
  <c r="D61" i="46"/>
  <c r="G61" i="46" s="1"/>
  <c r="D59" i="46"/>
  <c r="G59" i="46" s="1"/>
  <c r="D57" i="46"/>
  <c r="G57" i="46" s="1"/>
  <c r="D55" i="46"/>
  <c r="G55" i="46" s="1"/>
  <c r="D53" i="46"/>
  <c r="G53" i="46" s="1"/>
  <c r="D51" i="46"/>
  <c r="G51" i="46" s="1"/>
  <c r="D49" i="46"/>
  <c r="G49" i="46" s="1"/>
  <c r="D47" i="46"/>
  <c r="G47" i="46" s="1"/>
  <c r="D45" i="46"/>
  <c r="G45" i="46" s="1"/>
  <c r="D43" i="46"/>
  <c r="G43" i="46" s="1"/>
  <c r="D41" i="46"/>
  <c r="G41" i="46" s="1"/>
  <c r="D39" i="46"/>
  <c r="G39" i="46" s="1"/>
  <c r="D61" i="47"/>
  <c r="G61" i="47" s="1"/>
  <c r="D60" i="47"/>
  <c r="G60" i="47" s="1"/>
  <c r="D59" i="47"/>
  <c r="G59" i="47" s="1"/>
  <c r="D58" i="47"/>
  <c r="G58" i="47" s="1"/>
  <c r="D57" i="47"/>
  <c r="G57" i="47" s="1"/>
  <c r="D56" i="47"/>
  <c r="G56" i="47" s="1"/>
  <c r="D54" i="47"/>
  <c r="G54" i="47" s="1"/>
  <c r="D53" i="47"/>
  <c r="G53" i="47" s="1"/>
  <c r="D51" i="47"/>
  <c r="G51" i="47" s="1"/>
  <c r="D49" i="47"/>
  <c r="G49" i="47" s="1"/>
  <c r="D47" i="47"/>
  <c r="G47" i="47" s="1"/>
  <c r="D45" i="47"/>
  <c r="G45" i="47" s="1"/>
  <c r="D43" i="47"/>
  <c r="G43" i="47" s="1"/>
  <c r="D41" i="47"/>
  <c r="G41" i="47" s="1"/>
  <c r="D39" i="47"/>
  <c r="G41" i="49"/>
  <c r="C62" i="49"/>
  <c r="C62" i="50"/>
  <c r="B66" i="50"/>
  <c r="C62" i="65"/>
  <c r="D60" i="65"/>
  <c r="D58" i="65"/>
  <c r="D56" i="65"/>
  <c r="D61" i="66"/>
  <c r="G61" i="66" s="1"/>
  <c r="D58" i="66"/>
  <c r="G58" i="66" s="1"/>
  <c r="D57" i="66"/>
  <c r="G57" i="66" s="1"/>
  <c r="B66" i="68"/>
  <c r="C62" i="68"/>
  <c r="D61" i="68"/>
  <c r="G61" i="68" s="1"/>
  <c r="D59" i="68"/>
  <c r="G59" i="68" s="1"/>
  <c r="D60" i="12"/>
  <c r="D58" i="12"/>
  <c r="D56" i="12"/>
  <c r="D54" i="12"/>
  <c r="D52" i="12"/>
  <c r="D50" i="12"/>
  <c r="D48" i="12"/>
  <c r="D46" i="12"/>
  <c r="D44" i="12"/>
  <c r="D42" i="12"/>
  <c r="D40" i="12"/>
  <c r="D38" i="12"/>
  <c r="D36" i="12"/>
  <c r="D34" i="12"/>
  <c r="D32" i="12"/>
  <c r="D30" i="12"/>
  <c r="D28" i="12"/>
  <c r="D26" i="12"/>
  <c r="D24" i="12"/>
  <c r="D22" i="12"/>
  <c r="D20" i="12"/>
  <c r="D18" i="12"/>
  <c r="D16" i="12"/>
  <c r="D14" i="12"/>
  <c r="D12" i="12"/>
  <c r="D62" i="12" s="1"/>
  <c r="D1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5"/>
  <c r="D61" i="15"/>
  <c r="D58" i="15"/>
  <c r="G58" i="15" s="1"/>
  <c r="D57" i="15"/>
  <c r="D54" i="15"/>
  <c r="G54" i="15" s="1"/>
  <c r="D53" i="15"/>
  <c r="D50" i="15"/>
  <c r="G50" i="15" s="1"/>
  <c r="D49" i="15"/>
  <c r="D46" i="15"/>
  <c r="G46" i="15" s="1"/>
  <c r="D45" i="15"/>
  <c r="D42" i="15"/>
  <c r="G42" i="15" s="1"/>
  <c r="D41" i="15"/>
  <c r="D38" i="15"/>
  <c r="G38" i="15" s="1"/>
  <c r="D37" i="15"/>
  <c r="D34" i="15"/>
  <c r="G34" i="15" s="1"/>
  <c r="D33" i="15"/>
  <c r="D30" i="15"/>
  <c r="G30" i="15" s="1"/>
  <c r="D29" i="15"/>
  <c r="D26" i="15"/>
  <c r="G26" i="15" s="1"/>
  <c r="D25" i="15"/>
  <c r="D22" i="15"/>
  <c r="G22" i="15" s="1"/>
  <c r="D21" i="15"/>
  <c r="D18" i="15"/>
  <c r="G18" i="15" s="1"/>
  <c r="D17" i="15"/>
  <c r="D15" i="16"/>
  <c r="D57" i="16"/>
  <c r="D53" i="16"/>
  <c r="G53" i="16" s="1"/>
  <c r="D52" i="16"/>
  <c r="D49" i="16"/>
  <c r="D48" i="16"/>
  <c r="G48" i="16" s="1"/>
  <c r="D45" i="16"/>
  <c r="D44" i="16"/>
  <c r="G44" i="16" s="1"/>
  <c r="D43" i="16"/>
  <c r="D42" i="16"/>
  <c r="G42" i="16" s="1"/>
  <c r="D41" i="16"/>
  <c r="G41" i="16" s="1"/>
  <c r="D37" i="16"/>
  <c r="D36" i="16"/>
  <c r="G36" i="16" s="1"/>
  <c r="D35" i="16"/>
  <c r="G35" i="16" s="1"/>
  <c r="D34" i="16"/>
  <c r="G34" i="16" s="1"/>
  <c r="D30" i="16"/>
  <c r="D29" i="16"/>
  <c r="G29" i="16" s="1"/>
  <c r="D23" i="16"/>
  <c r="D19" i="16"/>
  <c r="D16" i="17"/>
  <c r="G16" i="17" s="1"/>
  <c r="D19" i="17"/>
  <c r="G19" i="17" s="1"/>
  <c r="D21" i="17"/>
  <c r="G21" i="17" s="1"/>
  <c r="D23" i="17"/>
  <c r="G23" i="17" s="1"/>
  <c r="D25" i="17"/>
  <c r="G25" i="17" s="1"/>
  <c r="D27" i="17"/>
  <c r="G27" i="17" s="1"/>
  <c r="D29" i="17"/>
  <c r="G29" i="17" s="1"/>
  <c r="D31" i="17"/>
  <c r="G31" i="17" s="1"/>
  <c r="D33" i="17"/>
  <c r="G33" i="17" s="1"/>
  <c r="D35" i="17"/>
  <c r="G35" i="17" s="1"/>
  <c r="D37" i="17"/>
  <c r="G37" i="17" s="1"/>
  <c r="D39" i="17"/>
  <c r="G39" i="17" s="1"/>
  <c r="D41" i="17"/>
  <c r="G41" i="17" s="1"/>
  <c r="D43" i="17"/>
  <c r="G43" i="17" s="1"/>
  <c r="D45" i="17"/>
  <c r="G45" i="17" s="1"/>
  <c r="D47" i="17"/>
  <c r="G47" i="17" s="1"/>
  <c r="D49" i="17"/>
  <c r="G49" i="17" s="1"/>
  <c r="D51" i="17"/>
  <c r="G51" i="17" s="1"/>
  <c r="D53" i="17"/>
  <c r="G53" i="17" s="1"/>
  <c r="D55" i="17"/>
  <c r="G55" i="17" s="1"/>
  <c r="D57" i="17"/>
  <c r="G57" i="17" s="1"/>
  <c r="D59" i="17"/>
  <c r="G59" i="17" s="1"/>
  <c r="D61" i="17"/>
  <c r="G61" i="17" s="1"/>
  <c r="B66" i="18"/>
  <c r="C62" i="18"/>
  <c r="C63" i="19"/>
  <c r="E58" i="19"/>
  <c r="E54" i="19"/>
  <c r="H54" i="19" s="1"/>
  <c r="E50" i="19"/>
  <c r="E46" i="19"/>
  <c r="H46" i="19" s="1"/>
  <c r="E42" i="19"/>
  <c r="E38" i="19"/>
  <c r="H38" i="19" s="1"/>
  <c r="E34" i="19"/>
  <c r="E30" i="19"/>
  <c r="H30" i="19" s="1"/>
  <c r="E26" i="19"/>
  <c r="E22" i="19"/>
  <c r="H22" i="19" s="1"/>
  <c r="G20" i="19"/>
  <c r="F54" i="19"/>
  <c r="F46" i="19"/>
  <c r="F30" i="19"/>
  <c r="H19" i="20"/>
  <c r="D62" i="20"/>
  <c r="C62" i="21"/>
  <c r="B66" i="21"/>
  <c r="E21" i="21" s="1"/>
  <c r="D61" i="21"/>
  <c r="G61" i="21" s="1"/>
  <c r="D60" i="21"/>
  <c r="G60" i="21" s="1"/>
  <c r="D59" i="21"/>
  <c r="G59" i="21" s="1"/>
  <c r="D58" i="21"/>
  <c r="G58" i="21" s="1"/>
  <c r="D57" i="21"/>
  <c r="G57" i="21" s="1"/>
  <c r="D56" i="21"/>
  <c r="G56" i="21" s="1"/>
  <c r="D55" i="21"/>
  <c r="G55" i="21" s="1"/>
  <c r="D54" i="21"/>
  <c r="G54" i="21" s="1"/>
  <c r="D53" i="21"/>
  <c r="G53" i="21" s="1"/>
  <c r="D52" i="21"/>
  <c r="G52" i="21" s="1"/>
  <c r="D51" i="21"/>
  <c r="G51" i="21" s="1"/>
  <c r="D50" i="21"/>
  <c r="G50" i="21" s="1"/>
  <c r="D49" i="21"/>
  <c r="G49" i="21" s="1"/>
  <c r="D48" i="21"/>
  <c r="G48" i="21" s="1"/>
  <c r="D47" i="21"/>
  <c r="G47" i="21" s="1"/>
  <c r="D46" i="21"/>
  <c r="G46" i="21" s="1"/>
  <c r="D45" i="21"/>
  <c r="G45" i="21" s="1"/>
  <c r="D44" i="21"/>
  <c r="G44" i="21" s="1"/>
  <c r="D43" i="21"/>
  <c r="G43" i="21" s="1"/>
  <c r="D42" i="21"/>
  <c r="G42" i="21" s="1"/>
  <c r="D41" i="21"/>
  <c r="G41" i="21" s="1"/>
  <c r="D40" i="21"/>
  <c r="G40" i="21" s="1"/>
  <c r="D39" i="21"/>
  <c r="G39" i="21" s="1"/>
  <c r="D38" i="21"/>
  <c r="G38" i="21" s="1"/>
  <c r="D37" i="21"/>
  <c r="G37" i="21" s="1"/>
  <c r="D36" i="21"/>
  <c r="G36" i="21" s="1"/>
  <c r="D35" i="21"/>
  <c r="G35" i="21" s="1"/>
  <c r="D34" i="21"/>
  <c r="G34" i="21" s="1"/>
  <c r="D33" i="21"/>
  <c r="G33" i="21" s="1"/>
  <c r="D32" i="21"/>
  <c r="G32" i="21" s="1"/>
  <c r="D31" i="21"/>
  <c r="G31" i="21" s="1"/>
  <c r="D30" i="21"/>
  <c r="G30" i="21" s="1"/>
  <c r="D29" i="21"/>
  <c r="G29" i="21" s="1"/>
  <c r="D28" i="21"/>
  <c r="G28" i="21" s="1"/>
  <c r="D27" i="21"/>
  <c r="G27" i="21" s="1"/>
  <c r="D26" i="21"/>
  <c r="G26" i="21" s="1"/>
  <c r="D25" i="21"/>
  <c r="G25" i="21" s="1"/>
  <c r="D24" i="21"/>
  <c r="G24" i="21" s="1"/>
  <c r="D23" i="21"/>
  <c r="G23" i="21" s="1"/>
  <c r="D22" i="21"/>
  <c r="G22" i="21" s="1"/>
  <c r="D21" i="21"/>
  <c r="G21" i="21" s="1"/>
  <c r="G62" i="21" s="1"/>
  <c r="G21" i="22"/>
  <c r="D23" i="22"/>
  <c r="G23" i="22" s="1"/>
  <c r="D25" i="22"/>
  <c r="G25" i="22" s="1"/>
  <c r="D26" i="22"/>
  <c r="G26" i="22" s="1"/>
  <c r="D27" i="22"/>
  <c r="G27" i="22" s="1"/>
  <c r="D62" i="24"/>
  <c r="G23" i="24"/>
  <c r="G62" i="24" s="1"/>
  <c r="C63" i="24"/>
  <c r="D61" i="25"/>
  <c r="G61" i="25" s="1"/>
  <c r="D59" i="25"/>
  <c r="G59" i="25" s="1"/>
  <c r="D57" i="25"/>
  <c r="G57" i="25" s="1"/>
  <c r="D55" i="25"/>
  <c r="G55" i="25" s="1"/>
  <c r="D53" i="25"/>
  <c r="G53" i="25" s="1"/>
  <c r="D51" i="25"/>
  <c r="G51" i="25" s="1"/>
  <c r="D49" i="25"/>
  <c r="G49" i="25" s="1"/>
  <c r="D47" i="25"/>
  <c r="G47" i="25" s="1"/>
  <c r="D45" i="25"/>
  <c r="G45" i="25" s="1"/>
  <c r="D43" i="25"/>
  <c r="G43" i="25" s="1"/>
  <c r="D41" i="25"/>
  <c r="G41" i="25" s="1"/>
  <c r="D39" i="25"/>
  <c r="G39" i="25" s="1"/>
  <c r="D37" i="25"/>
  <c r="G37" i="25" s="1"/>
  <c r="D35" i="25"/>
  <c r="G35" i="25" s="1"/>
  <c r="D33" i="25"/>
  <c r="G33" i="25" s="1"/>
  <c r="D31" i="25"/>
  <c r="G31" i="25" s="1"/>
  <c r="D29" i="25"/>
  <c r="G29" i="25" s="1"/>
  <c r="D27" i="25"/>
  <c r="G27" i="25" s="1"/>
  <c r="D25" i="25"/>
  <c r="G25" i="25" s="1"/>
  <c r="D26" i="26"/>
  <c r="G26" i="26" s="1"/>
  <c r="D28" i="26"/>
  <c r="G28" i="26" s="1"/>
  <c r="D30" i="26"/>
  <c r="G30" i="26" s="1"/>
  <c r="D32" i="26"/>
  <c r="G32" i="26" s="1"/>
  <c r="D34" i="26"/>
  <c r="G34" i="26" s="1"/>
  <c r="D36" i="26"/>
  <c r="G36" i="26" s="1"/>
  <c r="D38" i="26"/>
  <c r="G38" i="26" s="1"/>
  <c r="D40" i="26"/>
  <c r="G40" i="26" s="1"/>
  <c r="D42" i="26"/>
  <c r="G42" i="26" s="1"/>
  <c r="D44" i="26"/>
  <c r="G44" i="26" s="1"/>
  <c r="D46" i="26"/>
  <c r="G46" i="26" s="1"/>
  <c r="D48" i="26"/>
  <c r="G48" i="26" s="1"/>
  <c r="D50" i="26"/>
  <c r="G50" i="26" s="1"/>
  <c r="D52" i="26"/>
  <c r="G52" i="26" s="1"/>
  <c r="D54" i="26"/>
  <c r="G54" i="26" s="1"/>
  <c r="D56" i="26"/>
  <c r="G56" i="26" s="1"/>
  <c r="D58" i="26"/>
  <c r="G58" i="26" s="1"/>
  <c r="B66" i="26"/>
  <c r="D27" i="28"/>
  <c r="D31" i="28"/>
  <c r="D35" i="28"/>
  <c r="D39" i="28"/>
  <c r="D43" i="28"/>
  <c r="D47" i="28"/>
  <c r="D51" i="28"/>
  <c r="D55" i="28"/>
  <c r="D59" i="28"/>
  <c r="B66" i="28"/>
  <c r="D61" i="36"/>
  <c r="G61" i="36" s="1"/>
  <c r="D53" i="36"/>
  <c r="G53" i="36" s="1"/>
  <c r="D51" i="36"/>
  <c r="G51" i="36" s="1"/>
  <c r="D49" i="36"/>
  <c r="G49" i="36" s="1"/>
  <c r="D47" i="36"/>
  <c r="G47" i="36" s="1"/>
  <c r="D45" i="36"/>
  <c r="G45" i="36" s="1"/>
  <c r="D43" i="36"/>
  <c r="G43" i="36" s="1"/>
  <c r="D41" i="36"/>
  <c r="G41" i="36" s="1"/>
  <c r="D39" i="36"/>
  <c r="G39" i="36" s="1"/>
  <c r="D37" i="36"/>
  <c r="G37" i="36" s="1"/>
  <c r="D35" i="36"/>
  <c r="G35" i="36" s="1"/>
  <c r="D33" i="36"/>
  <c r="G33" i="36" s="1"/>
  <c r="D31" i="36"/>
  <c r="G31" i="36" s="1"/>
  <c r="D29" i="36"/>
  <c r="G29" i="36" s="1"/>
  <c r="D61" i="39"/>
  <c r="G61" i="39" s="1"/>
  <c r="D51" i="39"/>
  <c r="G51" i="39" s="1"/>
  <c r="D49" i="39"/>
  <c r="G49" i="39" s="1"/>
  <c r="D47" i="39"/>
  <c r="G47" i="39" s="1"/>
  <c r="D45" i="39"/>
  <c r="G45" i="39" s="1"/>
  <c r="D43" i="39"/>
  <c r="G43" i="39" s="1"/>
  <c r="D41" i="39"/>
  <c r="G41" i="39" s="1"/>
  <c r="D39" i="39"/>
  <c r="G39" i="39" s="1"/>
  <c r="D37" i="39"/>
  <c r="G37" i="39" s="1"/>
  <c r="D35" i="39"/>
  <c r="G35" i="39" s="1"/>
  <c r="D33" i="39"/>
  <c r="G33" i="39" s="1"/>
  <c r="D31" i="39"/>
  <c r="D62" i="39" s="1"/>
  <c r="B66" i="40"/>
  <c r="C62" i="40"/>
  <c r="D61" i="40"/>
  <c r="D59" i="40"/>
  <c r="D57" i="40"/>
  <c r="D55" i="40"/>
  <c r="D53" i="40"/>
  <c r="D51" i="40"/>
  <c r="D49" i="40"/>
  <c r="D47" i="40"/>
  <c r="D45" i="40"/>
  <c r="D43" i="40"/>
  <c r="D41" i="40"/>
  <c r="D39" i="40"/>
  <c r="D37" i="40"/>
  <c r="D35" i="40"/>
  <c r="D33" i="40"/>
  <c r="D61" i="41"/>
  <c r="G61" i="41" s="1"/>
  <c r="D60" i="41"/>
  <c r="G60" i="41" s="1"/>
  <c r="D59" i="41"/>
  <c r="G59" i="41" s="1"/>
  <c r="D58" i="41"/>
  <c r="G58" i="41" s="1"/>
  <c r="D57" i="41"/>
  <c r="G57" i="41" s="1"/>
  <c r="D56" i="41"/>
  <c r="G56" i="41" s="1"/>
  <c r="D55" i="41"/>
  <c r="G55" i="41" s="1"/>
  <c r="D54" i="41"/>
  <c r="G54" i="41" s="1"/>
  <c r="D53" i="41"/>
  <c r="G53" i="41" s="1"/>
  <c r="D52" i="41"/>
  <c r="G52" i="41" s="1"/>
  <c r="D51" i="41"/>
  <c r="G51" i="41" s="1"/>
  <c r="D50" i="41"/>
  <c r="G50" i="41" s="1"/>
  <c r="D49" i="41"/>
  <c r="G49" i="41" s="1"/>
  <c r="D48" i="41"/>
  <c r="G48" i="41" s="1"/>
  <c r="D47" i="41"/>
  <c r="G47" i="41" s="1"/>
  <c r="D46" i="41"/>
  <c r="G46" i="41" s="1"/>
  <c r="D45" i="41"/>
  <c r="G45" i="41" s="1"/>
  <c r="D44" i="41"/>
  <c r="G44" i="41" s="1"/>
  <c r="D43" i="41"/>
  <c r="G43" i="41" s="1"/>
  <c r="D38" i="41"/>
  <c r="G38" i="41" s="1"/>
  <c r="D36" i="41"/>
  <c r="G36" i="41" s="1"/>
  <c r="D34" i="41"/>
  <c r="G34" i="41" s="1"/>
  <c r="D36" i="42"/>
  <c r="G36" i="42" s="1"/>
  <c r="D40" i="42"/>
  <c r="G40" i="42" s="1"/>
  <c r="D44" i="42"/>
  <c r="G44" i="42" s="1"/>
  <c r="D48" i="42"/>
  <c r="G48" i="42" s="1"/>
  <c r="D52" i="42"/>
  <c r="G52" i="42" s="1"/>
  <c r="D56" i="42"/>
  <c r="G56" i="42" s="1"/>
  <c r="D60" i="42"/>
  <c r="G60" i="42" s="1"/>
  <c r="D35" i="43"/>
  <c r="D39" i="43"/>
  <c r="G39" i="43" s="1"/>
  <c r="D43" i="43"/>
  <c r="G43" i="43" s="1"/>
  <c r="D47" i="43"/>
  <c r="G47" i="43" s="1"/>
  <c r="D51" i="43"/>
  <c r="G51" i="43" s="1"/>
  <c r="D55" i="43"/>
  <c r="G55" i="43" s="1"/>
  <c r="D59" i="43"/>
  <c r="G59" i="43" s="1"/>
  <c r="B66" i="43"/>
  <c r="D36" i="44"/>
  <c r="D40" i="44"/>
  <c r="G40" i="44" s="1"/>
  <c r="D44" i="44"/>
  <c r="G44" i="44" s="1"/>
  <c r="D48" i="44"/>
  <c r="G48" i="44" s="1"/>
  <c r="D52" i="44"/>
  <c r="G52" i="44" s="1"/>
  <c r="D56" i="44"/>
  <c r="G56" i="44" s="1"/>
  <c r="D60" i="44"/>
  <c r="G60" i="44" s="1"/>
  <c r="D40" i="46"/>
  <c r="G40" i="46" s="1"/>
  <c r="D44" i="46"/>
  <c r="G44" i="46" s="1"/>
  <c r="D48" i="46"/>
  <c r="G48" i="46" s="1"/>
  <c r="D52" i="46"/>
  <c r="G52" i="46" s="1"/>
  <c r="D56" i="46"/>
  <c r="G56" i="46" s="1"/>
  <c r="D60" i="46"/>
  <c r="G60" i="46" s="1"/>
  <c r="D42" i="47"/>
  <c r="G42" i="47" s="1"/>
  <c r="D46" i="47"/>
  <c r="G46" i="47" s="1"/>
  <c r="D50" i="47"/>
  <c r="G50" i="47" s="1"/>
  <c r="B66" i="47"/>
  <c r="D42" i="49"/>
  <c r="G42" i="49" s="1"/>
  <c r="D44" i="49"/>
  <c r="G44" i="49" s="1"/>
  <c r="D46" i="49"/>
  <c r="G46" i="49" s="1"/>
  <c r="D48" i="49"/>
  <c r="G48" i="49" s="1"/>
  <c r="D50" i="49"/>
  <c r="G50" i="49" s="1"/>
  <c r="D52" i="49"/>
  <c r="G52" i="49" s="1"/>
  <c r="D54" i="49"/>
  <c r="G54" i="49" s="1"/>
  <c r="D56" i="49"/>
  <c r="G56" i="49" s="1"/>
  <c r="D58" i="49"/>
  <c r="G58" i="49" s="1"/>
  <c r="B66" i="49"/>
  <c r="C62" i="51"/>
  <c r="D60" i="51"/>
  <c r="D59" i="51"/>
  <c r="D56" i="51"/>
  <c r="D54" i="51"/>
  <c r="D52" i="51"/>
  <c r="D50" i="51"/>
  <c r="D48" i="51"/>
  <c r="D46" i="51"/>
  <c r="D44" i="51"/>
  <c r="C62" i="53"/>
  <c r="D60" i="53"/>
  <c r="D58" i="53"/>
  <c r="D56" i="53"/>
  <c r="D54" i="53"/>
  <c r="D52" i="53"/>
  <c r="D50" i="53"/>
  <c r="D48" i="53"/>
  <c r="D46" i="53"/>
  <c r="D62" i="55"/>
  <c r="G47" i="55"/>
  <c r="G62" i="55" s="1"/>
  <c r="C62" i="55"/>
  <c r="D62" i="57"/>
  <c r="G49" i="57"/>
  <c r="G62" i="57" s="1"/>
  <c r="C62" i="57"/>
  <c r="D62" i="61"/>
  <c r="G51" i="61"/>
  <c r="G62" i="61" s="1"/>
  <c r="C62" i="61"/>
  <c r="D62" i="63"/>
  <c r="G53" i="63"/>
  <c r="G62" i="63" s="1"/>
  <c r="C62" i="63"/>
  <c r="D55" i="65"/>
  <c r="D59" i="65"/>
  <c r="B66" i="65"/>
  <c r="D56" i="66"/>
  <c r="D60" i="68"/>
  <c r="G60" i="68" s="1"/>
  <c r="E52" i="70"/>
  <c r="C62" i="17"/>
  <c r="D60" i="18"/>
  <c r="G60" i="18" s="1"/>
  <c r="D59" i="18"/>
  <c r="D56" i="18"/>
  <c r="G56" i="18" s="1"/>
  <c r="D55" i="18"/>
  <c r="D52" i="18"/>
  <c r="G52" i="18" s="1"/>
  <c r="D51" i="18"/>
  <c r="D48" i="18"/>
  <c r="G48" i="18" s="1"/>
  <c r="D47" i="18"/>
  <c r="D44" i="18"/>
  <c r="G44" i="18" s="1"/>
  <c r="D43" i="18"/>
  <c r="D40" i="18"/>
  <c r="G40" i="18" s="1"/>
  <c r="D39" i="18"/>
  <c r="D36" i="18"/>
  <c r="G36" i="18" s="1"/>
  <c r="D35" i="18"/>
  <c r="D32" i="18"/>
  <c r="G32" i="18" s="1"/>
  <c r="D31" i="18"/>
  <c r="D28" i="18"/>
  <c r="G28" i="18" s="1"/>
  <c r="D27" i="18"/>
  <c r="D24" i="18"/>
  <c r="G24" i="18" s="1"/>
  <c r="D23" i="18"/>
  <c r="D20" i="18"/>
  <c r="G20" i="18" s="1"/>
  <c r="D61" i="19"/>
  <c r="G61" i="19" s="1"/>
  <c r="D60" i="19"/>
  <c r="D57" i="19"/>
  <c r="G57" i="19" s="1"/>
  <c r="D56" i="19"/>
  <c r="D53" i="19"/>
  <c r="G53" i="19" s="1"/>
  <c r="D52" i="19"/>
  <c r="D49" i="19"/>
  <c r="G49" i="19" s="1"/>
  <c r="D48" i="19"/>
  <c r="D45" i="19"/>
  <c r="G45" i="19" s="1"/>
  <c r="D44" i="19"/>
  <c r="D41" i="19"/>
  <c r="G41" i="19" s="1"/>
  <c r="D40" i="19"/>
  <c r="D37" i="19"/>
  <c r="G37" i="19" s="1"/>
  <c r="D36" i="19"/>
  <c r="D33" i="19"/>
  <c r="G33" i="19" s="1"/>
  <c r="D32" i="19"/>
  <c r="D29" i="19"/>
  <c r="G29" i="19" s="1"/>
  <c r="D28" i="19"/>
  <c r="D25" i="19"/>
  <c r="G25" i="19" s="1"/>
  <c r="D24" i="19"/>
  <c r="D21" i="19"/>
  <c r="G21" i="19" s="1"/>
  <c r="C62" i="38"/>
  <c r="C62" i="45"/>
  <c r="G62" i="54"/>
  <c r="D62" i="58"/>
  <c r="C62" i="67"/>
  <c r="L5" i="70"/>
  <c r="C6" i="70"/>
  <c r="D6" i="70" s="1"/>
  <c r="E6" i="70" s="1"/>
  <c r="C10" i="70"/>
  <c r="D10" i="70" s="1"/>
  <c r="C14" i="70"/>
  <c r="D14" i="70" s="1"/>
  <c r="E14" i="70" s="1"/>
  <c r="C18" i="70"/>
  <c r="D18" i="70" s="1"/>
  <c r="C22" i="70"/>
  <c r="D22" i="70" s="1"/>
  <c r="E22" i="70" s="1"/>
  <c r="C26" i="70"/>
  <c r="D26" i="70" s="1"/>
  <c r="E26" i="70" s="1"/>
  <c r="C30" i="70"/>
  <c r="D30" i="70" s="1"/>
  <c r="E30" i="70" s="1"/>
  <c r="C34" i="70"/>
  <c r="D34" i="70" s="1"/>
  <c r="C38" i="70"/>
  <c r="D38" i="70" s="1"/>
  <c r="E38" i="70" s="1"/>
  <c r="C42" i="70"/>
  <c r="D42" i="70" s="1"/>
  <c r="E42" i="70" s="1"/>
  <c r="C46" i="70"/>
  <c r="D46" i="70" s="1"/>
  <c r="E46" i="70" s="1"/>
  <c r="C50" i="70"/>
  <c r="D50" i="70" s="1"/>
  <c r="E50" i="70" s="1"/>
  <c r="C54" i="70"/>
  <c r="D54" i="70" s="1"/>
  <c r="E54" i="70" s="1"/>
  <c r="C58" i="70"/>
  <c r="D58" i="70" s="1"/>
  <c r="E58" i="70" s="1"/>
  <c r="C4" i="70"/>
  <c r="C7" i="70"/>
  <c r="D7" i="70" s="1"/>
  <c r="E7" i="70" s="1"/>
  <c r="C11" i="70"/>
  <c r="D11" i="70" s="1"/>
  <c r="E11" i="70" s="1"/>
  <c r="C15" i="70"/>
  <c r="D15" i="70" s="1"/>
  <c r="E15" i="70" s="1"/>
  <c r="C19" i="70"/>
  <c r="D19" i="70" s="1"/>
  <c r="E19" i="70" s="1"/>
  <c r="C23" i="70"/>
  <c r="D23" i="70" s="1"/>
  <c r="E23" i="70" s="1"/>
  <c r="C27" i="70"/>
  <c r="D27" i="70" s="1"/>
  <c r="E27" i="70" s="1"/>
  <c r="C31" i="70"/>
  <c r="D31" i="70" s="1"/>
  <c r="E31" i="70" s="1"/>
  <c r="C35" i="70"/>
  <c r="D35" i="70" s="1"/>
  <c r="E35" i="70" s="1"/>
  <c r="C39" i="70"/>
  <c r="D39" i="70" s="1"/>
  <c r="E39" i="70" s="1"/>
  <c r="C43" i="70"/>
  <c r="D43" i="70" s="1"/>
  <c r="E43" i="70" s="1"/>
  <c r="C47" i="70"/>
  <c r="D47" i="70" s="1"/>
  <c r="E47" i="70" s="1"/>
  <c r="C51" i="70"/>
  <c r="D51" i="70" s="1"/>
  <c r="E51" i="70" s="1"/>
  <c r="C55" i="70"/>
  <c r="D55" i="70" s="1"/>
  <c r="E55" i="70" s="1"/>
  <c r="C59" i="70"/>
  <c r="D59" i="70" s="1"/>
  <c r="E59" i="70" s="1"/>
  <c r="N3" i="114"/>
  <c r="O3" i="114" s="1"/>
  <c r="G58" i="68"/>
  <c r="G62" i="68" s="1"/>
  <c r="C63" i="68"/>
  <c r="E59" i="68"/>
  <c r="C63" i="67"/>
  <c r="E57" i="67"/>
  <c r="C63" i="66"/>
  <c r="E57" i="66"/>
  <c r="G55" i="65"/>
  <c r="G56" i="65"/>
  <c r="G57" i="65"/>
  <c r="G58" i="65"/>
  <c r="G59" i="65"/>
  <c r="G60" i="65"/>
  <c r="G61" i="65"/>
  <c r="D62" i="65"/>
  <c r="C63" i="65"/>
  <c r="E55" i="65"/>
  <c r="G54" i="64"/>
  <c r="G55" i="64"/>
  <c r="G56" i="64"/>
  <c r="G57" i="64"/>
  <c r="G58" i="64"/>
  <c r="G59" i="64"/>
  <c r="G60" i="64"/>
  <c r="G61" i="64"/>
  <c r="D62" i="64"/>
  <c r="C63" i="64"/>
  <c r="E55" i="64"/>
  <c r="C63" i="63"/>
  <c r="E53" i="63"/>
  <c r="G52" i="62"/>
  <c r="G53" i="62"/>
  <c r="G54" i="62"/>
  <c r="G55" i="62"/>
  <c r="G56" i="62"/>
  <c r="G57" i="62"/>
  <c r="G58" i="62"/>
  <c r="G59" i="62"/>
  <c r="G60" i="62"/>
  <c r="G61" i="62"/>
  <c r="D62" i="62"/>
  <c r="C63" i="62"/>
  <c r="E53" i="62"/>
  <c r="C63" i="61"/>
  <c r="E51" i="61"/>
  <c r="G50" i="58"/>
  <c r="G62" i="58" s="1"/>
  <c r="C63" i="58"/>
  <c r="E51" i="58"/>
  <c r="C63" i="57"/>
  <c r="E49" i="57"/>
  <c r="G48" i="56"/>
  <c r="G49" i="56"/>
  <c r="G50" i="56"/>
  <c r="G51" i="56"/>
  <c r="G52" i="56"/>
  <c r="G53" i="56"/>
  <c r="G54" i="56"/>
  <c r="G55" i="56"/>
  <c r="G56" i="56"/>
  <c r="G57" i="56"/>
  <c r="G58" i="56"/>
  <c r="G59" i="56"/>
  <c r="G60" i="56"/>
  <c r="G61" i="56"/>
  <c r="D62" i="56"/>
  <c r="C63" i="56"/>
  <c r="E48" i="56"/>
  <c r="C63" i="55"/>
  <c r="E47" i="55"/>
  <c r="E59" i="54"/>
  <c r="H59" i="54" s="1"/>
  <c r="E57" i="54"/>
  <c r="H57" i="54" s="1"/>
  <c r="E55" i="54"/>
  <c r="H55" i="54" s="1"/>
  <c r="E53" i="54"/>
  <c r="H53" i="54" s="1"/>
  <c r="E51" i="54"/>
  <c r="H51" i="54" s="1"/>
  <c r="E49" i="54"/>
  <c r="H49" i="54" s="1"/>
  <c r="E47" i="54"/>
  <c r="H47" i="54" s="1"/>
  <c r="E60" i="54"/>
  <c r="H60" i="54" s="1"/>
  <c r="E58" i="54"/>
  <c r="H58" i="54" s="1"/>
  <c r="E56" i="54"/>
  <c r="H56" i="54" s="1"/>
  <c r="E54" i="54"/>
  <c r="H54" i="54" s="1"/>
  <c r="E52" i="54"/>
  <c r="H52" i="54" s="1"/>
  <c r="E50" i="54"/>
  <c r="H50" i="54" s="1"/>
  <c r="E48" i="54"/>
  <c r="H48" i="54" s="1"/>
  <c r="E46" i="54"/>
  <c r="H46" i="54" s="1"/>
  <c r="F50" i="54"/>
  <c r="F52" i="54"/>
  <c r="F54" i="54"/>
  <c r="F56" i="54"/>
  <c r="F58" i="54"/>
  <c r="F60" i="54"/>
  <c r="E61" i="54"/>
  <c r="H61" i="54" s="1"/>
  <c r="F48" i="54"/>
  <c r="F47" i="54"/>
  <c r="F49" i="54"/>
  <c r="F51" i="54"/>
  <c r="F53" i="54"/>
  <c r="F55" i="54"/>
  <c r="F57" i="54"/>
  <c r="F59" i="54"/>
  <c r="F61" i="54"/>
  <c r="C63" i="54"/>
  <c r="G45" i="53"/>
  <c r="G46" i="53"/>
  <c r="G47" i="53"/>
  <c r="G48" i="53"/>
  <c r="G49" i="53"/>
  <c r="G50" i="53"/>
  <c r="G51" i="53"/>
  <c r="G52" i="53"/>
  <c r="G53" i="53"/>
  <c r="G54" i="53"/>
  <c r="G55" i="53"/>
  <c r="G56" i="53"/>
  <c r="G57" i="53"/>
  <c r="G58" i="53"/>
  <c r="G59" i="53"/>
  <c r="G60" i="53"/>
  <c r="G61" i="53"/>
  <c r="D62" i="53"/>
  <c r="C63" i="53"/>
  <c r="E45" i="53"/>
  <c r="G44" i="52"/>
  <c r="G45" i="52"/>
  <c r="G46" i="52"/>
  <c r="G47" i="52"/>
  <c r="G48" i="52"/>
  <c r="G49" i="52"/>
  <c r="G50" i="52"/>
  <c r="G51" i="52"/>
  <c r="G52" i="52"/>
  <c r="G53" i="52"/>
  <c r="G54" i="52"/>
  <c r="G55" i="52"/>
  <c r="G56" i="52"/>
  <c r="G57" i="52"/>
  <c r="G58" i="52"/>
  <c r="G59" i="52"/>
  <c r="G60" i="52"/>
  <c r="G61" i="52"/>
  <c r="D62" i="52"/>
  <c r="C63" i="52"/>
  <c r="E45" i="52"/>
  <c r="D58" i="51"/>
  <c r="G43" i="51"/>
  <c r="G44" i="51"/>
  <c r="G45" i="51"/>
  <c r="G46" i="51"/>
  <c r="G47" i="51"/>
  <c r="G48" i="51"/>
  <c r="G49" i="51"/>
  <c r="G50" i="51"/>
  <c r="G51" i="51"/>
  <c r="G52" i="51"/>
  <c r="G53" i="51"/>
  <c r="G54" i="51"/>
  <c r="G55" i="51"/>
  <c r="G56" i="51"/>
  <c r="G57" i="51"/>
  <c r="G58" i="51"/>
  <c r="G59" i="51"/>
  <c r="G60" i="51"/>
  <c r="G61" i="51"/>
  <c r="D62" i="51"/>
  <c r="C63" i="51"/>
  <c r="E43" i="51"/>
  <c r="D62" i="50"/>
  <c r="G62" i="50"/>
  <c r="E45" i="50"/>
  <c r="H45" i="50" s="1"/>
  <c r="E46" i="50"/>
  <c r="H46" i="50" s="1"/>
  <c r="E47" i="50"/>
  <c r="H47" i="50" s="1"/>
  <c r="E48" i="50"/>
  <c r="H48" i="50" s="1"/>
  <c r="E49" i="50"/>
  <c r="H49" i="50" s="1"/>
  <c r="E50" i="50"/>
  <c r="H50" i="50" s="1"/>
  <c r="E51" i="50"/>
  <c r="H51" i="50" s="1"/>
  <c r="E52" i="50"/>
  <c r="H52" i="50" s="1"/>
  <c r="E53" i="50"/>
  <c r="H53" i="50" s="1"/>
  <c r="E54" i="50"/>
  <c r="H54" i="50" s="1"/>
  <c r="E55" i="50"/>
  <c r="H55" i="50" s="1"/>
  <c r="E56" i="50"/>
  <c r="H56" i="50" s="1"/>
  <c r="E57" i="50"/>
  <c r="H57" i="50" s="1"/>
  <c r="E58" i="50"/>
  <c r="H58" i="50" s="1"/>
  <c r="E59" i="50"/>
  <c r="H59" i="50" s="1"/>
  <c r="E60" i="50"/>
  <c r="H60" i="50" s="1"/>
  <c r="E61" i="50"/>
  <c r="H61" i="50" s="1"/>
  <c r="E42" i="50"/>
  <c r="E43" i="50"/>
  <c r="E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C63" i="50"/>
  <c r="C63" i="49"/>
  <c r="E41" i="49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D62" i="48"/>
  <c r="C63" i="48"/>
  <c r="E41" i="48"/>
  <c r="G39" i="47"/>
  <c r="G62" i="47" s="1"/>
  <c r="C63" i="47"/>
  <c r="E39" i="47"/>
  <c r="G38" i="46"/>
  <c r="G62" i="46" s="1"/>
  <c r="C63" i="46"/>
  <c r="E39" i="46"/>
  <c r="G48" i="45"/>
  <c r="G49" i="45"/>
  <c r="G50" i="45"/>
  <c r="G51" i="45"/>
  <c r="G52" i="45"/>
  <c r="G53" i="45"/>
  <c r="G54" i="45"/>
  <c r="G55" i="45"/>
  <c r="G56" i="45"/>
  <c r="G57" i="45"/>
  <c r="G58" i="45"/>
  <c r="G59" i="45"/>
  <c r="G60" i="45"/>
  <c r="G61" i="45"/>
  <c r="D62" i="45"/>
  <c r="C63" i="45"/>
  <c r="E38" i="45"/>
  <c r="G36" i="44"/>
  <c r="G62" i="44" s="1"/>
  <c r="C62" i="44"/>
  <c r="E36" i="44"/>
  <c r="C63" i="44"/>
  <c r="G35" i="43"/>
  <c r="G62" i="43" s="1"/>
  <c r="C62" i="43"/>
  <c r="E36" i="43"/>
  <c r="C63" i="43"/>
  <c r="E41" i="43"/>
  <c r="H41" i="43" s="1"/>
  <c r="E49" i="43"/>
  <c r="H49" i="43" s="1"/>
  <c r="E57" i="43"/>
  <c r="H57" i="43" s="1"/>
  <c r="G34" i="42"/>
  <c r="G62" i="42" s="1"/>
  <c r="C62" i="42"/>
  <c r="E34" i="42"/>
  <c r="C63" i="42"/>
  <c r="G33" i="41"/>
  <c r="G62" i="41" s="1"/>
  <c r="C62" i="41"/>
  <c r="E33" i="41"/>
  <c r="C63" i="41"/>
  <c r="G32" i="40"/>
  <c r="G33" i="40"/>
  <c r="G34" i="40"/>
  <c r="G35" i="40"/>
  <c r="G36" i="40"/>
  <c r="G37" i="40"/>
  <c r="G38" i="40"/>
  <c r="G39" i="40"/>
  <c r="G40" i="40"/>
  <c r="G41" i="40"/>
  <c r="G42" i="40"/>
  <c r="G43" i="40"/>
  <c r="G44" i="40"/>
  <c r="G45" i="40"/>
  <c r="G46" i="40"/>
  <c r="G47" i="40"/>
  <c r="G48" i="40"/>
  <c r="G49" i="40"/>
  <c r="G50" i="40"/>
  <c r="G51" i="40"/>
  <c r="G52" i="40"/>
  <c r="G53" i="40"/>
  <c r="G54" i="40"/>
  <c r="G55" i="40"/>
  <c r="G56" i="40"/>
  <c r="G57" i="40"/>
  <c r="G58" i="40"/>
  <c r="G59" i="40"/>
  <c r="G60" i="40"/>
  <c r="G61" i="40"/>
  <c r="D62" i="40"/>
  <c r="C63" i="40"/>
  <c r="E33" i="40"/>
  <c r="G31" i="39"/>
  <c r="G62" i="39" s="1"/>
  <c r="C62" i="39"/>
  <c r="E32" i="39"/>
  <c r="C63" i="39"/>
  <c r="D59" i="38"/>
  <c r="D62" i="38" s="1"/>
  <c r="E30" i="38"/>
  <c r="H30" i="38" s="1"/>
  <c r="E31" i="38"/>
  <c r="H31" i="38" s="1"/>
  <c r="E32" i="38"/>
  <c r="H32" i="38" s="1"/>
  <c r="E33" i="38"/>
  <c r="H33" i="38" s="1"/>
  <c r="E34" i="38"/>
  <c r="H34" i="38" s="1"/>
  <c r="E35" i="38"/>
  <c r="H35" i="38" s="1"/>
  <c r="E36" i="38"/>
  <c r="H36" i="38" s="1"/>
  <c r="E37" i="38"/>
  <c r="H37" i="38" s="1"/>
  <c r="E38" i="38"/>
  <c r="H38" i="38" s="1"/>
  <c r="E39" i="38"/>
  <c r="H39" i="38" s="1"/>
  <c r="E40" i="38"/>
  <c r="H40" i="38" s="1"/>
  <c r="E41" i="38"/>
  <c r="H41" i="38" s="1"/>
  <c r="E42" i="38"/>
  <c r="H42" i="38" s="1"/>
  <c r="E43" i="38"/>
  <c r="H43" i="38" s="1"/>
  <c r="E44" i="38"/>
  <c r="H44" i="38" s="1"/>
  <c r="E45" i="38"/>
  <c r="H45" i="38" s="1"/>
  <c r="E46" i="38"/>
  <c r="H46" i="38" s="1"/>
  <c r="E47" i="38"/>
  <c r="H47" i="38" s="1"/>
  <c r="E48" i="38"/>
  <c r="H48" i="38" s="1"/>
  <c r="E49" i="38"/>
  <c r="H49" i="38" s="1"/>
  <c r="E50" i="38"/>
  <c r="H50" i="38" s="1"/>
  <c r="E51" i="38"/>
  <c r="H51" i="38" s="1"/>
  <c r="E52" i="38"/>
  <c r="H52" i="38" s="1"/>
  <c r="E53" i="38"/>
  <c r="H53" i="38" s="1"/>
  <c r="E54" i="38"/>
  <c r="H54" i="38" s="1"/>
  <c r="E55" i="38"/>
  <c r="H55" i="38" s="1"/>
  <c r="E56" i="38"/>
  <c r="H56" i="38" s="1"/>
  <c r="E57" i="38"/>
  <c r="H57" i="38" s="1"/>
  <c r="E58" i="38"/>
  <c r="H58" i="38" s="1"/>
  <c r="E59" i="38"/>
  <c r="H59" i="38" s="1"/>
  <c r="E60" i="38"/>
  <c r="H60" i="38" s="1"/>
  <c r="E61" i="38"/>
  <c r="H61" i="38" s="1"/>
  <c r="F30" i="38"/>
  <c r="F31" i="38"/>
  <c r="F32" i="38"/>
  <c r="F33" i="38"/>
  <c r="F34" i="38"/>
  <c r="F35" i="38"/>
  <c r="F36" i="38"/>
  <c r="F37" i="38"/>
  <c r="F38" i="38"/>
  <c r="F39" i="38"/>
  <c r="F40" i="38"/>
  <c r="F41" i="38"/>
  <c r="F42" i="38"/>
  <c r="F43" i="38"/>
  <c r="F44" i="38"/>
  <c r="F45" i="38"/>
  <c r="F46" i="38"/>
  <c r="F47" i="38"/>
  <c r="F48" i="38"/>
  <c r="F49" i="38"/>
  <c r="F50" i="38"/>
  <c r="F51" i="38"/>
  <c r="F52" i="38"/>
  <c r="F53" i="38"/>
  <c r="F54" i="38"/>
  <c r="F55" i="38"/>
  <c r="F56" i="38"/>
  <c r="F57" i="38"/>
  <c r="F58" i="38"/>
  <c r="F59" i="38"/>
  <c r="F60" i="38"/>
  <c r="F61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C63" i="38"/>
  <c r="C62" i="37"/>
  <c r="E30" i="37"/>
  <c r="C63" i="37"/>
  <c r="G28" i="36"/>
  <c r="G62" i="36" s="1"/>
  <c r="C62" i="36"/>
  <c r="E29" i="36"/>
  <c r="C63" i="36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D62" i="28"/>
  <c r="C63" i="28"/>
  <c r="E27" i="28"/>
  <c r="D62" i="27"/>
  <c r="G26" i="27"/>
  <c r="G62" i="27" s="1"/>
  <c r="C62" i="27"/>
  <c r="E27" i="27"/>
  <c r="C63" i="27"/>
  <c r="G62" i="26"/>
  <c r="C62" i="26"/>
  <c r="E30" i="26"/>
  <c r="C63" i="26"/>
  <c r="G24" i="25"/>
  <c r="G62" i="25" s="1"/>
  <c r="C62" i="25"/>
  <c r="E24" i="25"/>
  <c r="C63" i="25"/>
  <c r="C62" i="24"/>
  <c r="E23" i="24"/>
  <c r="C62" i="23"/>
  <c r="G62" i="23"/>
  <c r="C63" i="23"/>
  <c r="E22" i="23"/>
  <c r="F22" i="22"/>
  <c r="H2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C62" i="22"/>
  <c r="G62" i="22"/>
  <c r="C63" i="22"/>
  <c r="F21" i="21"/>
  <c r="H21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0" i="20"/>
  <c r="E62" i="20" s="1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F19" i="20"/>
  <c r="G19" i="20"/>
  <c r="G62" i="20" s="1"/>
  <c r="H27" i="19"/>
  <c r="H19" i="19"/>
  <c r="D62" i="17"/>
  <c r="G17" i="17"/>
  <c r="G62" i="17" s="1"/>
  <c r="E61" i="17"/>
  <c r="E60" i="17"/>
  <c r="E59" i="17"/>
  <c r="E58" i="17"/>
  <c r="E57" i="17"/>
  <c r="E56" i="17"/>
  <c r="E55" i="17"/>
  <c r="E54" i="17"/>
  <c r="E53" i="17"/>
  <c r="E51" i="17"/>
  <c r="E50" i="17"/>
  <c r="E38" i="17"/>
  <c r="E37" i="17"/>
  <c r="E34" i="17"/>
  <c r="E30" i="17"/>
  <c r="E29" i="17"/>
  <c r="E28" i="17"/>
  <c r="E27" i="17"/>
  <c r="E26" i="17"/>
  <c r="E25" i="17"/>
  <c r="E24" i="17"/>
  <c r="E20" i="17"/>
  <c r="E19" i="17"/>
  <c r="E18" i="17"/>
  <c r="E52" i="17"/>
  <c r="F52" i="17" s="1"/>
  <c r="E49" i="17"/>
  <c r="E48" i="17"/>
  <c r="E47" i="17"/>
  <c r="E46" i="17"/>
  <c r="E45" i="17"/>
  <c r="E44" i="17"/>
  <c r="E43" i="17"/>
  <c r="E42" i="17"/>
  <c r="E41" i="17"/>
  <c r="E40" i="17"/>
  <c r="E39" i="17"/>
  <c r="E36" i="17"/>
  <c r="E35" i="17"/>
  <c r="E33" i="17"/>
  <c r="E32" i="17"/>
  <c r="E31" i="17"/>
  <c r="E23" i="17"/>
  <c r="E22" i="17"/>
  <c r="E21" i="17"/>
  <c r="H52" i="17"/>
  <c r="H51" i="16"/>
  <c r="H22" i="16"/>
  <c r="H18" i="16"/>
  <c r="H18" i="13"/>
  <c r="H45" i="13"/>
  <c r="H41" i="13"/>
  <c r="F54" i="15" l="1"/>
  <c r="H54" i="15"/>
  <c r="H5" i="6"/>
  <c r="C63" i="70"/>
  <c r="C62" i="70"/>
  <c r="L14" i="70"/>
  <c r="B52" i="85" s="1"/>
  <c r="D4" i="70"/>
  <c r="G24" i="19"/>
  <c r="G62" i="19" s="1"/>
  <c r="G28" i="19"/>
  <c r="G32" i="19"/>
  <c r="G36" i="19"/>
  <c r="G40" i="19"/>
  <c r="G44" i="19"/>
  <c r="G48" i="19"/>
  <c r="G52" i="19"/>
  <c r="G56" i="19"/>
  <c r="G60" i="19"/>
  <c r="E35" i="85"/>
  <c r="D62" i="66"/>
  <c r="G56" i="66"/>
  <c r="G62" i="66" s="1"/>
  <c r="D62" i="36"/>
  <c r="E23" i="18"/>
  <c r="H23" i="18" s="1"/>
  <c r="E31" i="18"/>
  <c r="H31" i="18" s="1"/>
  <c r="E39" i="18"/>
  <c r="H39" i="18" s="1"/>
  <c r="E47" i="18"/>
  <c r="H47" i="18" s="1"/>
  <c r="E55" i="18"/>
  <c r="H55" i="18" s="1"/>
  <c r="E19" i="18"/>
  <c r="E28" i="18"/>
  <c r="E35" i="18"/>
  <c r="H35" i="18" s="1"/>
  <c r="E44" i="18"/>
  <c r="E51" i="18"/>
  <c r="H51" i="18" s="1"/>
  <c r="E60" i="18"/>
  <c r="E20" i="18"/>
  <c r="E27" i="18"/>
  <c r="H27" i="18" s="1"/>
  <c r="E36" i="18"/>
  <c r="E43" i="18"/>
  <c r="H43" i="18" s="1"/>
  <c r="E52" i="18"/>
  <c r="E59" i="18"/>
  <c r="H59" i="18" s="1"/>
  <c r="E22" i="18"/>
  <c r="E30" i="18"/>
  <c r="E38" i="18"/>
  <c r="E46" i="18"/>
  <c r="E54" i="18"/>
  <c r="G23" i="16"/>
  <c r="G30" i="16"/>
  <c r="G37" i="16"/>
  <c r="G52" i="16"/>
  <c r="G57" i="16"/>
  <c r="G17" i="15"/>
  <c r="G21" i="15"/>
  <c r="G25" i="15"/>
  <c r="G29" i="15"/>
  <c r="G33" i="15"/>
  <c r="G37" i="15"/>
  <c r="G41" i="15"/>
  <c r="G45" i="15"/>
  <c r="G49" i="15"/>
  <c r="G53" i="15"/>
  <c r="G57" i="15"/>
  <c r="G61" i="15"/>
  <c r="G14" i="14"/>
  <c r="G16" i="14"/>
  <c r="G18" i="14"/>
  <c r="G20" i="14"/>
  <c r="G22" i="14"/>
  <c r="G24" i="14"/>
  <c r="G26" i="14"/>
  <c r="G28" i="14"/>
  <c r="G30" i="14"/>
  <c r="G32" i="14"/>
  <c r="G34" i="14"/>
  <c r="G36" i="14"/>
  <c r="G38" i="14"/>
  <c r="G40" i="14"/>
  <c r="G42" i="14"/>
  <c r="G44" i="14"/>
  <c r="G46" i="14"/>
  <c r="G48" i="14"/>
  <c r="G50" i="14"/>
  <c r="G52" i="14"/>
  <c r="G54" i="14"/>
  <c r="G56" i="14"/>
  <c r="G58" i="14"/>
  <c r="G60" i="14"/>
  <c r="G12" i="14"/>
  <c r="D62" i="14"/>
  <c r="F12" i="14"/>
  <c r="G14" i="12"/>
  <c r="G18" i="12"/>
  <c r="G22" i="12"/>
  <c r="G26" i="12"/>
  <c r="G30" i="12"/>
  <c r="G34" i="12"/>
  <c r="G38" i="12"/>
  <c r="G42" i="12"/>
  <c r="G46" i="12"/>
  <c r="G50" i="12"/>
  <c r="G54" i="12"/>
  <c r="G58" i="12"/>
  <c r="D62" i="68"/>
  <c r="D62" i="49"/>
  <c r="D62" i="46"/>
  <c r="D62" i="41"/>
  <c r="D62" i="26"/>
  <c r="E20" i="19"/>
  <c r="E28" i="19"/>
  <c r="H28" i="19" s="1"/>
  <c r="E36" i="19"/>
  <c r="H36" i="19" s="1"/>
  <c r="E44" i="19"/>
  <c r="H44" i="19" s="1"/>
  <c r="E52" i="19"/>
  <c r="H52" i="19" s="1"/>
  <c r="E60" i="19"/>
  <c r="H60" i="19" s="1"/>
  <c r="E24" i="19"/>
  <c r="H24" i="19" s="1"/>
  <c r="E32" i="19"/>
  <c r="H32" i="19" s="1"/>
  <c r="E40" i="19"/>
  <c r="H40" i="19" s="1"/>
  <c r="E48" i="19"/>
  <c r="H48" i="19" s="1"/>
  <c r="E56" i="19"/>
  <c r="H56" i="19" s="1"/>
  <c r="E18" i="19"/>
  <c r="E23" i="19"/>
  <c r="E31" i="19"/>
  <c r="E39" i="19"/>
  <c r="E25" i="18"/>
  <c r="E33" i="18"/>
  <c r="E41" i="18"/>
  <c r="E49" i="18"/>
  <c r="E57" i="18"/>
  <c r="D62" i="18"/>
  <c r="F21" i="16"/>
  <c r="H21" i="16"/>
  <c r="F27" i="16"/>
  <c r="H27" i="16"/>
  <c r="F33" i="16"/>
  <c r="H33" i="16"/>
  <c r="F47" i="16"/>
  <c r="H47" i="16"/>
  <c r="F55" i="16"/>
  <c r="H55" i="16"/>
  <c r="G21" i="13"/>
  <c r="F21" i="13"/>
  <c r="G44" i="13"/>
  <c r="F44" i="13"/>
  <c r="G14" i="13"/>
  <c r="D62" i="13"/>
  <c r="F14" i="13"/>
  <c r="F39" i="13"/>
  <c r="H39" i="13"/>
  <c r="F45" i="13"/>
  <c r="F59" i="13"/>
  <c r="H59" i="13"/>
  <c r="E25" i="19"/>
  <c r="E33" i="19"/>
  <c r="E41" i="19"/>
  <c r="E45" i="19"/>
  <c r="E49" i="19"/>
  <c r="E53" i="19"/>
  <c r="E57" i="19"/>
  <c r="E61" i="19"/>
  <c r="E32" i="18"/>
  <c r="E48" i="18"/>
  <c r="F40" i="16"/>
  <c r="E19" i="16"/>
  <c r="H19" i="16" s="1"/>
  <c r="E23" i="16"/>
  <c r="H23" i="16" s="1"/>
  <c r="E35" i="16"/>
  <c r="E37" i="16"/>
  <c r="H37" i="16" s="1"/>
  <c r="E49" i="16"/>
  <c r="H49" i="16" s="1"/>
  <c r="E53" i="16"/>
  <c r="E57" i="16"/>
  <c r="H57" i="16" s="1"/>
  <c r="E29" i="16"/>
  <c r="E41" i="16"/>
  <c r="E43" i="16"/>
  <c r="H43" i="16" s="1"/>
  <c r="E45" i="16"/>
  <c r="H45" i="16" s="1"/>
  <c r="E20" i="16"/>
  <c r="E24" i="16"/>
  <c r="E28" i="16"/>
  <c r="E38" i="16"/>
  <c r="E46" i="16"/>
  <c r="E54" i="16"/>
  <c r="E58" i="16"/>
  <c r="G29" i="13"/>
  <c r="F29" i="13"/>
  <c r="G57" i="13"/>
  <c r="G52" i="13"/>
  <c r="G46" i="13"/>
  <c r="G42" i="13"/>
  <c r="G26" i="13"/>
  <c r="G15" i="13"/>
  <c r="F18" i="13"/>
  <c r="F28" i="13"/>
  <c r="H28" i="13"/>
  <c r="F50" i="13"/>
  <c r="H50" i="13"/>
  <c r="F58" i="13"/>
  <c r="H58" i="13"/>
  <c r="E15" i="13"/>
  <c r="H15" i="13" s="1"/>
  <c r="E19" i="13"/>
  <c r="H19" i="13" s="1"/>
  <c r="E31" i="13"/>
  <c r="E47" i="13"/>
  <c r="E49" i="13"/>
  <c r="H49" i="13" s="1"/>
  <c r="E57" i="13"/>
  <c r="H57" i="13" s="1"/>
  <c r="E23" i="13"/>
  <c r="E25" i="13"/>
  <c r="E35" i="13"/>
  <c r="E37" i="13"/>
  <c r="H37" i="13" s="1"/>
  <c r="E43" i="13"/>
  <c r="E30" i="16"/>
  <c r="H30" i="16" s="1"/>
  <c r="E36" i="16"/>
  <c r="E44" i="16"/>
  <c r="E52" i="16"/>
  <c r="H52" i="16" s="1"/>
  <c r="H13" i="15"/>
  <c r="H19" i="15"/>
  <c r="F19" i="15"/>
  <c r="H27" i="15"/>
  <c r="F27" i="15"/>
  <c r="H35" i="15"/>
  <c r="F35" i="15"/>
  <c r="H12" i="14"/>
  <c r="G12" i="11"/>
  <c r="G20" i="11"/>
  <c r="G28" i="11"/>
  <c r="G36" i="11"/>
  <c r="G44" i="11"/>
  <c r="G52" i="11"/>
  <c r="G60" i="11"/>
  <c r="F60" i="11"/>
  <c r="G59" i="11"/>
  <c r="G55" i="11"/>
  <c r="G51" i="11"/>
  <c r="G47" i="11"/>
  <c r="G43" i="11"/>
  <c r="G39" i="11"/>
  <c r="G35" i="11"/>
  <c r="G31" i="11"/>
  <c r="G27" i="11"/>
  <c r="G23" i="11"/>
  <c r="G19" i="11"/>
  <c r="G15" i="11"/>
  <c r="G11" i="11"/>
  <c r="E24" i="13"/>
  <c r="E30" i="13"/>
  <c r="E34" i="13"/>
  <c r="E42" i="13"/>
  <c r="H42" i="13" s="1"/>
  <c r="E48" i="13"/>
  <c r="E56" i="13"/>
  <c r="E14" i="15"/>
  <c r="E18" i="15"/>
  <c r="E22" i="15"/>
  <c r="E26" i="15"/>
  <c r="E30" i="15"/>
  <c r="E34" i="15"/>
  <c r="E38" i="15"/>
  <c r="E44" i="15"/>
  <c r="E52" i="15"/>
  <c r="E60" i="15"/>
  <c r="E12" i="12"/>
  <c r="H12" i="12" s="1"/>
  <c r="E16" i="12"/>
  <c r="H16" i="12" s="1"/>
  <c r="E20" i="12"/>
  <c r="H20" i="12" s="1"/>
  <c r="E24" i="12"/>
  <c r="H24" i="12" s="1"/>
  <c r="E28" i="12"/>
  <c r="H28" i="12" s="1"/>
  <c r="E32" i="12"/>
  <c r="H32" i="12" s="1"/>
  <c r="E36" i="12"/>
  <c r="H36" i="12" s="1"/>
  <c r="E40" i="12"/>
  <c r="H40" i="12" s="1"/>
  <c r="E44" i="12"/>
  <c r="H44" i="12" s="1"/>
  <c r="E48" i="12"/>
  <c r="H48" i="12" s="1"/>
  <c r="E52" i="12"/>
  <c r="H52" i="12" s="1"/>
  <c r="E56" i="12"/>
  <c r="H56" i="12" s="1"/>
  <c r="E13" i="11"/>
  <c r="H13" i="11" s="1"/>
  <c r="E17" i="11"/>
  <c r="H17" i="11" s="1"/>
  <c r="E21" i="11"/>
  <c r="H21" i="11" s="1"/>
  <c r="E25" i="11"/>
  <c r="H25" i="11" s="1"/>
  <c r="E29" i="11"/>
  <c r="H29" i="11" s="1"/>
  <c r="E33" i="11"/>
  <c r="H33" i="11" s="1"/>
  <c r="E37" i="11"/>
  <c r="H37" i="11" s="1"/>
  <c r="E41" i="11"/>
  <c r="H41" i="11" s="1"/>
  <c r="E45" i="11"/>
  <c r="H45" i="11" s="1"/>
  <c r="E49" i="11"/>
  <c r="H49" i="11" s="1"/>
  <c r="E53" i="11"/>
  <c r="H53" i="11" s="1"/>
  <c r="E57" i="11"/>
  <c r="H57" i="11" s="1"/>
  <c r="E61" i="11"/>
  <c r="H61" i="11" s="1"/>
  <c r="E15" i="14"/>
  <c r="H15" i="14" s="1"/>
  <c r="E19" i="14"/>
  <c r="H19" i="14" s="1"/>
  <c r="E23" i="14"/>
  <c r="H23" i="14" s="1"/>
  <c r="E27" i="14"/>
  <c r="H27" i="14" s="1"/>
  <c r="E31" i="14"/>
  <c r="H31" i="14" s="1"/>
  <c r="E35" i="14"/>
  <c r="H35" i="14" s="1"/>
  <c r="E39" i="14"/>
  <c r="H39" i="14" s="1"/>
  <c r="E43" i="14"/>
  <c r="H43" i="14" s="1"/>
  <c r="E47" i="14"/>
  <c r="H47" i="14" s="1"/>
  <c r="E51" i="14"/>
  <c r="H51" i="14" s="1"/>
  <c r="E55" i="14"/>
  <c r="H55" i="14" s="1"/>
  <c r="G11" i="10"/>
  <c r="G19" i="10"/>
  <c r="G12" i="9"/>
  <c r="G16" i="9"/>
  <c r="G20" i="9"/>
  <c r="G24" i="9"/>
  <c r="G28" i="9"/>
  <c r="G32" i="9"/>
  <c r="G36" i="9"/>
  <c r="G40" i="9"/>
  <c r="G44" i="9"/>
  <c r="G48" i="9"/>
  <c r="G52" i="9"/>
  <c r="G56" i="9"/>
  <c r="G60" i="9"/>
  <c r="F60" i="9"/>
  <c r="H7" i="8"/>
  <c r="G13" i="8"/>
  <c r="G17" i="8"/>
  <c r="G21" i="8"/>
  <c r="G25" i="8"/>
  <c r="G29" i="8"/>
  <c r="G33" i="8"/>
  <c r="G37" i="8"/>
  <c r="G41" i="8"/>
  <c r="G45" i="8"/>
  <c r="G49" i="8"/>
  <c r="G53" i="8"/>
  <c r="G57" i="8"/>
  <c r="G61" i="8"/>
  <c r="H6" i="7"/>
  <c r="G12" i="7"/>
  <c r="G16" i="7"/>
  <c r="G20" i="7"/>
  <c r="G24" i="7"/>
  <c r="G28" i="7"/>
  <c r="G32" i="7"/>
  <c r="G36" i="7"/>
  <c r="G40" i="7"/>
  <c r="G44" i="7"/>
  <c r="G48" i="7"/>
  <c r="G52" i="7"/>
  <c r="G56" i="7"/>
  <c r="G60" i="7"/>
  <c r="G9" i="6"/>
  <c r="G13" i="6"/>
  <c r="G17" i="6"/>
  <c r="G21" i="6"/>
  <c r="G25" i="6"/>
  <c r="G29" i="6"/>
  <c r="G33" i="6"/>
  <c r="G37" i="6"/>
  <c r="G41" i="6"/>
  <c r="G45" i="6"/>
  <c r="G49" i="6"/>
  <c r="G53" i="6"/>
  <c r="G57" i="6"/>
  <c r="G61" i="6"/>
  <c r="E46" i="15"/>
  <c r="E12" i="11"/>
  <c r="H12" i="11" s="1"/>
  <c r="E20" i="11"/>
  <c r="H20" i="11" s="1"/>
  <c r="E28" i="11"/>
  <c r="H28" i="11" s="1"/>
  <c r="E36" i="11"/>
  <c r="H36" i="11" s="1"/>
  <c r="E44" i="11"/>
  <c r="H44" i="11" s="1"/>
  <c r="E52" i="11"/>
  <c r="H52" i="11" s="1"/>
  <c r="G13" i="10"/>
  <c r="G21" i="10"/>
  <c r="G29" i="10"/>
  <c r="G37" i="10"/>
  <c r="G45" i="10"/>
  <c r="G50" i="10"/>
  <c r="G54" i="10"/>
  <c r="G58" i="10"/>
  <c r="D62" i="10"/>
  <c r="G9" i="10"/>
  <c r="G44" i="10"/>
  <c r="G40" i="10"/>
  <c r="G36" i="10"/>
  <c r="G32" i="10"/>
  <c r="G28" i="10"/>
  <c r="G24" i="10"/>
  <c r="G20" i="10"/>
  <c r="G16" i="10"/>
  <c r="G12" i="10"/>
  <c r="E11" i="10"/>
  <c r="H11" i="10" s="1"/>
  <c r="E15" i="10"/>
  <c r="H15" i="10" s="1"/>
  <c r="E19" i="10"/>
  <c r="H19" i="10" s="1"/>
  <c r="E23" i="10"/>
  <c r="H23" i="10" s="1"/>
  <c r="E27" i="10"/>
  <c r="E31" i="10"/>
  <c r="E35" i="10"/>
  <c r="E39" i="10"/>
  <c r="E43" i="10"/>
  <c r="E47" i="10"/>
  <c r="E51" i="10"/>
  <c r="E55" i="10"/>
  <c r="E59" i="10"/>
  <c r="G11" i="9"/>
  <c r="G15" i="9"/>
  <c r="G19" i="9"/>
  <c r="G23" i="9"/>
  <c r="G27" i="9"/>
  <c r="G31" i="9"/>
  <c r="G35" i="9"/>
  <c r="G39" i="9"/>
  <c r="G43" i="9"/>
  <c r="G47" i="9"/>
  <c r="G51" i="9"/>
  <c r="G55" i="9"/>
  <c r="G59" i="9"/>
  <c r="G8" i="8"/>
  <c r="G12" i="8"/>
  <c r="G16" i="8"/>
  <c r="G20" i="8"/>
  <c r="G24" i="8"/>
  <c r="G28" i="8"/>
  <c r="G32" i="8"/>
  <c r="G36" i="8"/>
  <c r="G40" i="8"/>
  <c r="G44" i="8"/>
  <c r="G48" i="8"/>
  <c r="G52" i="8"/>
  <c r="G56" i="8"/>
  <c r="G60" i="8"/>
  <c r="G9" i="7"/>
  <c r="G13" i="7"/>
  <c r="G17" i="7"/>
  <c r="G21" i="7"/>
  <c r="G25" i="7"/>
  <c r="G29" i="7"/>
  <c r="G33" i="7"/>
  <c r="G37" i="7"/>
  <c r="G41" i="7"/>
  <c r="G45" i="7"/>
  <c r="G49" i="7"/>
  <c r="G53" i="7"/>
  <c r="G57" i="7"/>
  <c r="G61" i="7"/>
  <c r="G6" i="6"/>
  <c r="G10" i="6"/>
  <c r="G14" i="6"/>
  <c r="G18" i="6"/>
  <c r="G22" i="6"/>
  <c r="G26" i="6"/>
  <c r="G30" i="6"/>
  <c r="G34" i="6"/>
  <c r="G38" i="6"/>
  <c r="G42" i="6"/>
  <c r="G46" i="6"/>
  <c r="G50" i="6"/>
  <c r="G54" i="6"/>
  <c r="G58" i="6"/>
  <c r="D62" i="6"/>
  <c r="G5" i="6"/>
  <c r="F5" i="6"/>
  <c r="E10" i="10"/>
  <c r="H10" i="10" s="1"/>
  <c r="E14" i="10"/>
  <c r="H14" i="10" s="1"/>
  <c r="E18" i="10"/>
  <c r="H18" i="10" s="1"/>
  <c r="E22" i="10"/>
  <c r="H22" i="10" s="1"/>
  <c r="E26" i="10"/>
  <c r="H26" i="10" s="1"/>
  <c r="E30" i="10"/>
  <c r="H30" i="10" s="1"/>
  <c r="E34" i="10"/>
  <c r="H34" i="10" s="1"/>
  <c r="E38" i="10"/>
  <c r="H38" i="10" s="1"/>
  <c r="E42" i="10"/>
  <c r="H42" i="10" s="1"/>
  <c r="E46" i="10"/>
  <c r="H46" i="10" s="1"/>
  <c r="E50" i="10"/>
  <c r="H50" i="10" s="1"/>
  <c r="E54" i="10"/>
  <c r="H54" i="10" s="1"/>
  <c r="E58" i="10"/>
  <c r="H58" i="10" s="1"/>
  <c r="E9" i="10"/>
  <c r="E11" i="9"/>
  <c r="H11" i="9" s="1"/>
  <c r="E15" i="9"/>
  <c r="H15" i="9" s="1"/>
  <c r="E19" i="9"/>
  <c r="H19" i="9" s="1"/>
  <c r="E23" i="9"/>
  <c r="H23" i="9" s="1"/>
  <c r="E27" i="9"/>
  <c r="H27" i="9" s="1"/>
  <c r="E31" i="9"/>
  <c r="H31" i="9" s="1"/>
  <c r="E35" i="9"/>
  <c r="H35" i="9" s="1"/>
  <c r="E39" i="9"/>
  <c r="H39" i="9" s="1"/>
  <c r="E43" i="9"/>
  <c r="H43" i="9" s="1"/>
  <c r="E47" i="9"/>
  <c r="H47" i="9" s="1"/>
  <c r="E51" i="9"/>
  <c r="H51" i="9" s="1"/>
  <c r="E55" i="9"/>
  <c r="H55" i="9" s="1"/>
  <c r="E59" i="9"/>
  <c r="H59" i="9" s="1"/>
  <c r="E9" i="8"/>
  <c r="E13" i="8"/>
  <c r="H13" i="8" s="1"/>
  <c r="E17" i="8"/>
  <c r="H17" i="8" s="1"/>
  <c r="E21" i="8"/>
  <c r="H21" i="8" s="1"/>
  <c r="E25" i="8"/>
  <c r="H25" i="8" s="1"/>
  <c r="E29" i="8"/>
  <c r="H29" i="8" s="1"/>
  <c r="E33" i="8"/>
  <c r="H33" i="8" s="1"/>
  <c r="E37" i="8"/>
  <c r="H37" i="8" s="1"/>
  <c r="E41" i="8"/>
  <c r="H41" i="8" s="1"/>
  <c r="E45" i="8"/>
  <c r="H45" i="8" s="1"/>
  <c r="E49" i="8"/>
  <c r="H49" i="8" s="1"/>
  <c r="E53" i="8"/>
  <c r="H53" i="8" s="1"/>
  <c r="E57" i="8"/>
  <c r="H57" i="8" s="1"/>
  <c r="E61" i="8"/>
  <c r="H61" i="8" s="1"/>
  <c r="E10" i="7"/>
  <c r="H10" i="7" s="1"/>
  <c r="E14" i="7"/>
  <c r="H14" i="7" s="1"/>
  <c r="E18" i="7"/>
  <c r="H18" i="7" s="1"/>
  <c r="E22" i="7"/>
  <c r="H22" i="7" s="1"/>
  <c r="E26" i="7"/>
  <c r="H26" i="7" s="1"/>
  <c r="E30" i="7"/>
  <c r="H30" i="7" s="1"/>
  <c r="E34" i="7"/>
  <c r="H34" i="7" s="1"/>
  <c r="E38" i="7"/>
  <c r="H38" i="7" s="1"/>
  <c r="E42" i="7"/>
  <c r="H42" i="7" s="1"/>
  <c r="E46" i="7"/>
  <c r="H46" i="7" s="1"/>
  <c r="E50" i="7"/>
  <c r="H50" i="7" s="1"/>
  <c r="E54" i="7"/>
  <c r="H54" i="7" s="1"/>
  <c r="E60" i="7"/>
  <c r="H60" i="7" s="1"/>
  <c r="E22" i="6"/>
  <c r="H22" i="6" s="1"/>
  <c r="E32" i="6"/>
  <c r="H32" i="6" s="1"/>
  <c r="E40" i="6"/>
  <c r="H40" i="6" s="1"/>
  <c r="E48" i="6"/>
  <c r="H48" i="6" s="1"/>
  <c r="E56" i="6"/>
  <c r="H56" i="6" s="1"/>
  <c r="E10" i="9"/>
  <c r="E14" i="9"/>
  <c r="H14" i="9" s="1"/>
  <c r="E18" i="9"/>
  <c r="H18" i="9" s="1"/>
  <c r="E22" i="9"/>
  <c r="H22" i="9" s="1"/>
  <c r="E26" i="9"/>
  <c r="H26" i="9" s="1"/>
  <c r="E30" i="9"/>
  <c r="H30" i="9" s="1"/>
  <c r="E34" i="9"/>
  <c r="H34" i="9" s="1"/>
  <c r="E38" i="9"/>
  <c r="H38" i="9" s="1"/>
  <c r="E42" i="9"/>
  <c r="H42" i="9" s="1"/>
  <c r="E46" i="9"/>
  <c r="H46" i="9" s="1"/>
  <c r="E50" i="9"/>
  <c r="H50" i="9" s="1"/>
  <c r="E54" i="9"/>
  <c r="H54" i="9" s="1"/>
  <c r="E58" i="9"/>
  <c r="H58" i="9" s="1"/>
  <c r="E8" i="8"/>
  <c r="H8" i="8" s="1"/>
  <c r="E12" i="8"/>
  <c r="H12" i="8" s="1"/>
  <c r="E16" i="8"/>
  <c r="H16" i="8" s="1"/>
  <c r="E20" i="8"/>
  <c r="H20" i="8" s="1"/>
  <c r="E24" i="8"/>
  <c r="H24" i="8" s="1"/>
  <c r="E28" i="8"/>
  <c r="H28" i="8" s="1"/>
  <c r="E32" i="8"/>
  <c r="H32" i="8" s="1"/>
  <c r="E36" i="8"/>
  <c r="H36" i="8" s="1"/>
  <c r="E40" i="8"/>
  <c r="H40" i="8" s="1"/>
  <c r="E44" i="8"/>
  <c r="H44" i="8" s="1"/>
  <c r="E48" i="8"/>
  <c r="H48" i="8" s="1"/>
  <c r="E52" i="8"/>
  <c r="H52" i="8" s="1"/>
  <c r="E56" i="8"/>
  <c r="H56" i="8" s="1"/>
  <c r="E60" i="8"/>
  <c r="H60" i="8" s="1"/>
  <c r="E9" i="7"/>
  <c r="H9" i="7" s="1"/>
  <c r="E13" i="7"/>
  <c r="H13" i="7" s="1"/>
  <c r="E17" i="7"/>
  <c r="H17" i="7" s="1"/>
  <c r="E21" i="7"/>
  <c r="H21" i="7" s="1"/>
  <c r="E25" i="7"/>
  <c r="H25" i="7" s="1"/>
  <c r="E29" i="7"/>
  <c r="H29" i="7" s="1"/>
  <c r="E33" i="7"/>
  <c r="H33" i="7" s="1"/>
  <c r="E37" i="7"/>
  <c r="H37" i="7" s="1"/>
  <c r="E41" i="7"/>
  <c r="H41" i="7" s="1"/>
  <c r="E45" i="7"/>
  <c r="H45" i="7" s="1"/>
  <c r="E49" i="7"/>
  <c r="H49" i="7" s="1"/>
  <c r="E53" i="7"/>
  <c r="H53" i="7" s="1"/>
  <c r="E57" i="7"/>
  <c r="H57" i="7" s="1"/>
  <c r="E61" i="7"/>
  <c r="H61" i="7" s="1"/>
  <c r="E9" i="6"/>
  <c r="H9" i="6" s="1"/>
  <c r="E13" i="6"/>
  <c r="H13" i="6" s="1"/>
  <c r="E17" i="6"/>
  <c r="H17" i="6" s="1"/>
  <c r="E21" i="6"/>
  <c r="H21" i="6" s="1"/>
  <c r="E25" i="6"/>
  <c r="H25" i="6" s="1"/>
  <c r="E29" i="6"/>
  <c r="H29" i="6" s="1"/>
  <c r="E33" i="6"/>
  <c r="H33" i="6" s="1"/>
  <c r="E37" i="6"/>
  <c r="H37" i="6" s="1"/>
  <c r="E41" i="6"/>
  <c r="H41" i="6" s="1"/>
  <c r="E45" i="6"/>
  <c r="H45" i="6" s="1"/>
  <c r="E49" i="6"/>
  <c r="H49" i="6" s="1"/>
  <c r="E53" i="6"/>
  <c r="H53" i="6" s="1"/>
  <c r="E57" i="6"/>
  <c r="H57" i="6" s="1"/>
  <c r="E61" i="6"/>
  <c r="H61" i="6" s="1"/>
  <c r="E6" i="6"/>
  <c r="H6" i="6" s="1"/>
  <c r="E10" i="6"/>
  <c r="H10" i="6" s="1"/>
  <c r="E16" i="6"/>
  <c r="H16" i="6" s="1"/>
  <c r="E20" i="6"/>
  <c r="H20" i="6" s="1"/>
  <c r="E26" i="6"/>
  <c r="H26" i="6" s="1"/>
  <c r="E34" i="6"/>
  <c r="H34" i="6" s="1"/>
  <c r="E42" i="6"/>
  <c r="H42" i="6" s="1"/>
  <c r="E50" i="6"/>
  <c r="H50" i="6" s="1"/>
  <c r="E58" i="6"/>
  <c r="H58" i="6" s="1"/>
  <c r="F46" i="54"/>
  <c r="G62" i="56"/>
  <c r="D35" i="85"/>
  <c r="E34" i="70"/>
  <c r="C35" i="85"/>
  <c r="E18" i="70"/>
  <c r="B35" i="85"/>
  <c r="E10" i="70"/>
  <c r="G23" i="18"/>
  <c r="G62" i="18" s="1"/>
  <c r="F23" i="18"/>
  <c r="G27" i="18"/>
  <c r="F27" i="18"/>
  <c r="G31" i="18"/>
  <c r="F31" i="18"/>
  <c r="G35" i="18"/>
  <c r="F35" i="18"/>
  <c r="G39" i="18"/>
  <c r="F39" i="18"/>
  <c r="G43" i="18"/>
  <c r="F43" i="18"/>
  <c r="G47" i="18"/>
  <c r="F47" i="18"/>
  <c r="G51" i="18"/>
  <c r="F51" i="18"/>
  <c r="G55" i="18"/>
  <c r="F55" i="18"/>
  <c r="G59" i="18"/>
  <c r="F59" i="18"/>
  <c r="D62" i="44"/>
  <c r="D62" i="43"/>
  <c r="D62" i="22"/>
  <c r="D62" i="21"/>
  <c r="E20" i="21"/>
  <c r="F22" i="19"/>
  <c r="F38" i="19"/>
  <c r="H26" i="19"/>
  <c r="F26" i="19"/>
  <c r="H34" i="19"/>
  <c r="F34" i="19"/>
  <c r="H42" i="19"/>
  <c r="F42" i="19"/>
  <c r="H50" i="19"/>
  <c r="F50" i="19"/>
  <c r="H58" i="19"/>
  <c r="F58" i="19"/>
  <c r="D62" i="19"/>
  <c r="E17" i="18"/>
  <c r="E18" i="18"/>
  <c r="E26" i="18"/>
  <c r="E34" i="18"/>
  <c r="E42" i="18"/>
  <c r="E50" i="18"/>
  <c r="E58" i="18"/>
  <c r="F19" i="16"/>
  <c r="G19" i="16"/>
  <c r="G43" i="16"/>
  <c r="F43" i="16"/>
  <c r="F45" i="16"/>
  <c r="G45" i="16"/>
  <c r="F49" i="16"/>
  <c r="G49" i="16"/>
  <c r="D62" i="16"/>
  <c r="F15" i="16"/>
  <c r="G15" i="16"/>
  <c r="G62" i="16" s="1"/>
  <c r="F13" i="15"/>
  <c r="D62" i="15"/>
  <c r="G13" i="15"/>
  <c r="G62" i="15" s="1"/>
  <c r="F15" i="14"/>
  <c r="G15" i="14"/>
  <c r="G17" i="14"/>
  <c r="F19" i="14"/>
  <c r="G19" i="14"/>
  <c r="G21" i="14"/>
  <c r="F23" i="14"/>
  <c r="G23" i="14"/>
  <c r="G25" i="14"/>
  <c r="F27" i="14"/>
  <c r="G27" i="14"/>
  <c r="G29" i="14"/>
  <c r="F31" i="14"/>
  <c r="G31" i="14"/>
  <c r="G33" i="14"/>
  <c r="F35" i="14"/>
  <c r="G35" i="14"/>
  <c r="G37" i="14"/>
  <c r="F39" i="14"/>
  <c r="G39" i="14"/>
  <c r="G41" i="14"/>
  <c r="F43" i="14"/>
  <c r="G43" i="14"/>
  <c r="G45" i="14"/>
  <c r="F47" i="14"/>
  <c r="G47" i="14"/>
  <c r="G49" i="14"/>
  <c r="F51" i="14"/>
  <c r="G51" i="14"/>
  <c r="G53" i="14"/>
  <c r="F55" i="14"/>
  <c r="G55" i="14"/>
  <c r="G57" i="14"/>
  <c r="F59" i="14"/>
  <c r="G59" i="14"/>
  <c r="G61" i="14"/>
  <c r="G12" i="12"/>
  <c r="F12" i="12"/>
  <c r="G16" i="12"/>
  <c r="F16" i="12"/>
  <c r="G20" i="12"/>
  <c r="F20" i="12"/>
  <c r="G24" i="12"/>
  <c r="F24" i="12"/>
  <c r="G28" i="12"/>
  <c r="F28" i="12"/>
  <c r="G32" i="12"/>
  <c r="F32" i="12"/>
  <c r="G36" i="12"/>
  <c r="F36" i="12"/>
  <c r="G40" i="12"/>
  <c r="F40" i="12"/>
  <c r="G44" i="12"/>
  <c r="F44" i="12"/>
  <c r="G48" i="12"/>
  <c r="F48" i="12"/>
  <c r="G52" i="12"/>
  <c r="F52" i="12"/>
  <c r="G56" i="12"/>
  <c r="F56" i="12"/>
  <c r="G60" i="12"/>
  <c r="F60" i="12"/>
  <c r="G62" i="49"/>
  <c r="D62" i="47"/>
  <c r="D62" i="42"/>
  <c r="D62" i="25"/>
  <c r="E35" i="19"/>
  <c r="E21" i="18"/>
  <c r="E29" i="18"/>
  <c r="E37" i="18"/>
  <c r="E45" i="18"/>
  <c r="E53" i="18"/>
  <c r="E61" i="18"/>
  <c r="E16" i="17"/>
  <c r="E17" i="17"/>
  <c r="H15" i="16"/>
  <c r="F17" i="16"/>
  <c r="H17" i="16"/>
  <c r="F25" i="16"/>
  <c r="H25" i="16"/>
  <c r="F31" i="16"/>
  <c r="H31" i="16"/>
  <c r="F39" i="16"/>
  <c r="H39" i="16"/>
  <c r="F59" i="16"/>
  <c r="H59" i="16"/>
  <c r="G33" i="13"/>
  <c r="F33" i="13"/>
  <c r="G51" i="13"/>
  <c r="F51" i="13"/>
  <c r="F17" i="13"/>
  <c r="H17" i="13"/>
  <c r="F27" i="13"/>
  <c r="H27" i="13"/>
  <c r="F61" i="13"/>
  <c r="H61" i="13"/>
  <c r="E21" i="19"/>
  <c r="E29" i="19"/>
  <c r="E37" i="19"/>
  <c r="E43" i="19"/>
  <c r="E47" i="19"/>
  <c r="E51" i="19"/>
  <c r="E55" i="19"/>
  <c r="E59" i="19"/>
  <c r="E24" i="18"/>
  <c r="E40" i="18"/>
  <c r="E56" i="18"/>
  <c r="F61" i="16"/>
  <c r="F26" i="16"/>
  <c r="H26" i="16"/>
  <c r="F32" i="16"/>
  <c r="H32" i="16"/>
  <c r="F50" i="16"/>
  <c r="H50" i="16"/>
  <c r="F56" i="16"/>
  <c r="H56" i="16"/>
  <c r="E60" i="16"/>
  <c r="G40" i="13"/>
  <c r="F40" i="13"/>
  <c r="G53" i="13"/>
  <c r="F53" i="13"/>
  <c r="G55" i="13"/>
  <c r="F55" i="13"/>
  <c r="F49" i="13"/>
  <c r="G49" i="13"/>
  <c r="F37" i="13"/>
  <c r="G37" i="13"/>
  <c r="G32" i="13"/>
  <c r="F19" i="13"/>
  <c r="G19" i="13"/>
  <c r="F16" i="13"/>
  <c r="H16" i="13"/>
  <c r="F20" i="13"/>
  <c r="H20" i="13"/>
  <c r="F38" i="13"/>
  <c r="H38" i="13"/>
  <c r="F54" i="13"/>
  <c r="H54" i="13"/>
  <c r="F60" i="13"/>
  <c r="H60" i="13"/>
  <c r="H14" i="13"/>
  <c r="E16" i="16"/>
  <c r="E62" i="16" s="1"/>
  <c r="E34" i="16"/>
  <c r="E42" i="16"/>
  <c r="E48" i="16"/>
  <c r="H47" i="15"/>
  <c r="F47" i="15"/>
  <c r="H55" i="15"/>
  <c r="F55" i="15"/>
  <c r="G16" i="11"/>
  <c r="G24" i="11"/>
  <c r="G32" i="11"/>
  <c r="G40" i="11"/>
  <c r="G48" i="11"/>
  <c r="G56" i="11"/>
  <c r="G61" i="11"/>
  <c r="F61" i="11"/>
  <c r="G57" i="11"/>
  <c r="F57" i="11"/>
  <c r="G53" i="11"/>
  <c r="F53" i="11"/>
  <c r="G49" i="11"/>
  <c r="F49" i="11"/>
  <c r="G45" i="11"/>
  <c r="F45" i="11"/>
  <c r="G41" i="11"/>
  <c r="F41" i="11"/>
  <c r="G37" i="11"/>
  <c r="F37" i="11"/>
  <c r="G33" i="11"/>
  <c r="F33" i="11"/>
  <c r="G29" i="11"/>
  <c r="F29" i="11"/>
  <c r="G25" i="11"/>
  <c r="F25" i="11"/>
  <c r="G21" i="11"/>
  <c r="F21" i="11"/>
  <c r="G17" i="11"/>
  <c r="F17" i="11"/>
  <c r="G13" i="11"/>
  <c r="F13" i="11"/>
  <c r="E14" i="11"/>
  <c r="E18" i="11"/>
  <c r="E22" i="11"/>
  <c r="E26" i="11"/>
  <c r="E30" i="11"/>
  <c r="E34" i="11"/>
  <c r="E38" i="11"/>
  <c r="E42" i="11"/>
  <c r="E46" i="11"/>
  <c r="E50" i="11"/>
  <c r="E54" i="11"/>
  <c r="E58" i="11"/>
  <c r="E10" i="11"/>
  <c r="E22" i="13"/>
  <c r="E26" i="13"/>
  <c r="H26" i="13" s="1"/>
  <c r="E32" i="13"/>
  <c r="H32" i="13" s="1"/>
  <c r="E36" i="13"/>
  <c r="E46" i="13"/>
  <c r="H46" i="13" s="1"/>
  <c r="E52" i="13"/>
  <c r="H52" i="13" s="1"/>
  <c r="F39" i="15"/>
  <c r="E21" i="15"/>
  <c r="H21" i="15" s="1"/>
  <c r="E29" i="15"/>
  <c r="H29" i="15" s="1"/>
  <c r="E37" i="15"/>
  <c r="H37" i="15" s="1"/>
  <c r="E17" i="15"/>
  <c r="H17" i="15" s="1"/>
  <c r="E25" i="15"/>
  <c r="H25" i="15" s="1"/>
  <c r="E33" i="15"/>
  <c r="H33" i="15" s="1"/>
  <c r="E41" i="15"/>
  <c r="H41" i="15" s="1"/>
  <c r="E49" i="15"/>
  <c r="H49" i="15" s="1"/>
  <c r="E57" i="15"/>
  <c r="H57" i="15" s="1"/>
  <c r="E45" i="15"/>
  <c r="H45" i="15" s="1"/>
  <c r="E53" i="15"/>
  <c r="H53" i="15" s="1"/>
  <c r="E61" i="15"/>
  <c r="H61" i="15" s="1"/>
  <c r="E16" i="15"/>
  <c r="E20" i="15"/>
  <c r="E24" i="15"/>
  <c r="E28" i="15"/>
  <c r="E32" i="15"/>
  <c r="E36" i="15"/>
  <c r="E40" i="15"/>
  <c r="E48" i="15"/>
  <c r="E56" i="15"/>
  <c r="E14" i="14"/>
  <c r="H14" i="14" s="1"/>
  <c r="E16" i="14"/>
  <c r="H16" i="14" s="1"/>
  <c r="E18" i="14"/>
  <c r="H18" i="14" s="1"/>
  <c r="E20" i="14"/>
  <c r="H20" i="14" s="1"/>
  <c r="E22" i="14"/>
  <c r="H22" i="14" s="1"/>
  <c r="E24" i="14"/>
  <c r="H24" i="14" s="1"/>
  <c r="E26" i="14"/>
  <c r="H26" i="14" s="1"/>
  <c r="E28" i="14"/>
  <c r="H28" i="14" s="1"/>
  <c r="E30" i="14"/>
  <c r="H30" i="14" s="1"/>
  <c r="E32" i="14"/>
  <c r="H32" i="14" s="1"/>
  <c r="E34" i="14"/>
  <c r="H34" i="14" s="1"/>
  <c r="E36" i="14"/>
  <c r="H36" i="14" s="1"/>
  <c r="E38" i="14"/>
  <c r="H38" i="14" s="1"/>
  <c r="E40" i="14"/>
  <c r="H40" i="14" s="1"/>
  <c r="E42" i="14"/>
  <c r="H42" i="14" s="1"/>
  <c r="E44" i="14"/>
  <c r="H44" i="14" s="1"/>
  <c r="E46" i="14"/>
  <c r="H46" i="14" s="1"/>
  <c r="E48" i="14"/>
  <c r="H48" i="14" s="1"/>
  <c r="E50" i="14"/>
  <c r="H50" i="14" s="1"/>
  <c r="E52" i="14"/>
  <c r="H52" i="14" s="1"/>
  <c r="E54" i="14"/>
  <c r="H54" i="14" s="1"/>
  <c r="E56" i="14"/>
  <c r="H56" i="14" s="1"/>
  <c r="E58" i="14"/>
  <c r="H58" i="14" s="1"/>
  <c r="E60" i="14"/>
  <c r="H60" i="14" s="1"/>
  <c r="E15" i="12"/>
  <c r="E19" i="12"/>
  <c r="E23" i="12"/>
  <c r="E27" i="12"/>
  <c r="E31" i="12"/>
  <c r="E35" i="12"/>
  <c r="E39" i="12"/>
  <c r="E43" i="12"/>
  <c r="E47" i="12"/>
  <c r="E51" i="12"/>
  <c r="E55" i="12"/>
  <c r="E59" i="12"/>
  <c r="E13" i="12"/>
  <c r="E17" i="12"/>
  <c r="E21" i="12"/>
  <c r="E25" i="12"/>
  <c r="E29" i="12"/>
  <c r="E33" i="12"/>
  <c r="E37" i="12"/>
  <c r="E41" i="12"/>
  <c r="E45" i="12"/>
  <c r="E49" i="12"/>
  <c r="E53" i="12"/>
  <c r="E57" i="12"/>
  <c r="E61" i="12"/>
  <c r="E14" i="12"/>
  <c r="H14" i="12" s="1"/>
  <c r="E18" i="12"/>
  <c r="H18" i="12" s="1"/>
  <c r="E22" i="12"/>
  <c r="H22" i="12" s="1"/>
  <c r="E26" i="12"/>
  <c r="H26" i="12" s="1"/>
  <c r="E30" i="12"/>
  <c r="H30" i="12" s="1"/>
  <c r="E34" i="12"/>
  <c r="H34" i="12" s="1"/>
  <c r="E38" i="12"/>
  <c r="H38" i="12" s="1"/>
  <c r="E42" i="12"/>
  <c r="H42" i="12" s="1"/>
  <c r="E46" i="12"/>
  <c r="H46" i="12" s="1"/>
  <c r="E50" i="12"/>
  <c r="H50" i="12" s="1"/>
  <c r="E54" i="12"/>
  <c r="H54" i="12" s="1"/>
  <c r="E58" i="12"/>
  <c r="H58" i="12" s="1"/>
  <c r="E11" i="12"/>
  <c r="G62" i="11"/>
  <c r="E11" i="11"/>
  <c r="H11" i="11" s="1"/>
  <c r="E15" i="11"/>
  <c r="H15" i="11" s="1"/>
  <c r="E19" i="11"/>
  <c r="H19" i="11" s="1"/>
  <c r="E23" i="11"/>
  <c r="H23" i="11" s="1"/>
  <c r="E27" i="11"/>
  <c r="H27" i="11" s="1"/>
  <c r="E31" i="11"/>
  <c r="H31" i="11" s="1"/>
  <c r="E35" i="11"/>
  <c r="H35" i="11" s="1"/>
  <c r="E39" i="11"/>
  <c r="H39" i="11" s="1"/>
  <c r="E43" i="11"/>
  <c r="H43" i="11" s="1"/>
  <c r="E47" i="11"/>
  <c r="H47" i="11" s="1"/>
  <c r="E51" i="11"/>
  <c r="H51" i="11" s="1"/>
  <c r="E55" i="11"/>
  <c r="H55" i="11" s="1"/>
  <c r="E59" i="11"/>
  <c r="H59" i="11" s="1"/>
  <c r="E13" i="14"/>
  <c r="E17" i="14"/>
  <c r="H17" i="14" s="1"/>
  <c r="E21" i="14"/>
  <c r="H21" i="14" s="1"/>
  <c r="E25" i="14"/>
  <c r="H25" i="14" s="1"/>
  <c r="E29" i="14"/>
  <c r="H29" i="14" s="1"/>
  <c r="E33" i="14"/>
  <c r="H33" i="14" s="1"/>
  <c r="E37" i="14"/>
  <c r="H37" i="14" s="1"/>
  <c r="E41" i="14"/>
  <c r="H41" i="14" s="1"/>
  <c r="E45" i="14"/>
  <c r="H45" i="14" s="1"/>
  <c r="E49" i="14"/>
  <c r="H49" i="14" s="1"/>
  <c r="E53" i="14"/>
  <c r="H53" i="14" s="1"/>
  <c r="E57" i="14"/>
  <c r="H57" i="14" s="1"/>
  <c r="E61" i="14"/>
  <c r="H61" i="14" s="1"/>
  <c r="D62" i="11"/>
  <c r="G15" i="10"/>
  <c r="F15" i="10"/>
  <c r="G23" i="10"/>
  <c r="F23" i="10"/>
  <c r="H8" i="9"/>
  <c r="G14" i="9"/>
  <c r="F14" i="9"/>
  <c r="G18" i="9"/>
  <c r="F18" i="9"/>
  <c r="G22" i="9"/>
  <c r="F22" i="9"/>
  <c r="G26" i="9"/>
  <c r="F26" i="9"/>
  <c r="G30" i="9"/>
  <c r="F30" i="9"/>
  <c r="G34" i="9"/>
  <c r="F34" i="9"/>
  <c r="G38" i="9"/>
  <c r="F38" i="9"/>
  <c r="G42" i="9"/>
  <c r="F42" i="9"/>
  <c r="G46" i="9"/>
  <c r="F46" i="9"/>
  <c r="G50" i="9"/>
  <c r="F50" i="9"/>
  <c r="G54" i="9"/>
  <c r="F54" i="9"/>
  <c r="G58" i="9"/>
  <c r="F58" i="9"/>
  <c r="D62" i="9"/>
  <c r="G8" i="9"/>
  <c r="F8" i="9"/>
  <c r="G11" i="8"/>
  <c r="G15" i="8"/>
  <c r="G19" i="8"/>
  <c r="G23" i="8"/>
  <c r="G27" i="8"/>
  <c r="G31" i="8"/>
  <c r="G35" i="8"/>
  <c r="G39" i="8"/>
  <c r="G43" i="8"/>
  <c r="G47" i="8"/>
  <c r="G51" i="8"/>
  <c r="G55" i="8"/>
  <c r="G59" i="8"/>
  <c r="G10" i="7"/>
  <c r="F10" i="7"/>
  <c r="G14" i="7"/>
  <c r="F14" i="7"/>
  <c r="G18" i="7"/>
  <c r="F18" i="7"/>
  <c r="G22" i="7"/>
  <c r="F22" i="7"/>
  <c r="G26" i="7"/>
  <c r="F26" i="7"/>
  <c r="G30" i="7"/>
  <c r="F30" i="7"/>
  <c r="G34" i="7"/>
  <c r="F34" i="7"/>
  <c r="G38" i="7"/>
  <c r="F38" i="7"/>
  <c r="G42" i="7"/>
  <c r="F42" i="7"/>
  <c r="G46" i="7"/>
  <c r="F46" i="7"/>
  <c r="G50" i="7"/>
  <c r="F50" i="7"/>
  <c r="G54" i="7"/>
  <c r="F54" i="7"/>
  <c r="G58" i="7"/>
  <c r="F58" i="7"/>
  <c r="D62" i="7"/>
  <c r="G6" i="7"/>
  <c r="F6" i="7"/>
  <c r="G11" i="6"/>
  <c r="G15" i="6"/>
  <c r="G19" i="6"/>
  <c r="G23" i="6"/>
  <c r="G27" i="6"/>
  <c r="G31" i="6"/>
  <c r="G35" i="6"/>
  <c r="G39" i="6"/>
  <c r="G43" i="6"/>
  <c r="G47" i="6"/>
  <c r="G51" i="6"/>
  <c r="G55" i="6"/>
  <c r="G59" i="6"/>
  <c r="E42" i="15"/>
  <c r="E50" i="15"/>
  <c r="E58" i="15"/>
  <c r="E16" i="11"/>
  <c r="H16" i="11" s="1"/>
  <c r="E24" i="11"/>
  <c r="H24" i="11" s="1"/>
  <c r="E32" i="11"/>
  <c r="H32" i="11" s="1"/>
  <c r="E40" i="11"/>
  <c r="H40" i="11" s="1"/>
  <c r="E48" i="11"/>
  <c r="H48" i="11" s="1"/>
  <c r="E56" i="11"/>
  <c r="H56" i="11" s="1"/>
  <c r="G17" i="10"/>
  <c r="G25" i="10"/>
  <c r="G33" i="10"/>
  <c r="G41" i="10"/>
  <c r="G48" i="10"/>
  <c r="G52" i="10"/>
  <c r="G56" i="10"/>
  <c r="F60" i="10"/>
  <c r="G60" i="10"/>
  <c r="F46" i="10"/>
  <c r="G46" i="10"/>
  <c r="F42" i="10"/>
  <c r="G42" i="10"/>
  <c r="F38" i="10"/>
  <c r="G38" i="10"/>
  <c r="F34" i="10"/>
  <c r="G34" i="10"/>
  <c r="F30" i="10"/>
  <c r="G30" i="10"/>
  <c r="F26" i="10"/>
  <c r="G26" i="10"/>
  <c r="F22" i="10"/>
  <c r="G22" i="10"/>
  <c r="F18" i="10"/>
  <c r="G18" i="10"/>
  <c r="F14" i="10"/>
  <c r="G14" i="10"/>
  <c r="F10" i="10"/>
  <c r="G10" i="10"/>
  <c r="E13" i="10"/>
  <c r="H13" i="10" s="1"/>
  <c r="E17" i="10"/>
  <c r="H17" i="10" s="1"/>
  <c r="E21" i="10"/>
  <c r="H21" i="10" s="1"/>
  <c r="E25" i="10"/>
  <c r="H25" i="10" s="1"/>
  <c r="E29" i="10"/>
  <c r="H29" i="10" s="1"/>
  <c r="E33" i="10"/>
  <c r="H33" i="10" s="1"/>
  <c r="E37" i="10"/>
  <c r="H37" i="10" s="1"/>
  <c r="E41" i="10"/>
  <c r="H41" i="10" s="1"/>
  <c r="E45" i="10"/>
  <c r="H45" i="10" s="1"/>
  <c r="E49" i="10"/>
  <c r="E53" i="10"/>
  <c r="E57" i="10"/>
  <c r="E61" i="10"/>
  <c r="G9" i="9"/>
  <c r="G13" i="9"/>
  <c r="G17" i="9"/>
  <c r="G21" i="9"/>
  <c r="G25" i="9"/>
  <c r="G29" i="9"/>
  <c r="G33" i="9"/>
  <c r="G37" i="9"/>
  <c r="G41" i="9"/>
  <c r="G45" i="9"/>
  <c r="G49" i="9"/>
  <c r="G53" i="9"/>
  <c r="G57" i="9"/>
  <c r="G61" i="9"/>
  <c r="G10" i="8"/>
  <c r="G14" i="8"/>
  <c r="G18" i="8"/>
  <c r="G22" i="8"/>
  <c r="G26" i="8"/>
  <c r="G30" i="8"/>
  <c r="G34" i="8"/>
  <c r="G38" i="8"/>
  <c r="G42" i="8"/>
  <c r="G46" i="8"/>
  <c r="G50" i="8"/>
  <c r="G54" i="8"/>
  <c r="G58" i="8"/>
  <c r="F58" i="8"/>
  <c r="D62" i="8"/>
  <c r="G7" i="8"/>
  <c r="G62" i="8" s="1"/>
  <c r="F7" i="8"/>
  <c r="G7" i="7"/>
  <c r="G11" i="7"/>
  <c r="G15" i="7"/>
  <c r="G19" i="7"/>
  <c r="G23" i="7"/>
  <c r="G27" i="7"/>
  <c r="G31" i="7"/>
  <c r="G35" i="7"/>
  <c r="G39" i="7"/>
  <c r="G43" i="7"/>
  <c r="G47" i="7"/>
  <c r="G51" i="7"/>
  <c r="G55" i="7"/>
  <c r="G59" i="7"/>
  <c r="G8" i="6"/>
  <c r="G12" i="6"/>
  <c r="G16" i="6"/>
  <c r="F16" i="6"/>
  <c r="G20" i="6"/>
  <c r="F20" i="6"/>
  <c r="G24" i="6"/>
  <c r="G28" i="6"/>
  <c r="G32" i="6"/>
  <c r="F32" i="6"/>
  <c r="G36" i="6"/>
  <c r="G40" i="6"/>
  <c r="F40" i="6"/>
  <c r="G44" i="6"/>
  <c r="G48" i="6"/>
  <c r="F48" i="6"/>
  <c r="G52" i="6"/>
  <c r="G56" i="6"/>
  <c r="F56" i="6"/>
  <c r="G60" i="6"/>
  <c r="E12" i="10"/>
  <c r="H12" i="10" s="1"/>
  <c r="E16" i="10"/>
  <c r="H16" i="10" s="1"/>
  <c r="E20" i="10"/>
  <c r="H20" i="10" s="1"/>
  <c r="E24" i="10"/>
  <c r="H24" i="10" s="1"/>
  <c r="E28" i="10"/>
  <c r="H28" i="10" s="1"/>
  <c r="E32" i="10"/>
  <c r="H32" i="10" s="1"/>
  <c r="E36" i="10"/>
  <c r="H36" i="10" s="1"/>
  <c r="E40" i="10"/>
  <c r="H40" i="10" s="1"/>
  <c r="E44" i="10"/>
  <c r="H44" i="10" s="1"/>
  <c r="E48" i="10"/>
  <c r="H48" i="10" s="1"/>
  <c r="E52" i="10"/>
  <c r="H52" i="10" s="1"/>
  <c r="E56" i="10"/>
  <c r="H56" i="10" s="1"/>
  <c r="E9" i="9"/>
  <c r="H9" i="9" s="1"/>
  <c r="E13" i="9"/>
  <c r="H13" i="9" s="1"/>
  <c r="E17" i="9"/>
  <c r="H17" i="9" s="1"/>
  <c r="E21" i="9"/>
  <c r="H21" i="9" s="1"/>
  <c r="E25" i="9"/>
  <c r="H25" i="9" s="1"/>
  <c r="E29" i="9"/>
  <c r="H29" i="9" s="1"/>
  <c r="E33" i="9"/>
  <c r="H33" i="9" s="1"/>
  <c r="E37" i="9"/>
  <c r="H37" i="9" s="1"/>
  <c r="E41" i="9"/>
  <c r="H41" i="9" s="1"/>
  <c r="E45" i="9"/>
  <c r="H45" i="9" s="1"/>
  <c r="E49" i="9"/>
  <c r="H49" i="9" s="1"/>
  <c r="E53" i="9"/>
  <c r="H53" i="9" s="1"/>
  <c r="E57" i="9"/>
  <c r="H57" i="9" s="1"/>
  <c r="E61" i="9"/>
  <c r="H61" i="9" s="1"/>
  <c r="E11" i="8"/>
  <c r="H11" i="8" s="1"/>
  <c r="E15" i="8"/>
  <c r="H15" i="8" s="1"/>
  <c r="E19" i="8"/>
  <c r="H19" i="8" s="1"/>
  <c r="E23" i="8"/>
  <c r="H23" i="8" s="1"/>
  <c r="E27" i="8"/>
  <c r="H27" i="8" s="1"/>
  <c r="E31" i="8"/>
  <c r="H31" i="8" s="1"/>
  <c r="E35" i="8"/>
  <c r="H35" i="8" s="1"/>
  <c r="E39" i="8"/>
  <c r="H39" i="8" s="1"/>
  <c r="E43" i="8"/>
  <c r="H43" i="8" s="1"/>
  <c r="E47" i="8"/>
  <c r="H47" i="8" s="1"/>
  <c r="E51" i="8"/>
  <c r="H51" i="8" s="1"/>
  <c r="E55" i="8"/>
  <c r="H55" i="8" s="1"/>
  <c r="E59" i="8"/>
  <c r="H59" i="8" s="1"/>
  <c r="E8" i="7"/>
  <c r="E12" i="7"/>
  <c r="H12" i="7" s="1"/>
  <c r="E16" i="7"/>
  <c r="H16" i="7" s="1"/>
  <c r="E20" i="7"/>
  <c r="H20" i="7" s="1"/>
  <c r="E24" i="7"/>
  <c r="H24" i="7" s="1"/>
  <c r="E28" i="7"/>
  <c r="H28" i="7" s="1"/>
  <c r="E32" i="7"/>
  <c r="H32" i="7" s="1"/>
  <c r="E36" i="7"/>
  <c r="H36" i="7" s="1"/>
  <c r="E40" i="7"/>
  <c r="H40" i="7" s="1"/>
  <c r="E44" i="7"/>
  <c r="H44" i="7" s="1"/>
  <c r="E48" i="7"/>
  <c r="H48" i="7" s="1"/>
  <c r="E52" i="7"/>
  <c r="H52" i="7" s="1"/>
  <c r="E56" i="7"/>
  <c r="H56" i="7" s="1"/>
  <c r="E14" i="6"/>
  <c r="H14" i="6" s="1"/>
  <c r="E28" i="6"/>
  <c r="H28" i="6" s="1"/>
  <c r="E36" i="6"/>
  <c r="H36" i="6" s="1"/>
  <c r="E44" i="6"/>
  <c r="H44" i="6" s="1"/>
  <c r="E52" i="6"/>
  <c r="H52" i="6" s="1"/>
  <c r="E60" i="6"/>
  <c r="H60" i="6" s="1"/>
  <c r="E12" i="9"/>
  <c r="H12" i="9" s="1"/>
  <c r="E16" i="9"/>
  <c r="H16" i="9" s="1"/>
  <c r="E20" i="9"/>
  <c r="H20" i="9" s="1"/>
  <c r="E24" i="9"/>
  <c r="H24" i="9" s="1"/>
  <c r="E28" i="9"/>
  <c r="H28" i="9" s="1"/>
  <c r="E32" i="9"/>
  <c r="H32" i="9" s="1"/>
  <c r="E36" i="9"/>
  <c r="H36" i="9" s="1"/>
  <c r="E40" i="9"/>
  <c r="H40" i="9" s="1"/>
  <c r="E44" i="9"/>
  <c r="H44" i="9" s="1"/>
  <c r="E48" i="9"/>
  <c r="H48" i="9" s="1"/>
  <c r="E52" i="9"/>
  <c r="H52" i="9" s="1"/>
  <c r="E56" i="9"/>
  <c r="H56" i="9" s="1"/>
  <c r="E10" i="8"/>
  <c r="H10" i="8" s="1"/>
  <c r="E14" i="8"/>
  <c r="H14" i="8" s="1"/>
  <c r="E18" i="8"/>
  <c r="H18" i="8" s="1"/>
  <c r="E22" i="8"/>
  <c r="H22" i="8" s="1"/>
  <c r="E26" i="8"/>
  <c r="H26" i="8" s="1"/>
  <c r="E30" i="8"/>
  <c r="H30" i="8" s="1"/>
  <c r="E34" i="8"/>
  <c r="H34" i="8" s="1"/>
  <c r="E38" i="8"/>
  <c r="H38" i="8" s="1"/>
  <c r="E42" i="8"/>
  <c r="H42" i="8" s="1"/>
  <c r="E46" i="8"/>
  <c r="H46" i="8" s="1"/>
  <c r="E50" i="8"/>
  <c r="H50" i="8" s="1"/>
  <c r="E54" i="8"/>
  <c r="H54" i="8" s="1"/>
  <c r="E7" i="7"/>
  <c r="H7" i="7" s="1"/>
  <c r="E11" i="7"/>
  <c r="H11" i="7" s="1"/>
  <c r="E15" i="7"/>
  <c r="H15" i="7" s="1"/>
  <c r="E19" i="7"/>
  <c r="H19" i="7" s="1"/>
  <c r="E23" i="7"/>
  <c r="H23" i="7" s="1"/>
  <c r="E27" i="7"/>
  <c r="H27" i="7" s="1"/>
  <c r="E31" i="7"/>
  <c r="H31" i="7" s="1"/>
  <c r="E35" i="7"/>
  <c r="H35" i="7" s="1"/>
  <c r="E39" i="7"/>
  <c r="H39" i="7" s="1"/>
  <c r="E43" i="7"/>
  <c r="H43" i="7" s="1"/>
  <c r="E47" i="7"/>
  <c r="H47" i="7" s="1"/>
  <c r="E51" i="7"/>
  <c r="H51" i="7" s="1"/>
  <c r="E55" i="7"/>
  <c r="H55" i="7" s="1"/>
  <c r="E59" i="7"/>
  <c r="H59" i="7" s="1"/>
  <c r="E7" i="6"/>
  <c r="E11" i="6"/>
  <c r="H11" i="6" s="1"/>
  <c r="E15" i="6"/>
  <c r="H15" i="6" s="1"/>
  <c r="E19" i="6"/>
  <c r="H19" i="6" s="1"/>
  <c r="E23" i="6"/>
  <c r="H23" i="6" s="1"/>
  <c r="E27" i="6"/>
  <c r="H27" i="6" s="1"/>
  <c r="E31" i="6"/>
  <c r="H31" i="6" s="1"/>
  <c r="E35" i="6"/>
  <c r="H35" i="6" s="1"/>
  <c r="E39" i="6"/>
  <c r="H39" i="6" s="1"/>
  <c r="E43" i="6"/>
  <c r="H43" i="6" s="1"/>
  <c r="E47" i="6"/>
  <c r="H47" i="6" s="1"/>
  <c r="E51" i="6"/>
  <c r="H51" i="6" s="1"/>
  <c r="E55" i="6"/>
  <c r="H55" i="6" s="1"/>
  <c r="E59" i="6"/>
  <c r="H59" i="6" s="1"/>
  <c r="E8" i="6"/>
  <c r="H8" i="6" s="1"/>
  <c r="E12" i="6"/>
  <c r="H12" i="6" s="1"/>
  <c r="E18" i="6"/>
  <c r="H18" i="6" s="1"/>
  <c r="E24" i="6"/>
  <c r="H24" i="6" s="1"/>
  <c r="E30" i="6"/>
  <c r="H30" i="6" s="1"/>
  <c r="E38" i="6"/>
  <c r="H38" i="6" s="1"/>
  <c r="E46" i="6"/>
  <c r="H46" i="6" s="1"/>
  <c r="E54" i="6"/>
  <c r="H54" i="6" s="1"/>
  <c r="H59" i="68"/>
  <c r="F59" i="68"/>
  <c r="E60" i="68"/>
  <c r="E58" i="68"/>
  <c r="E61" i="68"/>
  <c r="H57" i="67"/>
  <c r="F57" i="67"/>
  <c r="E60" i="67"/>
  <c r="E58" i="67"/>
  <c r="E61" i="67"/>
  <c r="E59" i="67"/>
  <c r="H57" i="66"/>
  <c r="F57" i="66"/>
  <c r="E60" i="66"/>
  <c r="E58" i="66"/>
  <c r="E56" i="66"/>
  <c r="E61" i="66"/>
  <c r="E59" i="66"/>
  <c r="H55" i="65"/>
  <c r="F55" i="65"/>
  <c r="E60" i="65"/>
  <c r="E58" i="65"/>
  <c r="E56" i="65"/>
  <c r="G62" i="65"/>
  <c r="E61" i="65"/>
  <c r="E59" i="65"/>
  <c r="E57" i="65"/>
  <c r="H55" i="64"/>
  <c r="F55" i="64"/>
  <c r="E60" i="64"/>
  <c r="E58" i="64"/>
  <c r="E56" i="64"/>
  <c r="E54" i="64"/>
  <c r="G62" i="64"/>
  <c r="E61" i="64"/>
  <c r="E59" i="64"/>
  <c r="E57" i="64"/>
  <c r="H53" i="63"/>
  <c r="F53" i="63"/>
  <c r="E60" i="63"/>
  <c r="E58" i="63"/>
  <c r="E56" i="63"/>
  <c r="E54" i="63"/>
  <c r="E61" i="63"/>
  <c r="E59" i="63"/>
  <c r="E57" i="63"/>
  <c r="E55" i="63"/>
  <c r="H53" i="62"/>
  <c r="F53" i="62"/>
  <c r="E60" i="62"/>
  <c r="E58" i="62"/>
  <c r="E56" i="62"/>
  <c r="E54" i="62"/>
  <c r="E52" i="62"/>
  <c r="G62" i="62"/>
  <c r="E61" i="62"/>
  <c r="E59" i="62"/>
  <c r="E57" i="62"/>
  <c r="E55" i="62"/>
  <c r="H51" i="61"/>
  <c r="F51" i="61"/>
  <c r="E60" i="61"/>
  <c r="E58" i="61"/>
  <c r="E56" i="61"/>
  <c r="E54" i="61"/>
  <c r="E52" i="61"/>
  <c r="E61" i="61"/>
  <c r="E59" i="61"/>
  <c r="E57" i="61"/>
  <c r="E55" i="61"/>
  <c r="E53" i="61"/>
  <c r="H51" i="58"/>
  <c r="F51" i="58"/>
  <c r="E60" i="58"/>
  <c r="E58" i="58"/>
  <c r="E56" i="58"/>
  <c r="E54" i="58"/>
  <c r="E52" i="58"/>
  <c r="E50" i="58"/>
  <c r="E61" i="58"/>
  <c r="E59" i="58"/>
  <c r="E57" i="58"/>
  <c r="E55" i="58"/>
  <c r="E53" i="58"/>
  <c r="H49" i="57"/>
  <c r="F49" i="57"/>
  <c r="E60" i="57"/>
  <c r="E58" i="57"/>
  <c r="E56" i="57"/>
  <c r="E54" i="57"/>
  <c r="E52" i="57"/>
  <c r="E50" i="57"/>
  <c r="E61" i="57"/>
  <c r="E59" i="57"/>
  <c r="E57" i="57"/>
  <c r="E55" i="57"/>
  <c r="E53" i="57"/>
  <c r="E51" i="57"/>
  <c r="E59" i="56"/>
  <c r="H59" i="56" s="1"/>
  <c r="E55" i="56"/>
  <c r="H55" i="56" s="1"/>
  <c r="E51" i="56"/>
  <c r="H51" i="56" s="1"/>
  <c r="E61" i="56"/>
  <c r="H61" i="56" s="1"/>
  <c r="E57" i="56"/>
  <c r="H57" i="56" s="1"/>
  <c r="E53" i="56"/>
  <c r="H53" i="56" s="1"/>
  <c r="E49" i="56"/>
  <c r="H49" i="56" s="1"/>
  <c r="H48" i="56"/>
  <c r="F48" i="56"/>
  <c r="E60" i="56"/>
  <c r="E58" i="56"/>
  <c r="E56" i="56"/>
  <c r="E54" i="56"/>
  <c r="E52" i="56"/>
  <c r="E50" i="56"/>
  <c r="F61" i="56"/>
  <c r="F49" i="56"/>
  <c r="H47" i="55"/>
  <c r="F47" i="55"/>
  <c r="E60" i="55"/>
  <c r="E58" i="55"/>
  <c r="E56" i="55"/>
  <c r="E54" i="55"/>
  <c r="E52" i="55"/>
  <c r="E50" i="55"/>
  <c r="E48" i="55"/>
  <c r="E61" i="55"/>
  <c r="E59" i="55"/>
  <c r="E57" i="55"/>
  <c r="E55" i="55"/>
  <c r="E53" i="55"/>
  <c r="E51" i="55"/>
  <c r="E49" i="55"/>
  <c r="F62" i="54"/>
  <c r="E62" i="54"/>
  <c r="H62" i="54"/>
  <c r="H45" i="53"/>
  <c r="F45" i="53"/>
  <c r="E60" i="53"/>
  <c r="E58" i="53"/>
  <c r="E56" i="53"/>
  <c r="E54" i="53"/>
  <c r="E52" i="53"/>
  <c r="E50" i="53"/>
  <c r="E48" i="53"/>
  <c r="E46" i="53"/>
  <c r="G62" i="53"/>
  <c r="E61" i="53"/>
  <c r="E59" i="53"/>
  <c r="E57" i="53"/>
  <c r="E55" i="53"/>
  <c r="E53" i="53"/>
  <c r="E51" i="53"/>
  <c r="E49" i="53"/>
  <c r="E47" i="53"/>
  <c r="H45" i="52"/>
  <c r="F45" i="52"/>
  <c r="E60" i="52"/>
  <c r="E58" i="52"/>
  <c r="E56" i="52"/>
  <c r="E54" i="52"/>
  <c r="E52" i="52"/>
  <c r="E50" i="52"/>
  <c r="E48" i="52"/>
  <c r="E46" i="52"/>
  <c r="E44" i="52"/>
  <c r="G62" i="52"/>
  <c r="E61" i="52"/>
  <c r="E59" i="52"/>
  <c r="E57" i="52"/>
  <c r="E55" i="52"/>
  <c r="E53" i="52"/>
  <c r="E51" i="52"/>
  <c r="E49" i="52"/>
  <c r="E47" i="52"/>
  <c r="H43" i="51"/>
  <c r="F43" i="51"/>
  <c r="E60" i="51"/>
  <c r="E58" i="51"/>
  <c r="E56" i="51"/>
  <c r="E54" i="51"/>
  <c r="E52" i="51"/>
  <c r="E50" i="51"/>
  <c r="E48" i="51"/>
  <c r="E46" i="51"/>
  <c r="E44" i="51"/>
  <c r="G62" i="51"/>
  <c r="E61" i="51"/>
  <c r="E59" i="51"/>
  <c r="E57" i="51"/>
  <c r="E55" i="51"/>
  <c r="E53" i="51"/>
  <c r="E51" i="51"/>
  <c r="E49" i="51"/>
  <c r="E47" i="51"/>
  <c r="E45" i="51"/>
  <c r="E62" i="50"/>
  <c r="H44" i="50"/>
  <c r="F44" i="50"/>
  <c r="F42" i="50"/>
  <c r="H42" i="50"/>
  <c r="F43" i="50"/>
  <c r="H43" i="50"/>
  <c r="H41" i="49"/>
  <c r="F41" i="49"/>
  <c r="E60" i="49"/>
  <c r="E58" i="49"/>
  <c r="E56" i="49"/>
  <c r="E54" i="49"/>
  <c r="E52" i="49"/>
  <c r="E50" i="49"/>
  <c r="E48" i="49"/>
  <c r="E46" i="49"/>
  <c r="E44" i="49"/>
  <c r="E42" i="49"/>
  <c r="E61" i="49"/>
  <c r="E59" i="49"/>
  <c r="E57" i="49"/>
  <c r="E55" i="49"/>
  <c r="E53" i="49"/>
  <c r="E51" i="49"/>
  <c r="E49" i="49"/>
  <c r="E47" i="49"/>
  <c r="E45" i="49"/>
  <c r="E43" i="49"/>
  <c r="H41" i="48"/>
  <c r="F41" i="48"/>
  <c r="E60" i="48"/>
  <c r="E58" i="48"/>
  <c r="E56" i="48"/>
  <c r="E54" i="48"/>
  <c r="E52" i="48"/>
  <c r="E50" i="48"/>
  <c r="E48" i="48"/>
  <c r="E46" i="48"/>
  <c r="E44" i="48"/>
  <c r="E42" i="48"/>
  <c r="E40" i="48"/>
  <c r="G62" i="48"/>
  <c r="E61" i="48"/>
  <c r="E59" i="48"/>
  <c r="E57" i="48"/>
  <c r="E55" i="48"/>
  <c r="E53" i="48"/>
  <c r="E51" i="48"/>
  <c r="E49" i="48"/>
  <c r="E47" i="48"/>
  <c r="E45" i="48"/>
  <c r="E43" i="48"/>
  <c r="H39" i="47"/>
  <c r="F39" i="47"/>
  <c r="E60" i="47"/>
  <c r="E58" i="47"/>
  <c r="E56" i="47"/>
  <c r="E54" i="47"/>
  <c r="E52" i="47"/>
  <c r="E50" i="47"/>
  <c r="E48" i="47"/>
  <c r="E46" i="47"/>
  <c r="E44" i="47"/>
  <c r="E42" i="47"/>
  <c r="E40" i="47"/>
  <c r="E61" i="47"/>
  <c r="E59" i="47"/>
  <c r="E57" i="47"/>
  <c r="E55" i="47"/>
  <c r="E53" i="47"/>
  <c r="E51" i="47"/>
  <c r="E49" i="47"/>
  <c r="E47" i="47"/>
  <c r="E45" i="47"/>
  <c r="E43" i="47"/>
  <c r="E41" i="47"/>
  <c r="H39" i="46"/>
  <c r="F39" i="46"/>
  <c r="E60" i="46"/>
  <c r="E58" i="46"/>
  <c r="E56" i="46"/>
  <c r="E54" i="46"/>
  <c r="E52" i="46"/>
  <c r="E50" i="46"/>
  <c r="E48" i="46"/>
  <c r="E46" i="46"/>
  <c r="E44" i="46"/>
  <c r="E42" i="46"/>
  <c r="E40" i="46"/>
  <c r="E38" i="46"/>
  <c r="E61" i="46"/>
  <c r="E59" i="46"/>
  <c r="E57" i="46"/>
  <c r="E55" i="46"/>
  <c r="E53" i="46"/>
  <c r="E51" i="46"/>
  <c r="E49" i="46"/>
  <c r="E47" i="46"/>
  <c r="E45" i="46"/>
  <c r="E43" i="46"/>
  <c r="E41" i="46"/>
  <c r="G62" i="45"/>
  <c r="H38" i="45"/>
  <c r="F38" i="45"/>
  <c r="E59" i="45"/>
  <c r="E55" i="45"/>
  <c r="E49" i="45"/>
  <c r="E61" i="45"/>
  <c r="E57" i="45"/>
  <c r="E53" i="45"/>
  <c r="E51" i="45"/>
  <c r="E47" i="45"/>
  <c r="E45" i="45"/>
  <c r="E43" i="45"/>
  <c r="E41" i="45"/>
  <c r="E39" i="45"/>
  <c r="E37" i="45"/>
  <c r="E60" i="45"/>
  <c r="E58" i="45"/>
  <c r="E56" i="45"/>
  <c r="E54" i="45"/>
  <c r="E52" i="45"/>
  <c r="E50" i="45"/>
  <c r="E48" i="45"/>
  <c r="E46" i="45"/>
  <c r="E44" i="45"/>
  <c r="E42" i="45"/>
  <c r="E40" i="45"/>
  <c r="H36" i="44"/>
  <c r="F36" i="44"/>
  <c r="E38" i="44"/>
  <c r="E61" i="44"/>
  <c r="E59" i="44"/>
  <c r="E57" i="44"/>
  <c r="E55" i="44"/>
  <c r="E53" i="44"/>
  <c r="E51" i="44"/>
  <c r="E49" i="44"/>
  <c r="E47" i="44"/>
  <c r="E45" i="44"/>
  <c r="E43" i="44"/>
  <c r="E41" i="44"/>
  <c r="E39" i="44"/>
  <c r="E60" i="44"/>
  <c r="E58" i="44"/>
  <c r="E56" i="44"/>
  <c r="E54" i="44"/>
  <c r="E52" i="44"/>
  <c r="E50" i="44"/>
  <c r="E48" i="44"/>
  <c r="E46" i="44"/>
  <c r="E44" i="44"/>
  <c r="E42" i="44"/>
  <c r="E40" i="44"/>
  <c r="E37" i="44"/>
  <c r="E61" i="43"/>
  <c r="H61" i="43" s="1"/>
  <c r="E53" i="43"/>
  <c r="H53" i="43" s="1"/>
  <c r="E45" i="43"/>
  <c r="H45" i="43" s="1"/>
  <c r="E59" i="43"/>
  <c r="H59" i="43" s="1"/>
  <c r="E55" i="43"/>
  <c r="H55" i="43" s="1"/>
  <c r="E51" i="43"/>
  <c r="H51" i="43" s="1"/>
  <c r="E47" i="43"/>
  <c r="H47" i="43" s="1"/>
  <c r="E43" i="43"/>
  <c r="H43" i="43" s="1"/>
  <c r="H36" i="43"/>
  <c r="F36" i="43"/>
  <c r="F61" i="43"/>
  <c r="F59" i="43"/>
  <c r="F57" i="43"/>
  <c r="F51" i="43"/>
  <c r="F49" i="43"/>
  <c r="F43" i="43"/>
  <c r="F41" i="43"/>
  <c r="E39" i="43"/>
  <c r="E35" i="43"/>
  <c r="E38" i="43"/>
  <c r="E60" i="43"/>
  <c r="E58" i="43"/>
  <c r="E56" i="43"/>
  <c r="E54" i="43"/>
  <c r="E52" i="43"/>
  <c r="E50" i="43"/>
  <c r="E48" i="43"/>
  <c r="E46" i="43"/>
  <c r="E44" i="43"/>
  <c r="E42" i="43"/>
  <c r="E37" i="43"/>
  <c r="E40" i="43"/>
  <c r="H34" i="42"/>
  <c r="F34" i="42"/>
  <c r="E39" i="42"/>
  <c r="E35" i="42"/>
  <c r="E40" i="42"/>
  <c r="E36" i="42"/>
  <c r="E61" i="42"/>
  <c r="E59" i="42"/>
  <c r="E57" i="42"/>
  <c r="E55" i="42"/>
  <c r="E53" i="42"/>
  <c r="E51" i="42"/>
  <c r="E49" i="42"/>
  <c r="E47" i="42"/>
  <c r="E45" i="42"/>
  <c r="E43" i="42"/>
  <c r="E60" i="42"/>
  <c r="E58" i="42"/>
  <c r="E56" i="42"/>
  <c r="E54" i="42"/>
  <c r="E52" i="42"/>
  <c r="E50" i="42"/>
  <c r="E48" i="42"/>
  <c r="E46" i="42"/>
  <c r="E44" i="42"/>
  <c r="E41" i="42"/>
  <c r="E37" i="42"/>
  <c r="E42" i="42"/>
  <c r="E38" i="42"/>
  <c r="H33" i="41"/>
  <c r="F33" i="41"/>
  <c r="E44" i="41"/>
  <c r="E40" i="41"/>
  <c r="E36" i="41"/>
  <c r="E43" i="41"/>
  <c r="E39" i="41"/>
  <c r="E35" i="41"/>
  <c r="E61" i="41"/>
  <c r="E59" i="41"/>
  <c r="E57" i="41"/>
  <c r="E55" i="41"/>
  <c r="E53" i="41"/>
  <c r="E51" i="41"/>
  <c r="E49" i="41"/>
  <c r="E47" i="41"/>
  <c r="E45" i="41"/>
  <c r="E60" i="41"/>
  <c r="E58" i="41"/>
  <c r="E56" i="41"/>
  <c r="E54" i="41"/>
  <c r="E52" i="41"/>
  <c r="E50" i="41"/>
  <c r="E48" i="41"/>
  <c r="E46" i="41"/>
  <c r="E42" i="41"/>
  <c r="E38" i="41"/>
  <c r="E34" i="41"/>
  <c r="E41" i="41"/>
  <c r="E37" i="41"/>
  <c r="H33" i="40"/>
  <c r="F33" i="40"/>
  <c r="E60" i="40"/>
  <c r="E58" i="40"/>
  <c r="E56" i="40"/>
  <c r="E54" i="40"/>
  <c r="E52" i="40"/>
  <c r="E50" i="40"/>
  <c r="E48" i="40"/>
  <c r="E46" i="40"/>
  <c r="E44" i="40"/>
  <c r="E42" i="40"/>
  <c r="E40" i="40"/>
  <c r="E38" i="40"/>
  <c r="E36" i="40"/>
  <c r="E34" i="40"/>
  <c r="E32" i="40"/>
  <c r="G62" i="40"/>
  <c r="E61" i="40"/>
  <c r="E59" i="40"/>
  <c r="E57" i="40"/>
  <c r="E55" i="40"/>
  <c r="E53" i="40"/>
  <c r="E51" i="40"/>
  <c r="E49" i="40"/>
  <c r="E47" i="40"/>
  <c r="E45" i="40"/>
  <c r="E43" i="40"/>
  <c r="E41" i="40"/>
  <c r="E39" i="40"/>
  <c r="E37" i="40"/>
  <c r="E35" i="40"/>
  <c r="H32" i="39"/>
  <c r="F32" i="39"/>
  <c r="E47" i="39"/>
  <c r="E43" i="39"/>
  <c r="E39" i="39"/>
  <c r="E35" i="39"/>
  <c r="E31" i="39"/>
  <c r="E46" i="39"/>
  <c r="E42" i="39"/>
  <c r="E38" i="39"/>
  <c r="E34" i="39"/>
  <c r="E61" i="39"/>
  <c r="E59" i="39"/>
  <c r="E57" i="39"/>
  <c r="E55" i="39"/>
  <c r="E53" i="39"/>
  <c r="E51" i="39"/>
  <c r="E49" i="39"/>
  <c r="E60" i="39"/>
  <c r="E58" i="39"/>
  <c r="E56" i="39"/>
  <c r="E54" i="39"/>
  <c r="E52" i="39"/>
  <c r="E50" i="39"/>
  <c r="E45" i="39"/>
  <c r="E41" i="39"/>
  <c r="E37" i="39"/>
  <c r="E33" i="39"/>
  <c r="E48" i="39"/>
  <c r="E44" i="39"/>
  <c r="E40" i="39"/>
  <c r="E36" i="39"/>
  <c r="E62" i="38"/>
  <c r="H62" i="38"/>
  <c r="G62" i="38"/>
  <c r="F62" i="38"/>
  <c r="H30" i="37"/>
  <c r="F30" i="37"/>
  <c r="E51" i="37"/>
  <c r="E47" i="37"/>
  <c r="E43" i="37"/>
  <c r="E39" i="37"/>
  <c r="E35" i="37"/>
  <c r="E31" i="37"/>
  <c r="E52" i="37"/>
  <c r="E48" i="37"/>
  <c r="E44" i="37"/>
  <c r="E40" i="37"/>
  <c r="E36" i="37"/>
  <c r="E32" i="37"/>
  <c r="E61" i="37"/>
  <c r="E59" i="37"/>
  <c r="E57" i="37"/>
  <c r="E55" i="37"/>
  <c r="E53" i="37"/>
  <c r="E60" i="37"/>
  <c r="E58" i="37"/>
  <c r="E56" i="37"/>
  <c r="E54" i="37"/>
  <c r="E49" i="37"/>
  <c r="E45" i="37"/>
  <c r="E41" i="37"/>
  <c r="E37" i="37"/>
  <c r="E33" i="37"/>
  <c r="E29" i="37"/>
  <c r="E50" i="37"/>
  <c r="E46" i="37"/>
  <c r="E42" i="37"/>
  <c r="E38" i="37"/>
  <c r="E34" i="37"/>
  <c r="H29" i="36"/>
  <c r="F29" i="36"/>
  <c r="E52" i="36"/>
  <c r="E48" i="36"/>
  <c r="E44" i="36"/>
  <c r="E40" i="36"/>
  <c r="E36" i="36"/>
  <c r="E32" i="36"/>
  <c r="E28" i="36"/>
  <c r="E51" i="36"/>
  <c r="E47" i="36"/>
  <c r="E43" i="36"/>
  <c r="E39" i="36"/>
  <c r="E35" i="36"/>
  <c r="E31" i="36"/>
  <c r="E61" i="36"/>
  <c r="E59" i="36"/>
  <c r="E57" i="36"/>
  <c r="E55" i="36"/>
  <c r="E60" i="36"/>
  <c r="E58" i="36"/>
  <c r="E56" i="36"/>
  <c r="E54" i="36"/>
  <c r="E50" i="36"/>
  <c r="E46" i="36"/>
  <c r="E42" i="36"/>
  <c r="E38" i="36"/>
  <c r="E34" i="36"/>
  <c r="E30" i="36"/>
  <c r="E53" i="36"/>
  <c r="E49" i="36"/>
  <c r="E45" i="36"/>
  <c r="E41" i="36"/>
  <c r="E37" i="36"/>
  <c r="E33" i="36"/>
  <c r="H27" i="28"/>
  <c r="F27" i="28"/>
  <c r="E60" i="28"/>
  <c r="E58" i="28"/>
  <c r="E56" i="28"/>
  <c r="E54" i="28"/>
  <c r="E52" i="28"/>
  <c r="E50" i="28"/>
  <c r="E48" i="28"/>
  <c r="E46" i="28"/>
  <c r="E44" i="28"/>
  <c r="E42" i="28"/>
  <c r="E40" i="28"/>
  <c r="E38" i="28"/>
  <c r="E36" i="28"/>
  <c r="E34" i="28"/>
  <c r="E32" i="28"/>
  <c r="E30" i="28"/>
  <c r="E28" i="28"/>
  <c r="G62" i="28"/>
  <c r="E61" i="28"/>
  <c r="E59" i="28"/>
  <c r="E57" i="28"/>
  <c r="E55" i="28"/>
  <c r="E53" i="28"/>
  <c r="E51" i="28"/>
  <c r="E49" i="28"/>
  <c r="E47" i="28"/>
  <c r="E45" i="28"/>
  <c r="E43" i="28"/>
  <c r="E41" i="28"/>
  <c r="E39" i="28"/>
  <c r="E37" i="28"/>
  <c r="E35" i="28"/>
  <c r="E33" i="28"/>
  <c r="E31" i="28"/>
  <c r="E29" i="28"/>
  <c r="H27" i="27"/>
  <c r="F27" i="27"/>
  <c r="E56" i="27"/>
  <c r="E52" i="27"/>
  <c r="E48" i="27"/>
  <c r="E44" i="27"/>
  <c r="E40" i="27"/>
  <c r="E36" i="27"/>
  <c r="E32" i="27"/>
  <c r="E28" i="27"/>
  <c r="E57" i="27"/>
  <c r="E53" i="27"/>
  <c r="E49" i="27"/>
  <c r="E45" i="27"/>
  <c r="E41" i="27"/>
  <c r="E37" i="27"/>
  <c r="E33" i="27"/>
  <c r="E29" i="27"/>
  <c r="E61" i="27"/>
  <c r="E59" i="27"/>
  <c r="E60" i="27"/>
  <c r="E58" i="27"/>
  <c r="E54" i="27"/>
  <c r="E50" i="27"/>
  <c r="E46" i="27"/>
  <c r="E42" i="27"/>
  <c r="E38" i="27"/>
  <c r="E34" i="27"/>
  <c r="E30" i="27"/>
  <c r="E26" i="27"/>
  <c r="E55" i="27"/>
  <c r="E51" i="27"/>
  <c r="E47" i="27"/>
  <c r="E43" i="27"/>
  <c r="E39" i="27"/>
  <c r="E35" i="27"/>
  <c r="E31" i="27"/>
  <c r="H30" i="26"/>
  <c r="F30" i="26"/>
  <c r="E57" i="26"/>
  <c r="E53" i="26"/>
  <c r="E49" i="26"/>
  <c r="E45" i="26"/>
  <c r="E41" i="26"/>
  <c r="E37" i="26"/>
  <c r="E33" i="26"/>
  <c r="E29" i="26"/>
  <c r="E25" i="26"/>
  <c r="E58" i="26"/>
  <c r="E54" i="26"/>
  <c r="E50" i="26"/>
  <c r="E44" i="26"/>
  <c r="E38" i="26"/>
  <c r="E32" i="26"/>
  <c r="E48" i="26"/>
  <c r="E34" i="26"/>
  <c r="E26" i="26"/>
  <c r="E61" i="26"/>
  <c r="E59" i="26"/>
  <c r="E55" i="26"/>
  <c r="E51" i="26"/>
  <c r="E47" i="26"/>
  <c r="E43" i="26"/>
  <c r="E39" i="26"/>
  <c r="E35" i="26"/>
  <c r="E31" i="26"/>
  <c r="E27" i="26"/>
  <c r="E60" i="26"/>
  <c r="E56" i="26"/>
  <c r="E52" i="26"/>
  <c r="E46" i="26"/>
  <c r="E40" i="26"/>
  <c r="E36" i="26"/>
  <c r="E28" i="26"/>
  <c r="E42" i="26"/>
  <c r="H24" i="25"/>
  <c r="F24" i="25"/>
  <c r="E61" i="25"/>
  <c r="E57" i="25"/>
  <c r="E53" i="25"/>
  <c r="E49" i="25"/>
  <c r="E45" i="25"/>
  <c r="E41" i="25"/>
  <c r="E37" i="25"/>
  <c r="E33" i="25"/>
  <c r="E29" i="25"/>
  <c r="E25" i="25"/>
  <c r="E58" i="25"/>
  <c r="E54" i="25"/>
  <c r="E50" i="25"/>
  <c r="E46" i="25"/>
  <c r="E42" i="25"/>
  <c r="E38" i="25"/>
  <c r="E34" i="25"/>
  <c r="E30" i="25"/>
  <c r="E26" i="25"/>
  <c r="E59" i="25"/>
  <c r="E55" i="25"/>
  <c r="E51" i="25"/>
  <c r="E47" i="25"/>
  <c r="E43" i="25"/>
  <c r="E39" i="25"/>
  <c r="E35" i="25"/>
  <c r="E31" i="25"/>
  <c r="E27" i="25"/>
  <c r="E60" i="25"/>
  <c r="E56" i="25"/>
  <c r="E52" i="25"/>
  <c r="E48" i="25"/>
  <c r="E44" i="25"/>
  <c r="E40" i="25"/>
  <c r="E36" i="25"/>
  <c r="E32" i="25"/>
  <c r="E28" i="25"/>
  <c r="E54" i="24"/>
  <c r="E46" i="24"/>
  <c r="E38" i="24"/>
  <c r="E30" i="24"/>
  <c r="E61" i="24"/>
  <c r="H61" i="24" s="1"/>
  <c r="E53" i="24"/>
  <c r="H53" i="24" s="1"/>
  <c r="E45" i="24"/>
  <c r="H45" i="24" s="1"/>
  <c r="E37" i="24"/>
  <c r="H37" i="24" s="1"/>
  <c r="E29" i="24"/>
  <c r="H29" i="24" s="1"/>
  <c r="E58" i="24"/>
  <c r="E50" i="24"/>
  <c r="E42" i="24"/>
  <c r="E34" i="24"/>
  <c r="E26" i="24"/>
  <c r="E57" i="24"/>
  <c r="H57" i="24" s="1"/>
  <c r="E49" i="24"/>
  <c r="H49" i="24" s="1"/>
  <c r="E41" i="24"/>
  <c r="H41" i="24" s="1"/>
  <c r="E33" i="24"/>
  <c r="H33" i="24" s="1"/>
  <c r="E25" i="24"/>
  <c r="H25" i="24" s="1"/>
  <c r="H23" i="24"/>
  <c r="F23" i="24"/>
  <c r="F49" i="24"/>
  <c r="F37" i="24"/>
  <c r="E60" i="24"/>
  <c r="E56" i="24"/>
  <c r="E52" i="24"/>
  <c r="E48" i="24"/>
  <c r="E44" i="24"/>
  <c r="E40" i="24"/>
  <c r="E36" i="24"/>
  <c r="E32" i="24"/>
  <c r="E28" i="24"/>
  <c r="E24" i="24"/>
  <c r="E59" i="24"/>
  <c r="E55" i="24"/>
  <c r="E51" i="24"/>
  <c r="E47" i="24"/>
  <c r="E43" i="24"/>
  <c r="E39" i="24"/>
  <c r="E35" i="24"/>
  <c r="E31" i="24"/>
  <c r="E27" i="24"/>
  <c r="H22" i="23"/>
  <c r="F22" i="23"/>
  <c r="E61" i="23"/>
  <c r="E57" i="23"/>
  <c r="E53" i="23"/>
  <c r="E49" i="23"/>
  <c r="E45" i="23"/>
  <c r="E41" i="23"/>
  <c r="E37" i="23"/>
  <c r="E33" i="23"/>
  <c r="E29" i="23"/>
  <c r="E25" i="23"/>
  <c r="E60" i="23"/>
  <c r="E56" i="23"/>
  <c r="E52" i="23"/>
  <c r="E48" i="23"/>
  <c r="E44" i="23"/>
  <c r="E40" i="23"/>
  <c r="E36" i="23"/>
  <c r="E32" i="23"/>
  <c r="E28" i="23"/>
  <c r="E24" i="23"/>
  <c r="E59" i="23"/>
  <c r="E55" i="23"/>
  <c r="E51" i="23"/>
  <c r="E47" i="23"/>
  <c r="E43" i="23"/>
  <c r="E39" i="23"/>
  <c r="E35" i="23"/>
  <c r="E31" i="23"/>
  <c r="E27" i="23"/>
  <c r="E23" i="23"/>
  <c r="E58" i="23"/>
  <c r="E54" i="23"/>
  <c r="E50" i="23"/>
  <c r="E46" i="23"/>
  <c r="E42" i="23"/>
  <c r="E38" i="23"/>
  <c r="E34" i="23"/>
  <c r="E30" i="23"/>
  <c r="E26" i="23"/>
  <c r="F24" i="22"/>
  <c r="H24" i="22"/>
  <c r="F26" i="22"/>
  <c r="H26" i="22"/>
  <c r="F28" i="22"/>
  <c r="H28" i="22"/>
  <c r="F30" i="22"/>
  <c r="H30" i="22"/>
  <c r="F32" i="22"/>
  <c r="H32" i="22"/>
  <c r="F34" i="22"/>
  <c r="H34" i="22"/>
  <c r="F36" i="22"/>
  <c r="H36" i="22"/>
  <c r="F38" i="22"/>
  <c r="H38" i="22"/>
  <c r="F40" i="22"/>
  <c r="H40" i="22"/>
  <c r="F42" i="22"/>
  <c r="H42" i="22"/>
  <c r="F44" i="22"/>
  <c r="H44" i="22"/>
  <c r="F46" i="22"/>
  <c r="H46" i="22"/>
  <c r="F48" i="22"/>
  <c r="H48" i="22"/>
  <c r="F50" i="22"/>
  <c r="H50" i="22"/>
  <c r="F52" i="22"/>
  <c r="H52" i="22"/>
  <c r="F54" i="22"/>
  <c r="H54" i="22"/>
  <c r="F56" i="22"/>
  <c r="H56" i="22"/>
  <c r="F58" i="22"/>
  <c r="H58" i="22"/>
  <c r="F60" i="22"/>
  <c r="H60" i="22"/>
  <c r="F23" i="22"/>
  <c r="H23" i="22"/>
  <c r="F25" i="22"/>
  <c r="H25" i="22"/>
  <c r="F27" i="22"/>
  <c r="H27" i="22"/>
  <c r="F29" i="22"/>
  <c r="H29" i="22"/>
  <c r="F31" i="22"/>
  <c r="H31" i="22"/>
  <c r="F33" i="22"/>
  <c r="H33" i="22"/>
  <c r="F35" i="22"/>
  <c r="H35" i="22"/>
  <c r="F37" i="22"/>
  <c r="H37" i="22"/>
  <c r="F39" i="22"/>
  <c r="H39" i="22"/>
  <c r="F41" i="22"/>
  <c r="H41" i="22"/>
  <c r="F43" i="22"/>
  <c r="H43" i="22"/>
  <c r="F45" i="22"/>
  <c r="H45" i="22"/>
  <c r="F47" i="22"/>
  <c r="H47" i="22"/>
  <c r="F49" i="22"/>
  <c r="H49" i="22"/>
  <c r="F51" i="22"/>
  <c r="H51" i="22"/>
  <c r="F53" i="22"/>
  <c r="H53" i="22"/>
  <c r="F55" i="22"/>
  <c r="H55" i="22"/>
  <c r="F57" i="22"/>
  <c r="H57" i="22"/>
  <c r="F59" i="22"/>
  <c r="H59" i="22"/>
  <c r="F61" i="22"/>
  <c r="H61" i="22"/>
  <c r="E21" i="22"/>
  <c r="F22" i="21"/>
  <c r="H22" i="21"/>
  <c r="H24" i="21"/>
  <c r="F24" i="21"/>
  <c r="H26" i="21"/>
  <c r="F26" i="21"/>
  <c r="H28" i="21"/>
  <c r="F28" i="21"/>
  <c r="H30" i="21"/>
  <c r="F30" i="21"/>
  <c r="H32" i="21"/>
  <c r="F32" i="21"/>
  <c r="H34" i="21"/>
  <c r="F34" i="21"/>
  <c r="H36" i="21"/>
  <c r="F36" i="21"/>
  <c r="H38" i="21"/>
  <c r="F38" i="21"/>
  <c r="H40" i="21"/>
  <c r="F40" i="21"/>
  <c r="H42" i="21"/>
  <c r="F42" i="21"/>
  <c r="H44" i="21"/>
  <c r="F44" i="21"/>
  <c r="H46" i="21"/>
  <c r="F46" i="21"/>
  <c r="H48" i="21"/>
  <c r="F48" i="21"/>
  <c r="H50" i="21"/>
  <c r="F50" i="21"/>
  <c r="H52" i="21"/>
  <c r="F52" i="21"/>
  <c r="H54" i="21"/>
  <c r="F54" i="21"/>
  <c r="H56" i="21"/>
  <c r="F56" i="21"/>
  <c r="H58" i="21"/>
  <c r="F58" i="21"/>
  <c r="H60" i="21"/>
  <c r="F60" i="21"/>
  <c r="H23" i="21"/>
  <c r="F23" i="21"/>
  <c r="H25" i="21"/>
  <c r="F25" i="21"/>
  <c r="H27" i="21"/>
  <c r="F27" i="21"/>
  <c r="H29" i="21"/>
  <c r="F29" i="21"/>
  <c r="H31" i="21"/>
  <c r="F31" i="21"/>
  <c r="H33" i="21"/>
  <c r="F33" i="21"/>
  <c r="H35" i="21"/>
  <c r="F35" i="21"/>
  <c r="H37" i="21"/>
  <c r="F37" i="21"/>
  <c r="H39" i="21"/>
  <c r="F39" i="21"/>
  <c r="H41" i="21"/>
  <c r="F41" i="21"/>
  <c r="H43" i="21"/>
  <c r="F43" i="21"/>
  <c r="H45" i="21"/>
  <c r="F45" i="21"/>
  <c r="H47" i="21"/>
  <c r="F47" i="21"/>
  <c r="H49" i="21"/>
  <c r="F49" i="21"/>
  <c r="H51" i="21"/>
  <c r="F51" i="21"/>
  <c r="H53" i="21"/>
  <c r="F53" i="21"/>
  <c r="H55" i="21"/>
  <c r="F55" i="21"/>
  <c r="H57" i="21"/>
  <c r="F57" i="21"/>
  <c r="H59" i="21"/>
  <c r="F59" i="21"/>
  <c r="H61" i="21"/>
  <c r="F61" i="21"/>
  <c r="H61" i="20"/>
  <c r="F61" i="20"/>
  <c r="H59" i="20"/>
  <c r="F59" i="20"/>
  <c r="H57" i="20"/>
  <c r="F57" i="20"/>
  <c r="H55" i="20"/>
  <c r="F55" i="20"/>
  <c r="H53" i="20"/>
  <c r="F53" i="20"/>
  <c r="H51" i="20"/>
  <c r="F51" i="20"/>
  <c r="H49" i="20"/>
  <c r="F49" i="20"/>
  <c r="H47" i="20"/>
  <c r="F47" i="20"/>
  <c r="H45" i="20"/>
  <c r="F45" i="20"/>
  <c r="H43" i="20"/>
  <c r="F43" i="20"/>
  <c r="H41" i="20"/>
  <c r="F41" i="20"/>
  <c r="H39" i="20"/>
  <c r="F39" i="20"/>
  <c r="H37" i="20"/>
  <c r="F37" i="20"/>
  <c r="H35" i="20"/>
  <c r="F35" i="20"/>
  <c r="H33" i="20"/>
  <c r="F33" i="20"/>
  <c r="H31" i="20"/>
  <c r="F31" i="20"/>
  <c r="H29" i="20"/>
  <c r="F29" i="20"/>
  <c r="H27" i="20"/>
  <c r="F27" i="20"/>
  <c r="H25" i="20"/>
  <c r="F25" i="20"/>
  <c r="H23" i="20"/>
  <c r="F23" i="20"/>
  <c r="H21" i="20"/>
  <c r="F21" i="20"/>
  <c r="H60" i="20"/>
  <c r="F60" i="20"/>
  <c r="H58" i="20"/>
  <c r="F58" i="20"/>
  <c r="H56" i="20"/>
  <c r="F56" i="20"/>
  <c r="H54" i="20"/>
  <c r="F54" i="20"/>
  <c r="H52" i="20"/>
  <c r="F52" i="20"/>
  <c r="H50" i="20"/>
  <c r="F50" i="20"/>
  <c r="H48" i="20"/>
  <c r="F48" i="20"/>
  <c r="H46" i="20"/>
  <c r="F46" i="20"/>
  <c r="H44" i="20"/>
  <c r="F44" i="20"/>
  <c r="H42" i="20"/>
  <c r="F42" i="20"/>
  <c r="H40" i="20"/>
  <c r="F40" i="20"/>
  <c r="H38" i="20"/>
  <c r="F38" i="20"/>
  <c r="H36" i="20"/>
  <c r="F36" i="20"/>
  <c r="H34" i="20"/>
  <c r="F34" i="20"/>
  <c r="H32" i="20"/>
  <c r="F32" i="20"/>
  <c r="H30" i="20"/>
  <c r="F30" i="20"/>
  <c r="H28" i="20"/>
  <c r="F28" i="20"/>
  <c r="H26" i="20"/>
  <c r="F26" i="20"/>
  <c r="H24" i="20"/>
  <c r="F24" i="20"/>
  <c r="H22" i="20"/>
  <c r="F22" i="20"/>
  <c r="F20" i="20"/>
  <c r="F62" i="20" s="1"/>
  <c r="H20" i="20"/>
  <c r="H62" i="20" s="1"/>
  <c r="F22" i="17"/>
  <c r="H22" i="17"/>
  <c r="F31" i="17"/>
  <c r="H31" i="17"/>
  <c r="F33" i="17"/>
  <c r="H33" i="17"/>
  <c r="F36" i="17"/>
  <c r="H36" i="17"/>
  <c r="F40" i="17"/>
  <c r="H40" i="17"/>
  <c r="F42" i="17"/>
  <c r="H42" i="17"/>
  <c r="F44" i="17"/>
  <c r="H44" i="17"/>
  <c r="F46" i="17"/>
  <c r="H46" i="17"/>
  <c r="F48" i="17"/>
  <c r="H48" i="17"/>
  <c r="F19" i="17"/>
  <c r="H19" i="17"/>
  <c r="F24" i="17"/>
  <c r="H24" i="17"/>
  <c r="F26" i="17"/>
  <c r="H26" i="17"/>
  <c r="F28" i="17"/>
  <c r="H28" i="17"/>
  <c r="F30" i="17"/>
  <c r="H30" i="17"/>
  <c r="F37" i="17"/>
  <c r="H37" i="17"/>
  <c r="F50" i="17"/>
  <c r="H50" i="17"/>
  <c r="F53" i="17"/>
  <c r="H53" i="17"/>
  <c r="F55" i="17"/>
  <c r="H55" i="17"/>
  <c r="F57" i="17"/>
  <c r="H57" i="17"/>
  <c r="F59" i="17"/>
  <c r="H59" i="17"/>
  <c r="F61" i="17"/>
  <c r="H61" i="17"/>
  <c r="F21" i="17"/>
  <c r="H21" i="17"/>
  <c r="F23" i="17"/>
  <c r="H23" i="17"/>
  <c r="F32" i="17"/>
  <c r="H32" i="17"/>
  <c r="F35" i="17"/>
  <c r="H35" i="17"/>
  <c r="F39" i="17"/>
  <c r="H39" i="17"/>
  <c r="F41" i="17"/>
  <c r="H41" i="17"/>
  <c r="F43" i="17"/>
  <c r="H43" i="17"/>
  <c r="F45" i="17"/>
  <c r="H45" i="17"/>
  <c r="F47" i="17"/>
  <c r="H47" i="17"/>
  <c r="F49" i="17"/>
  <c r="H49" i="17"/>
  <c r="F18" i="17"/>
  <c r="H18" i="17"/>
  <c r="F20" i="17"/>
  <c r="H20" i="17"/>
  <c r="F25" i="17"/>
  <c r="H25" i="17"/>
  <c r="F27" i="17"/>
  <c r="H27" i="17"/>
  <c r="F29" i="17"/>
  <c r="H29" i="17"/>
  <c r="F34" i="17"/>
  <c r="H34" i="17"/>
  <c r="F38" i="17"/>
  <c r="H38" i="17"/>
  <c r="F51" i="17"/>
  <c r="H51" i="17"/>
  <c r="F54" i="17"/>
  <c r="H54" i="17"/>
  <c r="F56" i="17"/>
  <c r="H56" i="17"/>
  <c r="F58" i="17"/>
  <c r="H58" i="17"/>
  <c r="F60" i="17"/>
  <c r="H60" i="17"/>
  <c r="E62" i="17"/>
  <c r="B68" i="20" l="1"/>
  <c r="B33" i="5" s="1"/>
  <c r="F47" i="43"/>
  <c r="H8" i="7"/>
  <c r="F8" i="7"/>
  <c r="F60" i="6"/>
  <c r="F52" i="6"/>
  <c r="F44" i="6"/>
  <c r="F36" i="6"/>
  <c r="F28" i="6"/>
  <c r="F24" i="6"/>
  <c r="F12" i="6"/>
  <c r="F8" i="6"/>
  <c r="F59" i="7"/>
  <c r="F55" i="7"/>
  <c r="F51" i="7"/>
  <c r="F47" i="7"/>
  <c r="F43" i="7"/>
  <c r="F39" i="7"/>
  <c r="F35" i="7"/>
  <c r="F31" i="7"/>
  <c r="F27" i="7"/>
  <c r="F23" i="7"/>
  <c r="F19" i="7"/>
  <c r="F15" i="7"/>
  <c r="F11" i="7"/>
  <c r="F7" i="7"/>
  <c r="H57" i="10"/>
  <c r="F57" i="10"/>
  <c r="H49" i="10"/>
  <c r="F49" i="10"/>
  <c r="F41" i="10"/>
  <c r="F33" i="10"/>
  <c r="F25" i="10"/>
  <c r="F17" i="10"/>
  <c r="F58" i="15"/>
  <c r="H58" i="15"/>
  <c r="F42" i="15"/>
  <c r="H42" i="15"/>
  <c r="F59" i="6"/>
  <c r="F55" i="6"/>
  <c r="F51" i="6"/>
  <c r="F47" i="6"/>
  <c r="F43" i="6"/>
  <c r="F39" i="6"/>
  <c r="F35" i="6"/>
  <c r="F31" i="6"/>
  <c r="F27" i="6"/>
  <c r="F23" i="6"/>
  <c r="F19" i="6"/>
  <c r="F15" i="6"/>
  <c r="F11" i="6"/>
  <c r="G62" i="7"/>
  <c r="F59" i="8"/>
  <c r="F55" i="8"/>
  <c r="F51" i="8"/>
  <c r="F47" i="8"/>
  <c r="F43" i="8"/>
  <c r="F39" i="8"/>
  <c r="F35" i="8"/>
  <c r="F31" i="8"/>
  <c r="F27" i="8"/>
  <c r="F23" i="8"/>
  <c r="F19" i="8"/>
  <c r="F15" i="8"/>
  <c r="F11" i="8"/>
  <c r="H13" i="14"/>
  <c r="F13" i="14"/>
  <c r="H61" i="12"/>
  <c r="F61" i="12"/>
  <c r="H53" i="12"/>
  <c r="F53" i="12"/>
  <c r="H45" i="12"/>
  <c r="F45" i="12"/>
  <c r="H37" i="12"/>
  <c r="F37" i="12"/>
  <c r="H29" i="12"/>
  <c r="F29" i="12"/>
  <c r="H21" i="12"/>
  <c r="F21" i="12"/>
  <c r="H13" i="12"/>
  <c r="F13" i="12"/>
  <c r="H55" i="12"/>
  <c r="F55" i="12"/>
  <c r="H47" i="12"/>
  <c r="F47" i="12"/>
  <c r="H39" i="12"/>
  <c r="F39" i="12"/>
  <c r="H31" i="12"/>
  <c r="F31" i="12"/>
  <c r="H23" i="12"/>
  <c r="F23" i="12"/>
  <c r="H15" i="12"/>
  <c r="F15" i="12"/>
  <c r="F48" i="15"/>
  <c r="H48" i="15"/>
  <c r="F36" i="15"/>
  <c r="H36" i="15"/>
  <c r="F28" i="15"/>
  <c r="H28" i="15"/>
  <c r="F20" i="15"/>
  <c r="H20" i="15"/>
  <c r="F22" i="13"/>
  <c r="H22" i="13"/>
  <c r="H58" i="11"/>
  <c r="F58" i="11"/>
  <c r="H50" i="11"/>
  <c r="F50" i="11"/>
  <c r="H42" i="11"/>
  <c r="F42" i="11"/>
  <c r="H34" i="11"/>
  <c r="F34" i="11"/>
  <c r="H26" i="11"/>
  <c r="F26" i="11"/>
  <c r="H18" i="11"/>
  <c r="F18" i="11"/>
  <c r="F56" i="11"/>
  <c r="F48" i="11"/>
  <c r="F40" i="11"/>
  <c r="F32" i="11"/>
  <c r="F24" i="11"/>
  <c r="F16" i="11"/>
  <c r="F48" i="16"/>
  <c r="H48" i="16"/>
  <c r="F34" i="16"/>
  <c r="H34" i="16"/>
  <c r="F60" i="16"/>
  <c r="H60" i="16"/>
  <c r="F56" i="18"/>
  <c r="H56" i="18"/>
  <c r="F24" i="18"/>
  <c r="H24" i="18"/>
  <c r="F55" i="19"/>
  <c r="H55" i="19"/>
  <c r="F47" i="19"/>
  <c r="H47" i="19"/>
  <c r="F37" i="19"/>
  <c r="H37" i="19"/>
  <c r="F21" i="19"/>
  <c r="H21" i="19"/>
  <c r="F16" i="17"/>
  <c r="H16" i="17"/>
  <c r="H53" i="18"/>
  <c r="F53" i="18"/>
  <c r="H37" i="18"/>
  <c r="F37" i="18"/>
  <c r="H21" i="18"/>
  <c r="F21" i="18"/>
  <c r="F58" i="18"/>
  <c r="H58" i="18"/>
  <c r="F42" i="18"/>
  <c r="H42" i="18"/>
  <c r="F26" i="18"/>
  <c r="H26" i="18"/>
  <c r="H17" i="18"/>
  <c r="E62" i="18"/>
  <c r="F17" i="18"/>
  <c r="H20" i="21"/>
  <c r="H62" i="21" s="1"/>
  <c r="E62" i="21"/>
  <c r="F20" i="21"/>
  <c r="F62" i="21" s="1"/>
  <c r="B68" i="21" s="1"/>
  <c r="B34" i="5" s="1"/>
  <c r="B36" i="85"/>
  <c r="H10" i="9"/>
  <c r="H62" i="9" s="1"/>
  <c r="F10" i="9"/>
  <c r="H9" i="8"/>
  <c r="F9" i="8"/>
  <c r="E62" i="10"/>
  <c r="H9" i="10"/>
  <c r="H55" i="10"/>
  <c r="F55" i="10"/>
  <c r="H47" i="10"/>
  <c r="F47" i="10"/>
  <c r="H39" i="10"/>
  <c r="F39" i="10"/>
  <c r="H31" i="10"/>
  <c r="F31" i="10"/>
  <c r="G62" i="10"/>
  <c r="F58" i="10"/>
  <c r="F54" i="10"/>
  <c r="F50" i="10"/>
  <c r="F60" i="7"/>
  <c r="F56" i="7"/>
  <c r="F52" i="7"/>
  <c r="F48" i="7"/>
  <c r="F44" i="7"/>
  <c r="F40" i="7"/>
  <c r="F36" i="7"/>
  <c r="F32" i="7"/>
  <c r="F28" i="7"/>
  <c r="F24" i="7"/>
  <c r="F20" i="7"/>
  <c r="F16" i="7"/>
  <c r="F12" i="7"/>
  <c r="E62" i="7"/>
  <c r="F61" i="8"/>
  <c r="F57" i="8"/>
  <c r="F53" i="8"/>
  <c r="F49" i="8"/>
  <c r="F45" i="8"/>
  <c r="F41" i="8"/>
  <c r="F37" i="8"/>
  <c r="F33" i="8"/>
  <c r="F29" i="8"/>
  <c r="F25" i="8"/>
  <c r="F21" i="8"/>
  <c r="F17" i="8"/>
  <c r="F13" i="8"/>
  <c r="H62" i="8"/>
  <c r="F56" i="9"/>
  <c r="F52" i="9"/>
  <c r="F48" i="9"/>
  <c r="F44" i="9"/>
  <c r="F40" i="9"/>
  <c r="F36" i="9"/>
  <c r="F32" i="9"/>
  <c r="F28" i="9"/>
  <c r="F24" i="9"/>
  <c r="F20" i="9"/>
  <c r="F16" i="9"/>
  <c r="F12" i="9"/>
  <c r="F19" i="10"/>
  <c r="F11" i="10"/>
  <c r="F60" i="15"/>
  <c r="H60" i="15"/>
  <c r="F44" i="15"/>
  <c r="H44" i="15"/>
  <c r="F34" i="15"/>
  <c r="H34" i="15"/>
  <c r="F26" i="15"/>
  <c r="H26" i="15"/>
  <c r="F18" i="15"/>
  <c r="H18" i="15"/>
  <c r="F56" i="13"/>
  <c r="H56" i="13"/>
  <c r="F30" i="13"/>
  <c r="H30" i="13"/>
  <c r="F11" i="11"/>
  <c r="F15" i="11"/>
  <c r="F19" i="11"/>
  <c r="F23" i="11"/>
  <c r="F27" i="11"/>
  <c r="F31" i="11"/>
  <c r="F35" i="11"/>
  <c r="F39" i="11"/>
  <c r="F43" i="11"/>
  <c r="F47" i="11"/>
  <c r="F51" i="11"/>
  <c r="F55" i="11"/>
  <c r="F59" i="11"/>
  <c r="F52" i="11"/>
  <c r="F44" i="11"/>
  <c r="F36" i="11"/>
  <c r="F28" i="11"/>
  <c r="F20" i="11"/>
  <c r="F12" i="11"/>
  <c r="H62" i="14"/>
  <c r="F36" i="16"/>
  <c r="H36" i="16"/>
  <c r="F43" i="13"/>
  <c r="H43" i="13"/>
  <c r="F35" i="13"/>
  <c r="H35" i="13"/>
  <c r="F23" i="13"/>
  <c r="H23" i="13"/>
  <c r="H62" i="13" s="1"/>
  <c r="F31" i="13"/>
  <c r="H31" i="13"/>
  <c r="F42" i="13"/>
  <c r="F46" i="13"/>
  <c r="F58" i="16"/>
  <c r="H58" i="16"/>
  <c r="F46" i="16"/>
  <c r="H46" i="16"/>
  <c r="H28" i="16"/>
  <c r="F28" i="16"/>
  <c r="F20" i="16"/>
  <c r="H20" i="16"/>
  <c r="F29" i="16"/>
  <c r="H29" i="16"/>
  <c r="F53" i="16"/>
  <c r="H53" i="16"/>
  <c r="F32" i="18"/>
  <c r="H32" i="18"/>
  <c r="F57" i="19"/>
  <c r="H57" i="19"/>
  <c r="F49" i="19"/>
  <c r="H49" i="19"/>
  <c r="F41" i="19"/>
  <c r="H41" i="19"/>
  <c r="F25" i="19"/>
  <c r="H25" i="19"/>
  <c r="G62" i="13"/>
  <c r="H57" i="18"/>
  <c r="F57" i="18"/>
  <c r="H41" i="18"/>
  <c r="F41" i="18"/>
  <c r="H25" i="18"/>
  <c r="F25" i="18"/>
  <c r="F31" i="19"/>
  <c r="H31" i="19"/>
  <c r="H18" i="19"/>
  <c r="E62" i="19"/>
  <c r="F18" i="19"/>
  <c r="F60" i="14"/>
  <c r="F58" i="14"/>
  <c r="F56" i="14"/>
  <c r="F54" i="14"/>
  <c r="F52" i="14"/>
  <c r="F50" i="14"/>
  <c r="F48" i="14"/>
  <c r="F46" i="14"/>
  <c r="F44" i="14"/>
  <c r="F42" i="14"/>
  <c r="F40" i="14"/>
  <c r="F38" i="14"/>
  <c r="F36" i="14"/>
  <c r="F34" i="14"/>
  <c r="F32" i="14"/>
  <c r="F30" i="14"/>
  <c r="F28" i="14"/>
  <c r="F26" i="14"/>
  <c r="F24" i="14"/>
  <c r="F22" i="14"/>
  <c r="F20" i="14"/>
  <c r="F18" i="14"/>
  <c r="F16" i="14"/>
  <c r="F14" i="14"/>
  <c r="F61" i="15"/>
  <c r="F57" i="15"/>
  <c r="F53" i="15"/>
  <c r="F49" i="15"/>
  <c r="F45" i="15"/>
  <c r="F41" i="15"/>
  <c r="F37" i="15"/>
  <c r="F33" i="15"/>
  <c r="F29" i="15"/>
  <c r="F25" i="15"/>
  <c r="F21" i="15"/>
  <c r="F17" i="15"/>
  <c r="F52" i="16"/>
  <c r="F54" i="18"/>
  <c r="H54" i="18"/>
  <c r="F38" i="18"/>
  <c r="H38" i="18"/>
  <c r="F22" i="18"/>
  <c r="H22" i="18"/>
  <c r="F52" i="18"/>
  <c r="H52" i="18"/>
  <c r="F36" i="18"/>
  <c r="H36" i="18"/>
  <c r="F20" i="18"/>
  <c r="H20" i="18"/>
  <c r="H19" i="18"/>
  <c r="F19" i="18"/>
  <c r="E62" i="6"/>
  <c r="H7" i="6"/>
  <c r="F7" i="6"/>
  <c r="F54" i="8"/>
  <c r="F50" i="8"/>
  <c r="F46" i="8"/>
  <c r="F42" i="8"/>
  <c r="F38" i="8"/>
  <c r="F34" i="8"/>
  <c r="F30" i="8"/>
  <c r="F26" i="8"/>
  <c r="F22" i="8"/>
  <c r="F18" i="8"/>
  <c r="F14" i="8"/>
  <c r="F10" i="8"/>
  <c r="F61" i="9"/>
  <c r="F57" i="9"/>
  <c r="F53" i="9"/>
  <c r="F49" i="9"/>
  <c r="F45" i="9"/>
  <c r="F41" i="9"/>
  <c r="F37" i="9"/>
  <c r="F33" i="9"/>
  <c r="F29" i="9"/>
  <c r="F25" i="9"/>
  <c r="F21" i="9"/>
  <c r="F17" i="9"/>
  <c r="F13" i="9"/>
  <c r="F9" i="9"/>
  <c r="F62" i="9" s="1"/>
  <c r="B68" i="9" s="1"/>
  <c r="B22" i="5" s="1"/>
  <c r="H61" i="10"/>
  <c r="F61" i="10"/>
  <c r="H53" i="10"/>
  <c r="F53" i="10"/>
  <c r="F56" i="10"/>
  <c r="F52" i="10"/>
  <c r="F48" i="10"/>
  <c r="F50" i="15"/>
  <c r="H50" i="15"/>
  <c r="G62" i="9"/>
  <c r="E62" i="9"/>
  <c r="E62" i="12"/>
  <c r="H11" i="12"/>
  <c r="F11" i="12"/>
  <c r="H57" i="12"/>
  <c r="F57" i="12"/>
  <c r="H49" i="12"/>
  <c r="F49" i="12"/>
  <c r="H41" i="12"/>
  <c r="F41" i="12"/>
  <c r="H33" i="12"/>
  <c r="F33" i="12"/>
  <c r="H25" i="12"/>
  <c r="F25" i="12"/>
  <c r="H17" i="12"/>
  <c r="F17" i="12"/>
  <c r="H59" i="12"/>
  <c r="F59" i="12"/>
  <c r="H51" i="12"/>
  <c r="F51" i="12"/>
  <c r="H43" i="12"/>
  <c r="F43" i="12"/>
  <c r="H35" i="12"/>
  <c r="F35" i="12"/>
  <c r="H27" i="12"/>
  <c r="F27" i="12"/>
  <c r="H19" i="12"/>
  <c r="F19" i="12"/>
  <c r="F56" i="15"/>
  <c r="H56" i="15"/>
  <c r="F40" i="15"/>
  <c r="H40" i="15"/>
  <c r="F32" i="15"/>
  <c r="H32" i="15"/>
  <c r="F24" i="15"/>
  <c r="H24" i="15"/>
  <c r="F16" i="15"/>
  <c r="H16" i="15"/>
  <c r="F36" i="13"/>
  <c r="H36" i="13"/>
  <c r="E62" i="11"/>
  <c r="H10" i="11"/>
  <c r="F10" i="11"/>
  <c r="H54" i="11"/>
  <c r="F54" i="11"/>
  <c r="H46" i="11"/>
  <c r="F46" i="11"/>
  <c r="H38" i="11"/>
  <c r="F38" i="11"/>
  <c r="H30" i="11"/>
  <c r="F30" i="11"/>
  <c r="H22" i="11"/>
  <c r="F22" i="11"/>
  <c r="H14" i="11"/>
  <c r="F14" i="11"/>
  <c r="F42" i="16"/>
  <c r="H42" i="16"/>
  <c r="H16" i="16"/>
  <c r="F16" i="16"/>
  <c r="F62" i="16" s="1"/>
  <c r="E62" i="13"/>
  <c r="F32" i="13"/>
  <c r="F40" i="18"/>
  <c r="H40" i="18"/>
  <c r="F59" i="19"/>
  <c r="H59" i="19"/>
  <c r="F51" i="19"/>
  <c r="H51" i="19"/>
  <c r="F43" i="19"/>
  <c r="H43" i="19"/>
  <c r="F29" i="19"/>
  <c r="H29" i="19"/>
  <c r="F17" i="17"/>
  <c r="H17" i="17"/>
  <c r="H61" i="18"/>
  <c r="F61" i="18"/>
  <c r="H45" i="18"/>
  <c r="F45" i="18"/>
  <c r="H29" i="18"/>
  <c r="F29" i="18"/>
  <c r="F35" i="19"/>
  <c r="H35" i="19"/>
  <c r="G62" i="12"/>
  <c r="F61" i="14"/>
  <c r="F57" i="14"/>
  <c r="F53" i="14"/>
  <c r="F49" i="14"/>
  <c r="F45" i="14"/>
  <c r="F41" i="14"/>
  <c r="F37" i="14"/>
  <c r="F33" i="14"/>
  <c r="F29" i="14"/>
  <c r="F25" i="14"/>
  <c r="F21" i="14"/>
  <c r="F17" i="14"/>
  <c r="F50" i="18"/>
  <c r="H50" i="18"/>
  <c r="F34" i="18"/>
  <c r="H34" i="18"/>
  <c r="F18" i="18"/>
  <c r="H18" i="18"/>
  <c r="G62" i="6"/>
  <c r="F58" i="6"/>
  <c r="F54" i="6"/>
  <c r="F50" i="6"/>
  <c r="F46" i="6"/>
  <c r="F42" i="6"/>
  <c r="F38" i="6"/>
  <c r="F34" i="6"/>
  <c r="F30" i="6"/>
  <c r="F26" i="6"/>
  <c r="F22" i="6"/>
  <c r="F18" i="6"/>
  <c r="F14" i="6"/>
  <c r="F10" i="6"/>
  <c r="F6" i="6"/>
  <c r="F62" i="6" s="1"/>
  <c r="B68" i="6" s="1"/>
  <c r="B19" i="5" s="1"/>
  <c r="F61" i="7"/>
  <c r="F57" i="7"/>
  <c r="F53" i="7"/>
  <c r="F49" i="7"/>
  <c r="F45" i="7"/>
  <c r="F41" i="7"/>
  <c r="F37" i="7"/>
  <c r="F33" i="7"/>
  <c r="F29" i="7"/>
  <c r="F25" i="7"/>
  <c r="F21" i="7"/>
  <c r="F17" i="7"/>
  <c r="F13" i="7"/>
  <c r="F9" i="7"/>
  <c r="F62" i="7" s="1"/>
  <c r="B68" i="7" s="1"/>
  <c r="B20" i="5" s="1"/>
  <c r="F60" i="8"/>
  <c r="F56" i="8"/>
  <c r="F52" i="8"/>
  <c r="F48" i="8"/>
  <c r="F44" i="8"/>
  <c r="F40" i="8"/>
  <c r="F36" i="8"/>
  <c r="F32" i="8"/>
  <c r="F28" i="8"/>
  <c r="F24" i="8"/>
  <c r="F20" i="8"/>
  <c r="F16" i="8"/>
  <c r="F12" i="8"/>
  <c r="F8" i="8"/>
  <c r="F62" i="8" s="1"/>
  <c r="B68" i="8" s="1"/>
  <c r="B21" i="5" s="1"/>
  <c r="F59" i="9"/>
  <c r="F55" i="9"/>
  <c r="F51" i="9"/>
  <c r="F47" i="9"/>
  <c r="F43" i="9"/>
  <c r="F39" i="9"/>
  <c r="F35" i="9"/>
  <c r="F31" i="9"/>
  <c r="F27" i="9"/>
  <c r="F23" i="9"/>
  <c r="F19" i="9"/>
  <c r="F15" i="9"/>
  <c r="F11" i="9"/>
  <c r="H59" i="10"/>
  <c r="F59" i="10"/>
  <c r="H51" i="10"/>
  <c r="F51" i="10"/>
  <c r="H43" i="10"/>
  <c r="F43" i="10"/>
  <c r="H35" i="10"/>
  <c r="F35" i="10"/>
  <c r="H27" i="10"/>
  <c r="F27" i="10"/>
  <c r="F12" i="10"/>
  <c r="F16" i="10"/>
  <c r="F20" i="10"/>
  <c r="F24" i="10"/>
  <c r="F28" i="10"/>
  <c r="F32" i="10"/>
  <c r="F36" i="10"/>
  <c r="F40" i="10"/>
  <c r="F44" i="10"/>
  <c r="F9" i="10"/>
  <c r="F45" i="10"/>
  <c r="F37" i="10"/>
  <c r="F29" i="10"/>
  <c r="F21" i="10"/>
  <c r="F13" i="10"/>
  <c r="F46" i="15"/>
  <c r="H46" i="15"/>
  <c r="F61" i="6"/>
  <c r="F57" i="6"/>
  <c r="F53" i="6"/>
  <c r="F49" i="6"/>
  <c r="F45" i="6"/>
  <c r="F41" i="6"/>
  <c r="F37" i="6"/>
  <c r="F33" i="6"/>
  <c r="F29" i="6"/>
  <c r="F25" i="6"/>
  <c r="F21" i="6"/>
  <c r="F17" i="6"/>
  <c r="F13" i="6"/>
  <c r="F9" i="6"/>
  <c r="H62" i="7"/>
  <c r="E62" i="8"/>
  <c r="F52" i="15"/>
  <c r="H52" i="15"/>
  <c r="F38" i="15"/>
  <c r="H38" i="15"/>
  <c r="F30" i="15"/>
  <c r="H30" i="15"/>
  <c r="F22" i="15"/>
  <c r="H22" i="15"/>
  <c r="F14" i="15"/>
  <c r="F62" i="15" s="1"/>
  <c r="H14" i="15"/>
  <c r="H62" i="15" s="1"/>
  <c r="F48" i="13"/>
  <c r="H48" i="13"/>
  <c r="F34" i="13"/>
  <c r="H34" i="13"/>
  <c r="F24" i="13"/>
  <c r="H24" i="13"/>
  <c r="E62" i="14"/>
  <c r="E62" i="15"/>
  <c r="F44" i="16"/>
  <c r="H44" i="16"/>
  <c r="F25" i="13"/>
  <c r="H25" i="13"/>
  <c r="F47" i="13"/>
  <c r="H47" i="13"/>
  <c r="F15" i="13"/>
  <c r="F62" i="13" s="1"/>
  <c r="B68" i="13" s="1"/>
  <c r="B28" i="5" s="1"/>
  <c r="F26" i="13"/>
  <c r="F52" i="13"/>
  <c r="F57" i="13"/>
  <c r="H54" i="16"/>
  <c r="F54" i="16"/>
  <c r="F38" i="16"/>
  <c r="H38" i="16"/>
  <c r="F24" i="16"/>
  <c r="H24" i="16"/>
  <c r="H62" i="16" s="1"/>
  <c r="F41" i="16"/>
  <c r="H41" i="16"/>
  <c r="F35" i="16"/>
  <c r="H35" i="16"/>
  <c r="F48" i="18"/>
  <c r="H48" i="18"/>
  <c r="F61" i="19"/>
  <c r="H61" i="19"/>
  <c r="F53" i="19"/>
  <c r="H53" i="19"/>
  <c r="F45" i="19"/>
  <c r="H45" i="19"/>
  <c r="F33" i="19"/>
  <c r="H33" i="19"/>
  <c r="H49" i="18"/>
  <c r="F49" i="18"/>
  <c r="H33" i="18"/>
  <c r="F33" i="18"/>
  <c r="F39" i="19"/>
  <c r="H39" i="19"/>
  <c r="F23" i="19"/>
  <c r="H23" i="19"/>
  <c r="H20" i="19"/>
  <c r="F20" i="19"/>
  <c r="F58" i="12"/>
  <c r="F54" i="12"/>
  <c r="F50" i="12"/>
  <c r="F46" i="12"/>
  <c r="F42" i="12"/>
  <c r="F38" i="12"/>
  <c r="F34" i="12"/>
  <c r="F30" i="12"/>
  <c r="F26" i="12"/>
  <c r="F22" i="12"/>
  <c r="F18" i="12"/>
  <c r="F14" i="12"/>
  <c r="F62" i="14"/>
  <c r="B68" i="14" s="1"/>
  <c r="B26" i="5" s="1"/>
  <c r="G62" i="14"/>
  <c r="F57" i="16"/>
  <c r="F37" i="16"/>
  <c r="F30" i="16"/>
  <c r="F23" i="16"/>
  <c r="F46" i="18"/>
  <c r="H46" i="18"/>
  <c r="F30" i="18"/>
  <c r="H30" i="18"/>
  <c r="F60" i="18"/>
  <c r="H60" i="18"/>
  <c r="F44" i="18"/>
  <c r="H44" i="18"/>
  <c r="F28" i="18"/>
  <c r="H28" i="18"/>
  <c r="F60" i="19"/>
  <c r="F56" i="19"/>
  <c r="F52" i="19"/>
  <c r="F48" i="19"/>
  <c r="F44" i="19"/>
  <c r="F40" i="19"/>
  <c r="F36" i="19"/>
  <c r="F32" i="19"/>
  <c r="F28" i="19"/>
  <c r="F24" i="19"/>
  <c r="K45" i="70" a="1"/>
  <c r="A35" i="85"/>
  <c r="E4" i="70"/>
  <c r="O20" i="70"/>
  <c r="D63" i="70"/>
  <c r="D62" i="70"/>
  <c r="H62" i="6"/>
  <c r="H61" i="68"/>
  <c r="F61" i="68"/>
  <c r="H60" i="68"/>
  <c r="F60" i="68"/>
  <c r="H58" i="68"/>
  <c r="F58" i="68"/>
  <c r="E62" i="68"/>
  <c r="H62" i="68"/>
  <c r="H61" i="67"/>
  <c r="F61" i="67"/>
  <c r="H60" i="67"/>
  <c r="F60" i="67"/>
  <c r="H59" i="67"/>
  <c r="F59" i="67"/>
  <c r="H58" i="67"/>
  <c r="F58" i="67"/>
  <c r="F62" i="67" s="1"/>
  <c r="E62" i="67"/>
  <c r="H62" i="67"/>
  <c r="H59" i="66"/>
  <c r="F59" i="66"/>
  <c r="H56" i="66"/>
  <c r="F56" i="66"/>
  <c r="H60" i="66"/>
  <c r="F60" i="66"/>
  <c r="H61" i="66"/>
  <c r="F61" i="66"/>
  <c r="H58" i="66"/>
  <c r="F58" i="66"/>
  <c r="E62" i="66"/>
  <c r="H62" i="66"/>
  <c r="H57" i="65"/>
  <c r="F57" i="65"/>
  <c r="H61" i="65"/>
  <c r="F61" i="65"/>
  <c r="H56" i="65"/>
  <c r="F56" i="65"/>
  <c r="H60" i="65"/>
  <c r="F60" i="65"/>
  <c r="H59" i="65"/>
  <c r="F59" i="65"/>
  <c r="H58" i="65"/>
  <c r="F58" i="65"/>
  <c r="E62" i="65"/>
  <c r="F62" i="65"/>
  <c r="H59" i="64"/>
  <c r="F59" i="64"/>
  <c r="H56" i="64"/>
  <c r="F56" i="64"/>
  <c r="H60" i="64"/>
  <c r="F60" i="64"/>
  <c r="H57" i="64"/>
  <c r="F57" i="64"/>
  <c r="H61" i="64"/>
  <c r="F61" i="64"/>
  <c r="H54" i="64"/>
  <c r="F54" i="64"/>
  <c r="H58" i="64"/>
  <c r="F58" i="64"/>
  <c r="E62" i="64"/>
  <c r="H62" i="64"/>
  <c r="H57" i="63"/>
  <c r="F57" i="63"/>
  <c r="H61" i="63"/>
  <c r="F61" i="63"/>
  <c r="H56" i="63"/>
  <c r="F56" i="63"/>
  <c r="H60" i="63"/>
  <c r="F60" i="63"/>
  <c r="H55" i="63"/>
  <c r="F55" i="63"/>
  <c r="H59" i="63"/>
  <c r="F59" i="63"/>
  <c r="H54" i="63"/>
  <c r="F54" i="63"/>
  <c r="H58" i="63"/>
  <c r="F58" i="63"/>
  <c r="E62" i="63"/>
  <c r="H62" i="63"/>
  <c r="H57" i="62"/>
  <c r="F57" i="62"/>
  <c r="H61" i="62"/>
  <c r="F61" i="62"/>
  <c r="H52" i="62"/>
  <c r="F52" i="62"/>
  <c r="H56" i="62"/>
  <c r="F56" i="62"/>
  <c r="H60" i="62"/>
  <c r="F60" i="62"/>
  <c r="H55" i="62"/>
  <c r="F55" i="62"/>
  <c r="H59" i="62"/>
  <c r="F59" i="62"/>
  <c r="H54" i="62"/>
  <c r="F54" i="62"/>
  <c r="H58" i="62"/>
  <c r="F58" i="62"/>
  <c r="E62" i="62"/>
  <c r="H55" i="61"/>
  <c r="F55" i="61"/>
  <c r="H59" i="61"/>
  <c r="F59" i="61"/>
  <c r="H52" i="61"/>
  <c r="H62" i="61" s="1"/>
  <c r="F52" i="61"/>
  <c r="H56" i="61"/>
  <c r="F56" i="61"/>
  <c r="H60" i="61"/>
  <c r="F60" i="61"/>
  <c r="H53" i="61"/>
  <c r="F53" i="61"/>
  <c r="H57" i="61"/>
  <c r="F57" i="61"/>
  <c r="H61" i="61"/>
  <c r="F61" i="61"/>
  <c r="H54" i="61"/>
  <c r="F54" i="61"/>
  <c r="H58" i="61"/>
  <c r="F58" i="61"/>
  <c r="E62" i="61"/>
  <c r="H53" i="58"/>
  <c r="F53" i="58"/>
  <c r="H57" i="58"/>
  <c r="F57" i="58"/>
  <c r="H61" i="58"/>
  <c r="F61" i="58"/>
  <c r="H52" i="58"/>
  <c r="F52" i="58"/>
  <c r="H56" i="58"/>
  <c r="F56" i="58"/>
  <c r="H60" i="58"/>
  <c r="F60" i="58"/>
  <c r="H55" i="58"/>
  <c r="F55" i="58"/>
  <c r="H59" i="58"/>
  <c r="F59" i="58"/>
  <c r="H50" i="58"/>
  <c r="H62" i="58" s="1"/>
  <c r="F50" i="58"/>
  <c r="H54" i="58"/>
  <c r="F54" i="58"/>
  <c r="H58" i="58"/>
  <c r="F58" i="58"/>
  <c r="E62" i="58"/>
  <c r="H53" i="57"/>
  <c r="F53" i="57"/>
  <c r="H57" i="57"/>
  <c r="F57" i="57"/>
  <c r="H61" i="57"/>
  <c r="F61" i="57"/>
  <c r="H52" i="57"/>
  <c r="F52" i="57"/>
  <c r="H56" i="57"/>
  <c r="F56" i="57"/>
  <c r="H60" i="57"/>
  <c r="F60" i="57"/>
  <c r="H51" i="57"/>
  <c r="F51" i="57"/>
  <c r="H55" i="57"/>
  <c r="F55" i="57"/>
  <c r="H59" i="57"/>
  <c r="F59" i="57"/>
  <c r="H50" i="57"/>
  <c r="F50" i="57"/>
  <c r="H54" i="57"/>
  <c r="F54" i="57"/>
  <c r="H58" i="57"/>
  <c r="F58" i="57"/>
  <c r="E62" i="57"/>
  <c r="F55" i="56"/>
  <c r="F51" i="56"/>
  <c r="F57" i="56"/>
  <c r="F59" i="56"/>
  <c r="F53" i="56"/>
  <c r="H50" i="56"/>
  <c r="F50" i="56"/>
  <c r="H54" i="56"/>
  <c r="F54" i="56"/>
  <c r="H58" i="56"/>
  <c r="F58" i="56"/>
  <c r="E62" i="56"/>
  <c r="H52" i="56"/>
  <c r="F52" i="56"/>
  <c r="H56" i="56"/>
  <c r="F56" i="56"/>
  <c r="H60" i="56"/>
  <c r="F60" i="56"/>
  <c r="H51" i="55"/>
  <c r="F51" i="55"/>
  <c r="H55" i="55"/>
  <c r="F55" i="55"/>
  <c r="H59" i="55"/>
  <c r="F59" i="55"/>
  <c r="H48" i="55"/>
  <c r="F48" i="55"/>
  <c r="H52" i="55"/>
  <c r="F52" i="55"/>
  <c r="H56" i="55"/>
  <c r="F56" i="55"/>
  <c r="H60" i="55"/>
  <c r="F60" i="55"/>
  <c r="H49" i="55"/>
  <c r="F49" i="55"/>
  <c r="H53" i="55"/>
  <c r="F53" i="55"/>
  <c r="H57" i="55"/>
  <c r="F57" i="55"/>
  <c r="H61" i="55"/>
  <c r="F61" i="55"/>
  <c r="H50" i="55"/>
  <c r="F50" i="55"/>
  <c r="H54" i="55"/>
  <c r="F54" i="55"/>
  <c r="H58" i="55"/>
  <c r="F58" i="55"/>
  <c r="E62" i="55"/>
  <c r="H62" i="55"/>
  <c r="B68" i="54"/>
  <c r="B60" i="5" s="1"/>
  <c r="H47" i="53"/>
  <c r="F47" i="53"/>
  <c r="H51" i="53"/>
  <c r="F51" i="53"/>
  <c r="H55" i="53"/>
  <c r="F55" i="53"/>
  <c r="H59" i="53"/>
  <c r="F59" i="53"/>
  <c r="H48" i="53"/>
  <c r="F48" i="53"/>
  <c r="H52" i="53"/>
  <c r="F52" i="53"/>
  <c r="H56" i="53"/>
  <c r="F56" i="53"/>
  <c r="H60" i="53"/>
  <c r="F60" i="53"/>
  <c r="H49" i="53"/>
  <c r="F49" i="53"/>
  <c r="H53" i="53"/>
  <c r="F53" i="53"/>
  <c r="H57" i="53"/>
  <c r="F57" i="53"/>
  <c r="H61" i="53"/>
  <c r="F61" i="53"/>
  <c r="H46" i="53"/>
  <c r="F46" i="53"/>
  <c r="H50" i="53"/>
  <c r="F50" i="53"/>
  <c r="H54" i="53"/>
  <c r="F54" i="53"/>
  <c r="H58" i="53"/>
  <c r="F58" i="53"/>
  <c r="E62" i="53"/>
  <c r="H62" i="53"/>
  <c r="H49" i="52"/>
  <c r="F49" i="52"/>
  <c r="H53" i="52"/>
  <c r="F53" i="52"/>
  <c r="H57" i="52"/>
  <c r="F57" i="52"/>
  <c r="H61" i="52"/>
  <c r="F61" i="52"/>
  <c r="H44" i="52"/>
  <c r="F44" i="52"/>
  <c r="H48" i="52"/>
  <c r="F48" i="52"/>
  <c r="H52" i="52"/>
  <c r="F52" i="52"/>
  <c r="H56" i="52"/>
  <c r="F56" i="52"/>
  <c r="H60" i="52"/>
  <c r="F60" i="52"/>
  <c r="H47" i="52"/>
  <c r="F47" i="52"/>
  <c r="H51" i="52"/>
  <c r="F51" i="52"/>
  <c r="H55" i="52"/>
  <c r="F55" i="52"/>
  <c r="H59" i="52"/>
  <c r="F59" i="52"/>
  <c r="H46" i="52"/>
  <c r="F46" i="52"/>
  <c r="H50" i="52"/>
  <c r="F50" i="52"/>
  <c r="H54" i="52"/>
  <c r="F54" i="52"/>
  <c r="H58" i="52"/>
  <c r="F58" i="52"/>
  <c r="E62" i="52"/>
  <c r="H45" i="51"/>
  <c r="F45" i="51"/>
  <c r="H49" i="51"/>
  <c r="F49" i="51"/>
  <c r="H53" i="51"/>
  <c r="F53" i="51"/>
  <c r="H57" i="51"/>
  <c r="F57" i="51"/>
  <c r="H61" i="51"/>
  <c r="F61" i="51"/>
  <c r="H44" i="51"/>
  <c r="F44" i="51"/>
  <c r="H48" i="51"/>
  <c r="F48" i="51"/>
  <c r="H52" i="51"/>
  <c r="F52" i="51"/>
  <c r="H56" i="51"/>
  <c r="F56" i="51"/>
  <c r="H60" i="51"/>
  <c r="F60" i="51"/>
  <c r="H47" i="51"/>
  <c r="F47" i="51"/>
  <c r="H51" i="51"/>
  <c r="F51" i="51"/>
  <c r="H55" i="51"/>
  <c r="F55" i="51"/>
  <c r="H59" i="51"/>
  <c r="F59" i="51"/>
  <c r="H46" i="51"/>
  <c r="F46" i="51"/>
  <c r="H50" i="51"/>
  <c r="F50" i="51"/>
  <c r="H54" i="51"/>
  <c r="F54" i="51"/>
  <c r="H58" i="51"/>
  <c r="F58" i="51"/>
  <c r="E62" i="51"/>
  <c r="H62" i="51"/>
  <c r="F62" i="50"/>
  <c r="H62" i="50"/>
  <c r="H45" i="49"/>
  <c r="F45" i="49"/>
  <c r="H49" i="49"/>
  <c r="F49" i="49"/>
  <c r="H53" i="49"/>
  <c r="F53" i="49"/>
  <c r="H57" i="49"/>
  <c r="F57" i="49"/>
  <c r="H61" i="49"/>
  <c r="F61" i="49"/>
  <c r="H44" i="49"/>
  <c r="F44" i="49"/>
  <c r="H48" i="49"/>
  <c r="F48" i="49"/>
  <c r="H52" i="49"/>
  <c r="F52" i="49"/>
  <c r="H56" i="49"/>
  <c r="F56" i="49"/>
  <c r="H60" i="49"/>
  <c r="F60" i="49"/>
  <c r="H43" i="49"/>
  <c r="F43" i="49"/>
  <c r="H47" i="49"/>
  <c r="F47" i="49"/>
  <c r="H51" i="49"/>
  <c r="F51" i="49"/>
  <c r="H55" i="49"/>
  <c r="F55" i="49"/>
  <c r="H59" i="49"/>
  <c r="F59" i="49"/>
  <c r="H42" i="49"/>
  <c r="F42" i="49"/>
  <c r="H46" i="49"/>
  <c r="F46" i="49"/>
  <c r="H50" i="49"/>
  <c r="F50" i="49"/>
  <c r="H54" i="49"/>
  <c r="F54" i="49"/>
  <c r="H58" i="49"/>
  <c r="F58" i="49"/>
  <c r="E62" i="49"/>
  <c r="H62" i="49"/>
  <c r="H45" i="48"/>
  <c r="F45" i="48"/>
  <c r="H49" i="48"/>
  <c r="F49" i="48"/>
  <c r="H53" i="48"/>
  <c r="F53" i="48"/>
  <c r="H57" i="48"/>
  <c r="F57" i="48"/>
  <c r="H61" i="48"/>
  <c r="F61" i="48"/>
  <c r="H40" i="48"/>
  <c r="F40" i="48"/>
  <c r="H44" i="48"/>
  <c r="F44" i="48"/>
  <c r="H48" i="48"/>
  <c r="F48" i="48"/>
  <c r="H52" i="48"/>
  <c r="F52" i="48"/>
  <c r="H56" i="48"/>
  <c r="F56" i="48"/>
  <c r="H60" i="48"/>
  <c r="F60" i="48"/>
  <c r="H43" i="48"/>
  <c r="F43" i="48"/>
  <c r="H47" i="48"/>
  <c r="F47" i="48"/>
  <c r="H51" i="48"/>
  <c r="F51" i="48"/>
  <c r="H55" i="48"/>
  <c r="F55" i="48"/>
  <c r="H59" i="48"/>
  <c r="F59" i="48"/>
  <c r="H42" i="48"/>
  <c r="F42" i="48"/>
  <c r="H46" i="48"/>
  <c r="F46" i="48"/>
  <c r="H50" i="48"/>
  <c r="F50" i="48"/>
  <c r="H54" i="48"/>
  <c r="F54" i="48"/>
  <c r="H58" i="48"/>
  <c r="F58" i="48"/>
  <c r="E62" i="48"/>
  <c r="H43" i="47"/>
  <c r="F43" i="47"/>
  <c r="H47" i="47"/>
  <c r="F47" i="47"/>
  <c r="H51" i="47"/>
  <c r="F51" i="47"/>
  <c r="H55" i="47"/>
  <c r="F55" i="47"/>
  <c r="H59" i="47"/>
  <c r="F59" i="47"/>
  <c r="H40" i="47"/>
  <c r="F40" i="47"/>
  <c r="H44" i="47"/>
  <c r="F44" i="47"/>
  <c r="H48" i="47"/>
  <c r="F48" i="47"/>
  <c r="H52" i="47"/>
  <c r="F52" i="47"/>
  <c r="H56" i="47"/>
  <c r="F56" i="47"/>
  <c r="H60" i="47"/>
  <c r="F60" i="47"/>
  <c r="H41" i="47"/>
  <c r="F41" i="47"/>
  <c r="H45" i="47"/>
  <c r="F45" i="47"/>
  <c r="H49" i="47"/>
  <c r="F49" i="47"/>
  <c r="H53" i="47"/>
  <c r="F53" i="47"/>
  <c r="H57" i="47"/>
  <c r="F57" i="47"/>
  <c r="H61" i="47"/>
  <c r="F61" i="47"/>
  <c r="H42" i="47"/>
  <c r="F42" i="47"/>
  <c r="H46" i="47"/>
  <c r="F46" i="47"/>
  <c r="H50" i="47"/>
  <c r="F50" i="47"/>
  <c r="H54" i="47"/>
  <c r="F54" i="47"/>
  <c r="H58" i="47"/>
  <c r="F58" i="47"/>
  <c r="E62" i="47"/>
  <c r="H62" i="47"/>
  <c r="H41" i="46"/>
  <c r="F41" i="46"/>
  <c r="H45" i="46"/>
  <c r="F45" i="46"/>
  <c r="H49" i="46"/>
  <c r="F49" i="46"/>
  <c r="H53" i="46"/>
  <c r="F53" i="46"/>
  <c r="H57" i="46"/>
  <c r="F57" i="46"/>
  <c r="H61" i="46"/>
  <c r="F61" i="46"/>
  <c r="H40" i="46"/>
  <c r="F40" i="46"/>
  <c r="H44" i="46"/>
  <c r="F44" i="46"/>
  <c r="H48" i="46"/>
  <c r="F48" i="46"/>
  <c r="H52" i="46"/>
  <c r="F52" i="46"/>
  <c r="H56" i="46"/>
  <c r="F56" i="46"/>
  <c r="H60" i="46"/>
  <c r="F60" i="46"/>
  <c r="H43" i="46"/>
  <c r="F43" i="46"/>
  <c r="H47" i="46"/>
  <c r="F47" i="46"/>
  <c r="H51" i="46"/>
  <c r="F51" i="46"/>
  <c r="H55" i="46"/>
  <c r="F55" i="46"/>
  <c r="H59" i="46"/>
  <c r="F59" i="46"/>
  <c r="H38" i="46"/>
  <c r="F38" i="46"/>
  <c r="H42" i="46"/>
  <c r="F42" i="46"/>
  <c r="H46" i="46"/>
  <c r="F46" i="46"/>
  <c r="H50" i="46"/>
  <c r="F50" i="46"/>
  <c r="H54" i="46"/>
  <c r="F54" i="46"/>
  <c r="H58" i="46"/>
  <c r="F58" i="46"/>
  <c r="E62" i="46"/>
  <c r="H62" i="46"/>
  <c r="H42" i="45"/>
  <c r="F42" i="45"/>
  <c r="H46" i="45"/>
  <c r="F46" i="45"/>
  <c r="H50" i="45"/>
  <c r="F50" i="45"/>
  <c r="H54" i="45"/>
  <c r="F54" i="45"/>
  <c r="H58" i="45"/>
  <c r="F58" i="45"/>
  <c r="E62" i="45"/>
  <c r="H39" i="45"/>
  <c r="F39" i="45"/>
  <c r="H43" i="45"/>
  <c r="F43" i="45"/>
  <c r="H47" i="45"/>
  <c r="F47" i="45"/>
  <c r="H53" i="45"/>
  <c r="F53" i="45"/>
  <c r="H61" i="45"/>
  <c r="F61" i="45"/>
  <c r="H55" i="45"/>
  <c r="F55" i="45"/>
  <c r="H40" i="45"/>
  <c r="F40" i="45"/>
  <c r="H44" i="45"/>
  <c r="F44" i="45"/>
  <c r="H48" i="45"/>
  <c r="F48" i="45"/>
  <c r="H52" i="45"/>
  <c r="F52" i="45"/>
  <c r="H56" i="45"/>
  <c r="F56" i="45"/>
  <c r="H60" i="45"/>
  <c r="F60" i="45"/>
  <c r="H37" i="45"/>
  <c r="F37" i="45"/>
  <c r="H41" i="45"/>
  <c r="F41" i="45"/>
  <c r="H45" i="45"/>
  <c r="F45" i="45"/>
  <c r="H51" i="45"/>
  <c r="F51" i="45"/>
  <c r="H57" i="45"/>
  <c r="F57" i="45"/>
  <c r="H49" i="45"/>
  <c r="F49" i="45"/>
  <c r="H59" i="45"/>
  <c r="F59" i="45"/>
  <c r="H40" i="44"/>
  <c r="F40" i="44"/>
  <c r="H44" i="44"/>
  <c r="F44" i="44"/>
  <c r="H48" i="44"/>
  <c r="F48" i="44"/>
  <c r="H52" i="44"/>
  <c r="F52" i="44"/>
  <c r="H56" i="44"/>
  <c r="F56" i="44"/>
  <c r="H60" i="44"/>
  <c r="F60" i="44"/>
  <c r="H41" i="44"/>
  <c r="F41" i="44"/>
  <c r="H45" i="44"/>
  <c r="F45" i="44"/>
  <c r="H49" i="44"/>
  <c r="F49" i="44"/>
  <c r="H53" i="44"/>
  <c r="F53" i="44"/>
  <c r="H57" i="44"/>
  <c r="F57" i="44"/>
  <c r="H61" i="44"/>
  <c r="F61" i="44"/>
  <c r="E62" i="44"/>
  <c r="H37" i="44"/>
  <c r="F37" i="44"/>
  <c r="H42" i="44"/>
  <c r="F42" i="44"/>
  <c r="H46" i="44"/>
  <c r="F46" i="44"/>
  <c r="H50" i="44"/>
  <c r="F50" i="44"/>
  <c r="H54" i="44"/>
  <c r="F54" i="44"/>
  <c r="H58" i="44"/>
  <c r="F58" i="44"/>
  <c r="H39" i="44"/>
  <c r="F39" i="44"/>
  <c r="H43" i="44"/>
  <c r="F43" i="44"/>
  <c r="H47" i="44"/>
  <c r="F47" i="44"/>
  <c r="H51" i="44"/>
  <c r="F51" i="44"/>
  <c r="H55" i="44"/>
  <c r="F55" i="44"/>
  <c r="H59" i="44"/>
  <c r="F59" i="44"/>
  <c r="H38" i="44"/>
  <c r="F38" i="44"/>
  <c r="H62" i="44"/>
  <c r="F45" i="43"/>
  <c r="F55" i="43"/>
  <c r="F53" i="43"/>
  <c r="H37" i="43"/>
  <c r="F37" i="43"/>
  <c r="H42" i="43"/>
  <c r="F42" i="43"/>
  <c r="H46" i="43"/>
  <c r="F46" i="43"/>
  <c r="H50" i="43"/>
  <c r="F50" i="43"/>
  <c r="H54" i="43"/>
  <c r="F54" i="43"/>
  <c r="H58" i="43"/>
  <c r="F58" i="43"/>
  <c r="H38" i="43"/>
  <c r="F38" i="43"/>
  <c r="H39" i="43"/>
  <c r="F39" i="43"/>
  <c r="H40" i="43"/>
  <c r="F40" i="43"/>
  <c r="H44" i="43"/>
  <c r="F44" i="43"/>
  <c r="H48" i="43"/>
  <c r="F48" i="43"/>
  <c r="H52" i="43"/>
  <c r="F52" i="43"/>
  <c r="H56" i="43"/>
  <c r="F56" i="43"/>
  <c r="H60" i="43"/>
  <c r="F60" i="43"/>
  <c r="H35" i="43"/>
  <c r="H62" i="43" s="1"/>
  <c r="F35" i="43"/>
  <c r="E62" i="43"/>
  <c r="H38" i="42"/>
  <c r="F38" i="42"/>
  <c r="H37" i="42"/>
  <c r="F37" i="42"/>
  <c r="H44" i="42"/>
  <c r="F44" i="42"/>
  <c r="H48" i="42"/>
  <c r="F48" i="42"/>
  <c r="H52" i="42"/>
  <c r="F52" i="42"/>
  <c r="H56" i="42"/>
  <c r="F56" i="42"/>
  <c r="H60" i="42"/>
  <c r="F60" i="42"/>
  <c r="H45" i="42"/>
  <c r="F45" i="42"/>
  <c r="H49" i="42"/>
  <c r="F49" i="42"/>
  <c r="H53" i="42"/>
  <c r="F53" i="42"/>
  <c r="H57" i="42"/>
  <c r="F57" i="42"/>
  <c r="H61" i="42"/>
  <c r="F61" i="42"/>
  <c r="H40" i="42"/>
  <c r="F40" i="42"/>
  <c r="H39" i="42"/>
  <c r="F39" i="42"/>
  <c r="H42" i="42"/>
  <c r="F42" i="42"/>
  <c r="H41" i="42"/>
  <c r="F41" i="42"/>
  <c r="H46" i="42"/>
  <c r="F46" i="42"/>
  <c r="H50" i="42"/>
  <c r="F50" i="42"/>
  <c r="H54" i="42"/>
  <c r="F54" i="42"/>
  <c r="H58" i="42"/>
  <c r="F58" i="42"/>
  <c r="H43" i="42"/>
  <c r="F43" i="42"/>
  <c r="H47" i="42"/>
  <c r="F47" i="42"/>
  <c r="H51" i="42"/>
  <c r="F51" i="42"/>
  <c r="H55" i="42"/>
  <c r="F55" i="42"/>
  <c r="H59" i="42"/>
  <c r="F59" i="42"/>
  <c r="H36" i="42"/>
  <c r="F36" i="42"/>
  <c r="H35" i="42"/>
  <c r="H62" i="42" s="1"/>
  <c r="F35" i="42"/>
  <c r="F62" i="42" s="1"/>
  <c r="E62" i="42"/>
  <c r="H41" i="41"/>
  <c r="F41" i="41"/>
  <c r="H38" i="41"/>
  <c r="F38" i="41"/>
  <c r="H48" i="41"/>
  <c r="F48" i="41"/>
  <c r="H52" i="41"/>
  <c r="F52" i="41"/>
  <c r="H56" i="41"/>
  <c r="F56" i="41"/>
  <c r="H60" i="41"/>
  <c r="F60" i="41"/>
  <c r="H47" i="41"/>
  <c r="F47" i="41"/>
  <c r="H51" i="41"/>
  <c r="F51" i="41"/>
  <c r="H55" i="41"/>
  <c r="F55" i="41"/>
  <c r="H59" i="41"/>
  <c r="F59" i="41"/>
  <c r="H35" i="41"/>
  <c r="F35" i="41"/>
  <c r="H43" i="41"/>
  <c r="F43" i="41"/>
  <c r="H40" i="41"/>
  <c r="F40" i="41"/>
  <c r="H37" i="41"/>
  <c r="F37" i="41"/>
  <c r="H34" i="41"/>
  <c r="F34" i="41"/>
  <c r="H42" i="41"/>
  <c r="F42" i="41"/>
  <c r="H46" i="41"/>
  <c r="F46" i="41"/>
  <c r="H50" i="41"/>
  <c r="F50" i="41"/>
  <c r="H54" i="41"/>
  <c r="F54" i="41"/>
  <c r="H58" i="41"/>
  <c r="F58" i="41"/>
  <c r="H45" i="41"/>
  <c r="F45" i="41"/>
  <c r="H49" i="41"/>
  <c r="F49" i="41"/>
  <c r="H53" i="41"/>
  <c r="F53" i="41"/>
  <c r="H57" i="41"/>
  <c r="F57" i="41"/>
  <c r="H61" i="41"/>
  <c r="F61" i="41"/>
  <c r="H39" i="41"/>
  <c r="F39" i="41"/>
  <c r="H36" i="41"/>
  <c r="F36" i="41"/>
  <c r="H44" i="41"/>
  <c r="F44" i="41"/>
  <c r="E62" i="41"/>
  <c r="H37" i="40"/>
  <c r="F37" i="40"/>
  <c r="H41" i="40"/>
  <c r="F41" i="40"/>
  <c r="H45" i="40"/>
  <c r="F45" i="40"/>
  <c r="H49" i="40"/>
  <c r="F49" i="40"/>
  <c r="H53" i="40"/>
  <c r="F53" i="40"/>
  <c r="H57" i="40"/>
  <c r="F57" i="40"/>
  <c r="H61" i="40"/>
  <c r="F61" i="40"/>
  <c r="H32" i="40"/>
  <c r="F32" i="40"/>
  <c r="H36" i="40"/>
  <c r="F36" i="40"/>
  <c r="H40" i="40"/>
  <c r="F40" i="40"/>
  <c r="H44" i="40"/>
  <c r="F44" i="40"/>
  <c r="H48" i="40"/>
  <c r="F48" i="40"/>
  <c r="H52" i="40"/>
  <c r="F52" i="40"/>
  <c r="H56" i="40"/>
  <c r="F56" i="40"/>
  <c r="H60" i="40"/>
  <c r="F60" i="40"/>
  <c r="H35" i="40"/>
  <c r="F35" i="40"/>
  <c r="H39" i="40"/>
  <c r="F39" i="40"/>
  <c r="H43" i="40"/>
  <c r="F43" i="40"/>
  <c r="H47" i="40"/>
  <c r="F47" i="40"/>
  <c r="H51" i="40"/>
  <c r="F51" i="40"/>
  <c r="H55" i="40"/>
  <c r="F55" i="40"/>
  <c r="H59" i="40"/>
  <c r="F59" i="40"/>
  <c r="H34" i="40"/>
  <c r="F34" i="40"/>
  <c r="H38" i="40"/>
  <c r="F38" i="40"/>
  <c r="H42" i="40"/>
  <c r="F42" i="40"/>
  <c r="H46" i="40"/>
  <c r="F46" i="40"/>
  <c r="H50" i="40"/>
  <c r="F50" i="40"/>
  <c r="H54" i="40"/>
  <c r="F54" i="40"/>
  <c r="H58" i="40"/>
  <c r="F58" i="40"/>
  <c r="E62" i="40"/>
  <c r="H62" i="40"/>
  <c r="H40" i="39"/>
  <c r="F40" i="39"/>
  <c r="H48" i="39"/>
  <c r="F48" i="39"/>
  <c r="H37" i="39"/>
  <c r="F37" i="39"/>
  <c r="H45" i="39"/>
  <c r="F45" i="39"/>
  <c r="H50" i="39"/>
  <c r="F50" i="39"/>
  <c r="H54" i="39"/>
  <c r="F54" i="39"/>
  <c r="H58" i="39"/>
  <c r="F58" i="39"/>
  <c r="H49" i="39"/>
  <c r="F49" i="39"/>
  <c r="H53" i="39"/>
  <c r="F53" i="39"/>
  <c r="H57" i="39"/>
  <c r="F57" i="39"/>
  <c r="H61" i="39"/>
  <c r="F61" i="39"/>
  <c r="H38" i="39"/>
  <c r="F38" i="39"/>
  <c r="H46" i="39"/>
  <c r="F46" i="39"/>
  <c r="H35" i="39"/>
  <c r="F35" i="39"/>
  <c r="H43" i="39"/>
  <c r="F43" i="39"/>
  <c r="H36" i="39"/>
  <c r="F36" i="39"/>
  <c r="H44" i="39"/>
  <c r="F44" i="39"/>
  <c r="H33" i="39"/>
  <c r="F33" i="39"/>
  <c r="H41" i="39"/>
  <c r="F41" i="39"/>
  <c r="H52" i="39"/>
  <c r="F52" i="39"/>
  <c r="H56" i="39"/>
  <c r="F56" i="39"/>
  <c r="H60" i="39"/>
  <c r="F60" i="39"/>
  <c r="H51" i="39"/>
  <c r="F51" i="39"/>
  <c r="H55" i="39"/>
  <c r="F55" i="39"/>
  <c r="H59" i="39"/>
  <c r="F59" i="39"/>
  <c r="H34" i="39"/>
  <c r="F34" i="39"/>
  <c r="H42" i="39"/>
  <c r="F42" i="39"/>
  <c r="H31" i="39"/>
  <c r="F31" i="39"/>
  <c r="H39" i="39"/>
  <c r="F39" i="39"/>
  <c r="H47" i="39"/>
  <c r="F47" i="39"/>
  <c r="E62" i="39"/>
  <c r="B68" i="38"/>
  <c r="B44" i="5" s="1"/>
  <c r="H38" i="37"/>
  <c r="F38" i="37"/>
  <c r="H46" i="37"/>
  <c r="F46" i="37"/>
  <c r="H29" i="37"/>
  <c r="F29" i="37"/>
  <c r="H37" i="37"/>
  <c r="F37" i="37"/>
  <c r="H45" i="37"/>
  <c r="F45" i="37"/>
  <c r="H54" i="37"/>
  <c r="F54" i="37"/>
  <c r="H58" i="37"/>
  <c r="F58" i="37"/>
  <c r="H53" i="37"/>
  <c r="F53" i="37"/>
  <c r="H57" i="37"/>
  <c r="F57" i="37"/>
  <c r="H61" i="37"/>
  <c r="F61" i="37"/>
  <c r="H36" i="37"/>
  <c r="F36" i="37"/>
  <c r="H44" i="37"/>
  <c r="F44" i="37"/>
  <c r="H52" i="37"/>
  <c r="F52" i="37"/>
  <c r="H35" i="37"/>
  <c r="F35" i="37"/>
  <c r="H43" i="37"/>
  <c r="F43" i="37"/>
  <c r="H47" i="37"/>
  <c r="F47" i="37"/>
  <c r="H34" i="37"/>
  <c r="F34" i="37"/>
  <c r="H42" i="37"/>
  <c r="F42" i="37"/>
  <c r="H50" i="37"/>
  <c r="F50" i="37"/>
  <c r="H33" i="37"/>
  <c r="F33" i="37"/>
  <c r="H41" i="37"/>
  <c r="F41" i="37"/>
  <c r="H49" i="37"/>
  <c r="F49" i="37"/>
  <c r="H56" i="37"/>
  <c r="F56" i="37"/>
  <c r="H60" i="37"/>
  <c r="F60" i="37"/>
  <c r="H55" i="37"/>
  <c r="F55" i="37"/>
  <c r="H59" i="37"/>
  <c r="F59" i="37"/>
  <c r="H32" i="37"/>
  <c r="F32" i="37"/>
  <c r="H40" i="37"/>
  <c r="F40" i="37"/>
  <c r="H48" i="37"/>
  <c r="F48" i="37"/>
  <c r="H31" i="37"/>
  <c r="F31" i="37"/>
  <c r="H39" i="37"/>
  <c r="F39" i="37"/>
  <c r="E62" i="37"/>
  <c r="H51" i="37"/>
  <c r="F51" i="37"/>
  <c r="H33" i="36"/>
  <c r="F33" i="36"/>
  <c r="H41" i="36"/>
  <c r="F41" i="36"/>
  <c r="H49" i="36"/>
  <c r="F49" i="36"/>
  <c r="H30" i="36"/>
  <c r="F30" i="36"/>
  <c r="H38" i="36"/>
  <c r="F38" i="36"/>
  <c r="H46" i="36"/>
  <c r="F46" i="36"/>
  <c r="H54" i="36"/>
  <c r="F54" i="36"/>
  <c r="H58" i="36"/>
  <c r="F58" i="36"/>
  <c r="H55" i="36"/>
  <c r="F55" i="36"/>
  <c r="H59" i="36"/>
  <c r="F59" i="36"/>
  <c r="H31" i="36"/>
  <c r="F31" i="36"/>
  <c r="H39" i="36"/>
  <c r="F39" i="36"/>
  <c r="H47" i="36"/>
  <c r="F47" i="36"/>
  <c r="H28" i="36"/>
  <c r="F28" i="36"/>
  <c r="H36" i="36"/>
  <c r="F36" i="36"/>
  <c r="H44" i="36"/>
  <c r="F44" i="36"/>
  <c r="H52" i="36"/>
  <c r="F52" i="36"/>
  <c r="H37" i="36"/>
  <c r="F37" i="36"/>
  <c r="H45" i="36"/>
  <c r="F45" i="36"/>
  <c r="H53" i="36"/>
  <c r="F53" i="36"/>
  <c r="H34" i="36"/>
  <c r="F34" i="36"/>
  <c r="H42" i="36"/>
  <c r="F42" i="36"/>
  <c r="H50" i="36"/>
  <c r="F50" i="36"/>
  <c r="H56" i="36"/>
  <c r="F56" i="36"/>
  <c r="H60" i="36"/>
  <c r="F60" i="36"/>
  <c r="H57" i="36"/>
  <c r="F57" i="36"/>
  <c r="H61" i="36"/>
  <c r="F61" i="36"/>
  <c r="H35" i="36"/>
  <c r="F35" i="36"/>
  <c r="H43" i="36"/>
  <c r="F43" i="36"/>
  <c r="H51" i="36"/>
  <c r="F51" i="36"/>
  <c r="H32" i="36"/>
  <c r="F32" i="36"/>
  <c r="H40" i="36"/>
  <c r="F40" i="36"/>
  <c r="H48" i="36"/>
  <c r="F48" i="36"/>
  <c r="E62" i="36"/>
  <c r="H29" i="28"/>
  <c r="F29" i="28"/>
  <c r="H33" i="28"/>
  <c r="F33" i="28"/>
  <c r="H37" i="28"/>
  <c r="F37" i="28"/>
  <c r="H41" i="28"/>
  <c r="F41" i="28"/>
  <c r="H45" i="28"/>
  <c r="F45" i="28"/>
  <c r="H49" i="28"/>
  <c r="F49" i="28"/>
  <c r="H53" i="28"/>
  <c r="F53" i="28"/>
  <c r="H57" i="28"/>
  <c r="F57" i="28"/>
  <c r="H61" i="28"/>
  <c r="F61" i="28"/>
  <c r="H28" i="28"/>
  <c r="F28" i="28"/>
  <c r="H32" i="28"/>
  <c r="F32" i="28"/>
  <c r="H36" i="28"/>
  <c r="F36" i="28"/>
  <c r="H40" i="28"/>
  <c r="F40" i="28"/>
  <c r="H44" i="28"/>
  <c r="F44" i="28"/>
  <c r="H48" i="28"/>
  <c r="F48" i="28"/>
  <c r="H52" i="28"/>
  <c r="F52" i="28"/>
  <c r="H56" i="28"/>
  <c r="F56" i="28"/>
  <c r="H60" i="28"/>
  <c r="F60" i="28"/>
  <c r="H31" i="28"/>
  <c r="F31" i="28"/>
  <c r="H35" i="28"/>
  <c r="F35" i="28"/>
  <c r="H39" i="28"/>
  <c r="F39" i="28"/>
  <c r="H43" i="28"/>
  <c r="F43" i="28"/>
  <c r="H47" i="28"/>
  <c r="F47" i="28"/>
  <c r="H51" i="28"/>
  <c r="F51" i="28"/>
  <c r="H55" i="28"/>
  <c r="F55" i="28"/>
  <c r="H59" i="28"/>
  <c r="F59" i="28"/>
  <c r="H30" i="28"/>
  <c r="F30" i="28"/>
  <c r="H34" i="28"/>
  <c r="F34" i="28"/>
  <c r="H38" i="28"/>
  <c r="F38" i="28"/>
  <c r="H42" i="28"/>
  <c r="F42" i="28"/>
  <c r="H46" i="28"/>
  <c r="F46" i="28"/>
  <c r="H50" i="28"/>
  <c r="F50" i="28"/>
  <c r="H54" i="28"/>
  <c r="F54" i="28"/>
  <c r="H58" i="28"/>
  <c r="F58" i="28"/>
  <c r="E62" i="28"/>
  <c r="H62" i="28"/>
  <c r="H31" i="27"/>
  <c r="F31" i="27"/>
  <c r="H39" i="27"/>
  <c r="F39" i="27"/>
  <c r="H47" i="27"/>
  <c r="F47" i="27"/>
  <c r="H55" i="27"/>
  <c r="F55" i="27"/>
  <c r="H30" i="27"/>
  <c r="F30" i="27"/>
  <c r="H38" i="27"/>
  <c r="F38" i="27"/>
  <c r="H46" i="27"/>
  <c r="F46" i="27"/>
  <c r="H54" i="27"/>
  <c r="F54" i="27"/>
  <c r="H60" i="27"/>
  <c r="F60" i="27"/>
  <c r="H61" i="27"/>
  <c r="F61" i="27"/>
  <c r="H33" i="27"/>
  <c r="F33" i="27"/>
  <c r="H41" i="27"/>
  <c r="F41" i="27"/>
  <c r="H49" i="27"/>
  <c r="F49" i="27"/>
  <c r="H57" i="27"/>
  <c r="F57" i="27"/>
  <c r="H32" i="27"/>
  <c r="F32" i="27"/>
  <c r="H40" i="27"/>
  <c r="F40" i="27"/>
  <c r="H48" i="27"/>
  <c r="F48" i="27"/>
  <c r="H56" i="27"/>
  <c r="F56" i="27"/>
  <c r="H35" i="27"/>
  <c r="F35" i="27"/>
  <c r="H43" i="27"/>
  <c r="F43" i="27"/>
  <c r="H51" i="27"/>
  <c r="F51" i="27"/>
  <c r="H26" i="27"/>
  <c r="F26" i="27"/>
  <c r="H34" i="27"/>
  <c r="F34" i="27"/>
  <c r="H42" i="27"/>
  <c r="F42" i="27"/>
  <c r="H50" i="27"/>
  <c r="F50" i="27"/>
  <c r="H58" i="27"/>
  <c r="F58" i="27"/>
  <c r="H59" i="27"/>
  <c r="F59" i="27"/>
  <c r="H29" i="27"/>
  <c r="F29" i="27"/>
  <c r="H37" i="27"/>
  <c r="F37" i="27"/>
  <c r="H45" i="27"/>
  <c r="F45" i="27"/>
  <c r="H53" i="27"/>
  <c r="F53" i="27"/>
  <c r="H28" i="27"/>
  <c r="F28" i="27"/>
  <c r="H36" i="27"/>
  <c r="F36" i="27"/>
  <c r="H44" i="27"/>
  <c r="F44" i="27"/>
  <c r="H52" i="27"/>
  <c r="F52" i="27"/>
  <c r="E62" i="27"/>
  <c r="H28" i="26"/>
  <c r="F28" i="26"/>
  <c r="H40" i="26"/>
  <c r="F40" i="26"/>
  <c r="H52" i="26"/>
  <c r="F52" i="26"/>
  <c r="H60" i="26"/>
  <c r="F60" i="26"/>
  <c r="H31" i="26"/>
  <c r="F31" i="26"/>
  <c r="H39" i="26"/>
  <c r="F39" i="26"/>
  <c r="H47" i="26"/>
  <c r="F47" i="26"/>
  <c r="H55" i="26"/>
  <c r="F55" i="26"/>
  <c r="H61" i="26"/>
  <c r="F61" i="26"/>
  <c r="H34" i="26"/>
  <c r="F34" i="26"/>
  <c r="H32" i="26"/>
  <c r="F32" i="26"/>
  <c r="H44" i="26"/>
  <c r="F44" i="26"/>
  <c r="H54" i="26"/>
  <c r="F54" i="26"/>
  <c r="H25" i="26"/>
  <c r="F25" i="26"/>
  <c r="H33" i="26"/>
  <c r="F33" i="26"/>
  <c r="H41" i="26"/>
  <c r="F41" i="26"/>
  <c r="H49" i="26"/>
  <c r="F49" i="26"/>
  <c r="H57" i="26"/>
  <c r="F57" i="26"/>
  <c r="H42" i="26"/>
  <c r="F42" i="26"/>
  <c r="H36" i="26"/>
  <c r="F36" i="26"/>
  <c r="H46" i="26"/>
  <c r="F46" i="26"/>
  <c r="H56" i="26"/>
  <c r="F56" i="26"/>
  <c r="H27" i="26"/>
  <c r="F27" i="26"/>
  <c r="H35" i="26"/>
  <c r="F35" i="26"/>
  <c r="H43" i="26"/>
  <c r="F43" i="26"/>
  <c r="H51" i="26"/>
  <c r="F51" i="26"/>
  <c r="H59" i="26"/>
  <c r="F59" i="26"/>
  <c r="H26" i="26"/>
  <c r="F26" i="26"/>
  <c r="H48" i="26"/>
  <c r="F48" i="26"/>
  <c r="H38" i="26"/>
  <c r="F38" i="26"/>
  <c r="H50" i="26"/>
  <c r="F50" i="26"/>
  <c r="H58" i="26"/>
  <c r="F58" i="26"/>
  <c r="H29" i="26"/>
  <c r="F29" i="26"/>
  <c r="H37" i="26"/>
  <c r="F37" i="26"/>
  <c r="H45" i="26"/>
  <c r="F45" i="26"/>
  <c r="H53" i="26"/>
  <c r="F53" i="26"/>
  <c r="E62" i="26"/>
  <c r="E62" i="25"/>
  <c r="H28" i="25"/>
  <c r="F28" i="25"/>
  <c r="H36" i="25"/>
  <c r="F36" i="25"/>
  <c r="H44" i="25"/>
  <c r="F44" i="25"/>
  <c r="H52" i="25"/>
  <c r="F52" i="25"/>
  <c r="H60" i="25"/>
  <c r="F60" i="25"/>
  <c r="H31" i="25"/>
  <c r="F31" i="25"/>
  <c r="H39" i="25"/>
  <c r="F39" i="25"/>
  <c r="H47" i="25"/>
  <c r="F47" i="25"/>
  <c r="H55" i="25"/>
  <c r="F55" i="25"/>
  <c r="H30" i="25"/>
  <c r="F30" i="25"/>
  <c r="H38" i="25"/>
  <c r="F38" i="25"/>
  <c r="H46" i="25"/>
  <c r="F46" i="25"/>
  <c r="H54" i="25"/>
  <c r="F54" i="25"/>
  <c r="H25" i="25"/>
  <c r="F25" i="25"/>
  <c r="H33" i="25"/>
  <c r="F33" i="25"/>
  <c r="H41" i="25"/>
  <c r="F41" i="25"/>
  <c r="H49" i="25"/>
  <c r="F49" i="25"/>
  <c r="H57" i="25"/>
  <c r="F57" i="25"/>
  <c r="H32" i="25"/>
  <c r="F32" i="25"/>
  <c r="H40" i="25"/>
  <c r="F40" i="25"/>
  <c r="H48" i="25"/>
  <c r="F48" i="25"/>
  <c r="H56" i="25"/>
  <c r="F56" i="25"/>
  <c r="H27" i="25"/>
  <c r="F27" i="25"/>
  <c r="H35" i="25"/>
  <c r="F35" i="25"/>
  <c r="H43" i="25"/>
  <c r="F43" i="25"/>
  <c r="H51" i="25"/>
  <c r="F51" i="25"/>
  <c r="H59" i="25"/>
  <c r="F59" i="25"/>
  <c r="H26" i="25"/>
  <c r="F26" i="25"/>
  <c r="H34" i="25"/>
  <c r="F34" i="25"/>
  <c r="H42" i="25"/>
  <c r="F42" i="25"/>
  <c r="H50" i="25"/>
  <c r="F50" i="25"/>
  <c r="H58" i="25"/>
  <c r="F58" i="25"/>
  <c r="H29" i="25"/>
  <c r="H62" i="25" s="1"/>
  <c r="F29" i="25"/>
  <c r="H37" i="25"/>
  <c r="F37" i="25"/>
  <c r="H45" i="25"/>
  <c r="F45" i="25"/>
  <c r="H53" i="25"/>
  <c r="F53" i="25"/>
  <c r="H61" i="25"/>
  <c r="F61" i="25"/>
  <c r="F25" i="24"/>
  <c r="F41" i="24"/>
  <c r="F57" i="24"/>
  <c r="F33" i="24"/>
  <c r="F53" i="24"/>
  <c r="F29" i="24"/>
  <c r="F45" i="24"/>
  <c r="F61" i="24"/>
  <c r="H26" i="24"/>
  <c r="F26" i="24"/>
  <c r="H42" i="24"/>
  <c r="F42" i="24"/>
  <c r="H58" i="24"/>
  <c r="F58" i="24"/>
  <c r="H30" i="24"/>
  <c r="F30" i="24"/>
  <c r="H46" i="24"/>
  <c r="F46" i="24"/>
  <c r="H34" i="24"/>
  <c r="F34" i="24"/>
  <c r="H50" i="24"/>
  <c r="F50" i="24"/>
  <c r="H38" i="24"/>
  <c r="F38" i="24"/>
  <c r="H54" i="24"/>
  <c r="F54" i="24"/>
  <c r="H27" i="24"/>
  <c r="F27" i="24"/>
  <c r="H35" i="24"/>
  <c r="F35" i="24"/>
  <c r="H43" i="24"/>
  <c r="F43" i="24"/>
  <c r="H51" i="24"/>
  <c r="F51" i="24"/>
  <c r="H59" i="24"/>
  <c r="F59" i="24"/>
  <c r="H28" i="24"/>
  <c r="F28" i="24"/>
  <c r="H36" i="24"/>
  <c r="F36" i="24"/>
  <c r="H44" i="24"/>
  <c r="F44" i="24"/>
  <c r="H52" i="24"/>
  <c r="F52" i="24"/>
  <c r="H60" i="24"/>
  <c r="F60" i="24"/>
  <c r="H31" i="24"/>
  <c r="F31" i="24"/>
  <c r="H39" i="24"/>
  <c r="F39" i="24"/>
  <c r="H47" i="24"/>
  <c r="F47" i="24"/>
  <c r="H55" i="24"/>
  <c r="F55" i="24"/>
  <c r="H24" i="24"/>
  <c r="F24" i="24"/>
  <c r="H32" i="24"/>
  <c r="F32" i="24"/>
  <c r="H40" i="24"/>
  <c r="F40" i="24"/>
  <c r="H48" i="24"/>
  <c r="F48" i="24"/>
  <c r="H56" i="24"/>
  <c r="F56" i="24"/>
  <c r="E62" i="24"/>
  <c r="H26" i="23"/>
  <c r="F26" i="23"/>
  <c r="H34" i="23"/>
  <c r="F34" i="23"/>
  <c r="H42" i="23"/>
  <c r="F42" i="23"/>
  <c r="H50" i="23"/>
  <c r="F50" i="23"/>
  <c r="H58" i="23"/>
  <c r="F58" i="23"/>
  <c r="H27" i="23"/>
  <c r="F27" i="23"/>
  <c r="H35" i="23"/>
  <c r="F35" i="23"/>
  <c r="H43" i="23"/>
  <c r="F43" i="23"/>
  <c r="H51" i="23"/>
  <c r="F51" i="23"/>
  <c r="H59" i="23"/>
  <c r="F59" i="23"/>
  <c r="H24" i="23"/>
  <c r="F24" i="23"/>
  <c r="H32" i="23"/>
  <c r="F32" i="23"/>
  <c r="H40" i="23"/>
  <c r="F40" i="23"/>
  <c r="H48" i="23"/>
  <c r="F48" i="23"/>
  <c r="H56" i="23"/>
  <c r="F56" i="23"/>
  <c r="H25" i="23"/>
  <c r="F25" i="23"/>
  <c r="H33" i="23"/>
  <c r="F33" i="23"/>
  <c r="H41" i="23"/>
  <c r="F41" i="23"/>
  <c r="H49" i="23"/>
  <c r="F49" i="23"/>
  <c r="H57" i="23"/>
  <c r="F57" i="23"/>
  <c r="H30" i="23"/>
  <c r="F30" i="23"/>
  <c r="H38" i="23"/>
  <c r="F38" i="23"/>
  <c r="H46" i="23"/>
  <c r="F46" i="23"/>
  <c r="H54" i="23"/>
  <c r="F54" i="23"/>
  <c r="H23" i="23"/>
  <c r="F23" i="23"/>
  <c r="H31" i="23"/>
  <c r="F31" i="23"/>
  <c r="H39" i="23"/>
  <c r="F39" i="23"/>
  <c r="H47" i="23"/>
  <c r="F47" i="23"/>
  <c r="H55" i="23"/>
  <c r="F55" i="23"/>
  <c r="E62" i="23"/>
  <c r="H28" i="23"/>
  <c r="F28" i="23"/>
  <c r="H36" i="23"/>
  <c r="F36" i="23"/>
  <c r="H44" i="23"/>
  <c r="F44" i="23"/>
  <c r="H52" i="23"/>
  <c r="F52" i="23"/>
  <c r="H60" i="23"/>
  <c r="F60" i="23"/>
  <c r="H29" i="23"/>
  <c r="F29" i="23"/>
  <c r="H37" i="23"/>
  <c r="F37" i="23"/>
  <c r="H45" i="23"/>
  <c r="F45" i="23"/>
  <c r="H53" i="23"/>
  <c r="F53" i="23"/>
  <c r="H61" i="23"/>
  <c r="F61" i="23"/>
  <c r="H21" i="22"/>
  <c r="F21" i="22"/>
  <c r="E62" i="22"/>
  <c r="H62" i="17"/>
  <c r="F62" i="17"/>
  <c r="B68" i="17" s="1"/>
  <c r="B30" i="5" s="1"/>
  <c r="B68" i="15" l="1"/>
  <c r="B27" i="5" s="1"/>
  <c r="B68" i="16"/>
  <c r="B29" i="5" s="1"/>
  <c r="H62" i="48"/>
  <c r="B37" i="85"/>
  <c r="B38" i="85"/>
  <c r="F35" i="85"/>
  <c r="H62" i="11"/>
  <c r="F62" i="12"/>
  <c r="H62" i="10"/>
  <c r="B45" i="85"/>
  <c r="B46" i="85"/>
  <c r="F62" i="18"/>
  <c r="H62" i="18"/>
  <c r="F62" i="24"/>
  <c r="H62" i="52"/>
  <c r="E62" i="70"/>
  <c r="E63" i="70"/>
  <c r="L12" i="70" s="1"/>
  <c r="E3" i="114" s="1"/>
  <c r="L45" i="70"/>
  <c r="L46" i="70"/>
  <c r="L47" i="70"/>
  <c r="L48" i="70"/>
  <c r="L49" i="70"/>
  <c r="K45" i="70"/>
  <c r="K47" i="70"/>
  <c r="A28" i="85" s="1"/>
  <c r="K49" i="70"/>
  <c r="K46" i="70"/>
  <c r="K48" i="70"/>
  <c r="F62" i="10"/>
  <c r="B68" i="10" s="1"/>
  <c r="B23" i="5" s="1"/>
  <c r="F62" i="11"/>
  <c r="B68" i="11" s="1"/>
  <c r="B24" i="5" s="1"/>
  <c r="H62" i="12"/>
  <c r="F62" i="19"/>
  <c r="B68" i="19" s="1"/>
  <c r="B32" i="5" s="1"/>
  <c r="H62" i="19"/>
  <c r="F62" i="68"/>
  <c r="B68" i="68" s="1"/>
  <c r="B72" i="5" s="1"/>
  <c r="B68" i="67"/>
  <c r="B71" i="5" s="1"/>
  <c r="F62" i="66"/>
  <c r="B68" i="66" s="1"/>
  <c r="B70" i="5" s="1"/>
  <c r="H62" i="65"/>
  <c r="B68" i="65"/>
  <c r="B69" i="5" s="1"/>
  <c r="F62" i="64"/>
  <c r="B68" i="64" s="1"/>
  <c r="B68" i="5" s="1"/>
  <c r="F62" i="63"/>
  <c r="B68" i="63" s="1"/>
  <c r="B67" i="5" s="1"/>
  <c r="H62" i="62"/>
  <c r="F62" i="62"/>
  <c r="B68" i="62" s="1"/>
  <c r="B66" i="5" s="1"/>
  <c r="F62" i="61"/>
  <c r="B68" i="61" s="1"/>
  <c r="B65" i="5" s="1"/>
  <c r="F62" i="58"/>
  <c r="B68" i="58" s="1"/>
  <c r="B64" i="5" s="1"/>
  <c r="H62" i="57"/>
  <c r="F62" i="57"/>
  <c r="B68" i="57" s="1"/>
  <c r="B63" i="5" s="1"/>
  <c r="H62" i="56"/>
  <c r="F62" i="56"/>
  <c r="F62" i="55"/>
  <c r="B68" i="55" s="1"/>
  <c r="B61" i="5" s="1"/>
  <c r="F62" i="53"/>
  <c r="B68" i="53" s="1"/>
  <c r="B59" i="5" s="1"/>
  <c r="F62" i="52"/>
  <c r="B68" i="52" s="1"/>
  <c r="B58" i="5" s="1"/>
  <c r="F62" i="51"/>
  <c r="B68" i="51" s="1"/>
  <c r="B57" i="5" s="1"/>
  <c r="B68" i="50"/>
  <c r="B56" i="5" s="1"/>
  <c r="F62" i="49"/>
  <c r="B68" i="49" s="1"/>
  <c r="B55" i="5" s="1"/>
  <c r="F62" i="48"/>
  <c r="B68" i="48" s="1"/>
  <c r="B54" i="5" s="1"/>
  <c r="F62" i="47"/>
  <c r="B68" i="47" s="1"/>
  <c r="B53" i="5" s="1"/>
  <c r="F62" i="46"/>
  <c r="B68" i="46" s="1"/>
  <c r="B52" i="5" s="1"/>
  <c r="H62" i="45"/>
  <c r="F62" i="45"/>
  <c r="F62" i="44"/>
  <c r="B68" i="44" s="1"/>
  <c r="B50" i="5" s="1"/>
  <c r="F62" i="43"/>
  <c r="B68" i="43" s="1"/>
  <c r="B49" i="5" s="1"/>
  <c r="B68" i="42"/>
  <c r="B48" i="5" s="1"/>
  <c r="F62" i="41"/>
  <c r="H62" i="41"/>
  <c r="F62" i="40"/>
  <c r="B68" i="40" s="1"/>
  <c r="B46" i="5" s="1"/>
  <c r="F62" i="39"/>
  <c r="H62" i="39"/>
  <c r="B68" i="39" s="1"/>
  <c r="B45" i="5" s="1"/>
  <c r="H62" i="37"/>
  <c r="F62" i="37"/>
  <c r="H62" i="36"/>
  <c r="F62" i="36"/>
  <c r="F62" i="28"/>
  <c r="B68" i="28" s="1"/>
  <c r="B41" i="5" s="1"/>
  <c r="H62" i="27"/>
  <c r="F62" i="27"/>
  <c r="F62" i="26"/>
  <c r="H62" i="26"/>
  <c r="F62" i="25"/>
  <c r="B68" i="25" s="1"/>
  <c r="B38" i="5" s="1"/>
  <c r="H62" i="24"/>
  <c r="B68" i="24" s="1"/>
  <c r="B37" i="5" s="1"/>
  <c r="F62" i="23"/>
  <c r="H62" i="23"/>
  <c r="H62" i="22"/>
  <c r="F62" i="22"/>
  <c r="B68" i="45" l="1"/>
  <c r="B51" i="5" s="1"/>
  <c r="B68" i="18"/>
  <c r="B31" i="5" s="1"/>
  <c r="E48" i="85"/>
  <c r="A48" i="85"/>
  <c r="B68" i="12"/>
  <c r="B25" i="5" s="1"/>
  <c r="B68" i="56"/>
  <c r="B62" i="5" s="1"/>
  <c r="B68" i="41"/>
  <c r="B47" i="5" s="1"/>
  <c r="B68" i="37"/>
  <c r="B43" i="5" s="1"/>
  <c r="B68" i="36"/>
  <c r="B42" i="5" s="1"/>
  <c r="B68" i="27"/>
  <c r="B40" i="5" s="1"/>
  <c r="B68" i="26"/>
  <c r="B39" i="5" s="1"/>
  <c r="B68" i="23"/>
  <c r="B36" i="5" s="1"/>
  <c r="B68" i="22"/>
  <c r="B35" i="5" s="1"/>
</calcChain>
</file>

<file path=xl/sharedStrings.xml><?xml version="1.0" encoding="utf-8"?>
<sst xmlns="http://schemas.openxmlformats.org/spreadsheetml/2006/main" count="11231" uniqueCount="815">
  <si>
    <t>Год</t>
  </si>
  <si>
    <t>Месяц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</si>
  <si>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</si>
  <si>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</si>
  <si>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</si>
  <si>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</si>
  <si>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</si>
  <si>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</si>
  <si>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</si>
  <si>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</si>
  <si>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</si>
  <si>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</si>
  <si>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</si>
  <si>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</si>
  <si>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Поголовье птицы, тыс. голов</t>
  </si>
  <si>
    <t>Средняя цена на приобретённые с/х организациями автомобильный бензин и дизельное топливо, руб./т</t>
  </si>
  <si>
    <t>Средняя цена на приобретённую с/х организациями электроэнергию, руб./МВт.ч</t>
  </si>
  <si>
    <t>Индекс уверенности потребителя, %</t>
  </si>
  <si>
    <t>Средние потребительские цены на куры охлаждённые и мороженные, руб./кг</t>
  </si>
  <si>
    <t>Число торговых мест на рынке по продаже продуктов питания,тыс. мест</t>
  </si>
  <si>
    <t>Средние цены производителей с/х продукции, реализуемой с/х организациями (птица с/х в убойном весе), Руб./т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</si>
  <si>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</si>
  <si>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</si>
  <si>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</si>
  <si>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</si>
  <si>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</si>
  <si>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</si>
  <si>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</si>
  <si>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</si>
  <si>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</si>
  <si>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</si>
  <si>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</si>
  <si>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</si>
  <si>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</si>
  <si>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</si>
  <si>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</si>
  <si>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</si>
  <si>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</si>
  <si>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</si>
  <si>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</si>
  <si>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</si>
  <si>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</si>
  <si>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</si>
  <si>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90,0%</t>
  </si>
  <si>
    <t>Верхние 90,0%</t>
  </si>
  <si>
    <t xml:space="preserve">продукции, реализуемой с/х организациями (X1), поголовья птицы (X2), средней цены на приобретённые с/х организациями автомобильные бензин и дизельное </t>
  </si>
  <si>
    <t xml:space="preserve">топливо (X3), средней цены на приобретённую с/х организациями электроэнергию (Х4), индекса уверенности потребителя (Х5), числа торговых мест на рынке по </t>
  </si>
  <si>
    <t>продаже продуктов питания (Х6).</t>
  </si>
  <si>
    <t>Y</t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</si>
  <si>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</si>
  <si>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/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</si>
  <si>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/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</si>
  <si>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/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</si>
  <si>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/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</si>
  <si>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/>
    </r>
  </si>
  <si>
    <t xml:space="preserve">Проблема: Исследование зависимости средних потребительских цен в России на куры охлаждённые и мороженные (Y) от средних цен производителей с/х </t>
  </si>
  <si>
    <t xml:space="preserve">  Тема : Построение эконометрической модели и исследование проблемы автокорреляции (первого порядка) случайных отклонений с помощью тестов Бреуша-Годфри, </t>
  </si>
  <si>
    <t>ВЫВОД ОСТАТКА</t>
  </si>
  <si>
    <t>Наблюдение</t>
  </si>
  <si>
    <t>Остатки</t>
  </si>
  <si>
    <t>Стандартные остатки</t>
  </si>
  <si>
    <t>ВЫВОД ВЕРОЯТНОСТИ</t>
  </si>
  <si>
    <t>Персентиль</t>
  </si>
  <si>
    <t>Предсказанное Средние потребительские цены на куры охлаждённые и мороженные, руб./кг</t>
  </si>
  <si>
    <t>для прогноза</t>
  </si>
  <si>
    <t>Лаг</t>
  </si>
  <si>
    <t>Коэффициент автокорреляции уровней</t>
  </si>
  <si>
    <t>t</t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</si>
  <si>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</si>
  <si>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</si>
  <si>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</si>
  <si>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</si>
  <si>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</si>
  <si>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</si>
  <si>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</t>
    </r>
    <r>
      <rPr>
        <sz val="11"/>
        <color theme="1"/>
        <rFont val="Calibri"/>
        <family val="2"/>
        <charset val="204"/>
      </rPr>
      <t>)²</t>
    </r>
  </si>
  <si>
    <t>-</t>
  </si>
  <si>
    <t>СУММ</t>
  </si>
  <si>
    <t>СРЗНАЧ</t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</si>
  <si>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</si>
  <si>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</si>
  <si>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</si>
  <si>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</si>
  <si>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</si>
  <si>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</si>
  <si>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</si>
  <si>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</si>
  <si>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</si>
  <si>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</si>
  <si>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</si>
  <si>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</si>
  <si>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</si>
  <si>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</si>
  <si>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</si>
  <si>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</si>
  <si>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</si>
  <si>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</si>
  <si>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</si>
  <si>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</si>
  <si>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</si>
  <si>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</si>
  <si>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</si>
  <si>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</si>
  <si>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</si>
  <si>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</si>
  <si>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</si>
  <si>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</si>
  <si>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</si>
  <si>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</si>
  <si>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</si>
  <si>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</si>
  <si>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5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</si>
  <si>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</si>
  <si>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</si>
  <si>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</si>
  <si>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t-5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</si>
  <si>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</si>
  <si>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</t>
    </r>
    <r>
      <rPr>
        <sz val="11"/>
        <color theme="1"/>
        <rFont val="Calibri"/>
        <family val="2"/>
        <charset val="204"/>
      </rPr>
      <t>)²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</si>
  <si>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t-6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</si>
  <si>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</si>
  <si>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</si>
  <si>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t-6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</si>
  <si>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</si>
  <si>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12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</si>
  <si>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</si>
  <si>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12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</si>
  <si>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6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</si>
  <si>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</si>
  <si>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</si>
  <si>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</si>
  <si>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t-7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</si>
  <si>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</si>
  <si>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</si>
  <si>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</si>
  <si>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</si>
  <si>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7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</si>
  <si>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t-8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</si>
  <si>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</si>
  <si>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</si>
  <si>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t-8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</si>
  <si>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</si>
  <si>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</si>
  <si>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</si>
  <si>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</si>
  <si>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8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</si>
  <si>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</si>
  <si>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</si>
  <si>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</si>
  <si>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t-9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</si>
  <si>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</si>
  <si>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</si>
  <si>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</si>
  <si>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</si>
  <si>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9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</si>
  <si>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t-10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</si>
  <si>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</si>
  <si>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20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</si>
  <si>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t-10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20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</si>
  <si>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</si>
  <si>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20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</si>
  <si>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</si>
  <si>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</si>
  <si>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10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</si>
  <si>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</si>
  <si>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</si>
  <si>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</si>
  <si>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t-11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22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</si>
  <si>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</si>
  <si>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22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</si>
  <si>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</si>
  <si>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22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</si>
  <si>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</si>
  <si>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t-12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</si>
  <si>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</si>
  <si>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</si>
  <si>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t-12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24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</si>
  <si>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</si>
  <si>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</si>
  <si>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</si>
  <si>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</si>
  <si>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12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</si>
  <si>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</si>
  <si>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</si>
  <si>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13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</si>
  <si>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</si>
  <si>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</si>
  <si>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</si>
  <si>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t-13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26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</si>
  <si>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</si>
  <si>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</si>
  <si>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</si>
  <si>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</si>
  <si>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14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</si>
  <si>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t-14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</si>
  <si>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</si>
  <si>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</si>
  <si>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t-14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28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</si>
  <si>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</si>
  <si>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</si>
  <si>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</si>
  <si>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</si>
  <si>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15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</si>
  <si>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16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</si>
  <si>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</si>
  <si>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32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</si>
  <si>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</si>
  <si>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</si>
  <si>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30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</si>
  <si>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t-15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30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</si>
  <si>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29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</si>
  <si>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30</t>
    </r>
    <r>
      <rPr>
        <sz val="11"/>
        <color theme="1"/>
        <rFont val="Calibri"/>
        <family val="2"/>
        <charset val="204"/>
      </rPr>
      <t>)²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</si>
  <si>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t-16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</si>
  <si>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32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</si>
  <si>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31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</si>
  <si>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t-16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32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</si>
  <si>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</si>
  <si>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32</t>
    </r>
    <r>
      <rPr>
        <sz val="11"/>
        <color theme="1"/>
        <rFont val="Calibri"/>
        <family val="2"/>
        <charset val="204"/>
      </rPr>
      <t>)²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</si>
  <si>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</si>
  <si>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</si>
  <si>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</si>
  <si>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t-17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34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</si>
  <si>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</si>
  <si>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</si>
  <si>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</si>
  <si>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</si>
  <si>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17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</si>
  <si>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t-18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</si>
  <si>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</si>
  <si>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</si>
  <si>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t-18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36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</si>
  <si>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</si>
  <si>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</si>
  <si>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</si>
  <si>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</si>
  <si>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18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</si>
  <si>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t-19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</si>
  <si>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</si>
  <si>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t-19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</si>
  <si>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t-19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38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</si>
  <si>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t-19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</si>
  <si>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</si>
  <si>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</si>
  <si>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19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</si>
  <si>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t-20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</si>
  <si>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</si>
  <si>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40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</si>
  <si>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t-20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40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</si>
  <si>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</si>
  <si>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40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</si>
  <si>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39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</si>
  <si>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</si>
  <si>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20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</si>
  <si>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</si>
  <si>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</si>
  <si>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</si>
  <si>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t-21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42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</si>
  <si>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42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</si>
  <si>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</si>
  <si>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42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</si>
  <si>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</si>
  <si>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t-22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</si>
  <si>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</si>
  <si>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</si>
  <si>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t-22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44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</si>
  <si>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</si>
  <si>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</si>
  <si>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44</t>
    </r>
    <r>
      <rPr>
        <sz val="11"/>
        <color theme="1"/>
        <rFont val="Calibri"/>
        <family val="2"/>
        <charset val="204"/>
      </rPr>
      <t>)²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</si>
  <si>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</si>
  <si>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</si>
  <si>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</si>
  <si>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t-23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46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</si>
  <si>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</si>
  <si>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46</t>
    </r>
    <r>
      <rPr>
        <sz val="11"/>
        <color theme="1"/>
        <rFont val="Calibri"/>
        <family val="2"/>
        <charset val="204"/>
      </rPr>
      <t>)²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</si>
  <si>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t-24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</si>
  <si>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</si>
  <si>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</si>
  <si>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t-24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48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</si>
  <si>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</si>
  <si>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</si>
  <si>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</si>
  <si>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</si>
  <si>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22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</si>
  <si>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</si>
  <si>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</si>
  <si>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</si>
  <si>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</si>
  <si>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</si>
  <si>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24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</si>
  <si>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</si>
  <si>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</si>
  <si>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50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</si>
  <si>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t-25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50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</si>
  <si>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</si>
  <si>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50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</si>
  <si>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49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</si>
  <si>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</si>
  <si>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25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</si>
  <si>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t-26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</si>
  <si>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</si>
  <si>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</si>
  <si>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t-26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52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</si>
  <si>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</si>
  <si>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52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</si>
  <si>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</si>
  <si>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52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</si>
  <si>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26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</si>
  <si>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</si>
  <si>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</si>
  <si>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</si>
  <si>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t-27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54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</si>
  <si>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</si>
  <si>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</si>
  <si>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</si>
  <si>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27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</si>
  <si>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t-28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</si>
  <si>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</si>
  <si>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</si>
  <si>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t-28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56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</si>
  <si>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</si>
  <si>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</si>
  <si>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</si>
  <si>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</si>
  <si>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28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</si>
  <si>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</si>
  <si>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</si>
  <si>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t-29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</si>
  <si>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t-29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58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</si>
  <si>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</si>
  <si>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t-29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</si>
  <si>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</si>
  <si>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</si>
  <si>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29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</si>
  <si>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t-30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</si>
  <si>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</si>
  <si>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60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</si>
  <si>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t-30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60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</si>
  <si>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</si>
  <si>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60</t>
    </r>
    <r>
      <rPr>
        <sz val="11"/>
        <color theme="1"/>
        <rFont val="Calibri"/>
        <family val="2"/>
        <charset val="204"/>
      </rPr>
      <t>)²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</si>
  <si>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</si>
  <si>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</si>
  <si>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</si>
  <si>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t-31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62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</si>
  <si>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</si>
  <si>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62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</si>
  <si>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59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</si>
  <si>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</si>
  <si>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30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</si>
  <si>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</si>
  <si>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62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</si>
  <si>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</si>
  <si>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t-32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</si>
  <si>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</si>
  <si>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</si>
  <si>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t-32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64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</si>
  <si>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</si>
  <si>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</si>
  <si>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</si>
  <si>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</si>
  <si>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32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</si>
  <si>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</si>
  <si>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</si>
  <si>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</si>
  <si>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t-33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66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</si>
  <si>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</si>
  <si>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</si>
  <si>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</si>
  <si>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</si>
  <si>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33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</si>
  <si>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t-34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</si>
  <si>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</si>
  <si>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</si>
  <si>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t-34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68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</si>
  <si>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</si>
  <si>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</si>
  <si>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</si>
  <si>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</si>
  <si>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34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</si>
  <si>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</si>
  <si>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</si>
  <si>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70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</si>
  <si>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t-35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70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</si>
  <si>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</si>
  <si>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70</t>
    </r>
    <r>
      <rPr>
        <sz val="11"/>
        <color theme="1"/>
        <rFont val="Calibri"/>
        <family val="2"/>
        <charset val="204"/>
      </rPr>
      <t>)²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</si>
  <si>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t-36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</si>
  <si>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72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</si>
  <si>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</si>
  <si>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t-36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72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</si>
  <si>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</si>
  <si>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72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</si>
  <si>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69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</si>
  <si>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</si>
  <si>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</si>
  <si>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</si>
  <si>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72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</si>
  <si>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</si>
  <si>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</si>
  <si>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</si>
  <si>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t-37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74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</si>
  <si>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</si>
  <si>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</si>
  <si>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</si>
  <si>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</si>
  <si>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37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</si>
  <si>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36</t>
    </r>
  </si>
  <si>
    <t>Анализ коррелограммы позволяет сделать вывод об отсутствии в изучаемом временном ряде сезонных колебаний.</t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</si>
  <si>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t-38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</si>
  <si>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</si>
  <si>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</si>
  <si>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t-38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76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</si>
  <si>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</si>
  <si>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</si>
  <si>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</si>
  <si>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</si>
  <si>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38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</si>
  <si>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t-39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</si>
  <si>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</si>
  <si>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t-39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</si>
  <si>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t-39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78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</si>
  <si>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</si>
  <si>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t-39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77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</si>
  <si>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</si>
  <si>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</si>
  <si>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39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</si>
  <si>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t-40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</si>
  <si>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80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</si>
  <si>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79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</si>
  <si>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t-40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80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</si>
  <si>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</si>
  <si>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80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</si>
  <si>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79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</si>
  <si>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</si>
  <si>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40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</si>
  <si>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</si>
  <si>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</si>
  <si>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</si>
  <si>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t-41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82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</si>
  <si>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</si>
  <si>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82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</si>
  <si>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</si>
  <si>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82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</si>
  <si>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</si>
  <si>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t-42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</si>
  <si>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</si>
  <si>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</si>
  <si>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t-42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84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</si>
  <si>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</si>
  <si>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</si>
  <si>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</si>
  <si>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</si>
  <si>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42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</si>
  <si>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</si>
  <si>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</si>
  <si>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</si>
  <si>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t-43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86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</si>
  <si>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</si>
  <si>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</si>
  <si>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</si>
  <si>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</si>
  <si>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43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</si>
  <si>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</si>
  <si>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t-44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88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</si>
  <si>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</si>
  <si>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</si>
  <si>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</si>
  <si>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</si>
  <si>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44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</si>
  <si>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</si>
  <si>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</si>
  <si>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</si>
  <si>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90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</si>
  <si>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</si>
  <si>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t-45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90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</si>
  <si>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</si>
  <si>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t-45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90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</si>
  <si>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89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</si>
  <si>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</si>
  <si>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45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</si>
  <si>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t-46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</si>
  <si>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</si>
  <si>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</si>
  <si>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t-46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92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</si>
  <si>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</si>
  <si>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t-46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92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</si>
  <si>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</si>
  <si>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92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</si>
  <si>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46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</si>
  <si>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</si>
  <si>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</si>
  <si>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</si>
  <si>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t-47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94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</si>
  <si>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</si>
  <si>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t-47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</si>
  <si>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</si>
  <si>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</si>
  <si>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47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</si>
  <si>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t-48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</si>
  <si>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</si>
  <si>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</si>
  <si>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t-48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96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</si>
  <si>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</si>
  <si>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t-48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</si>
  <si>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</si>
  <si>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</si>
  <si>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48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</si>
  <si>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t-49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</si>
  <si>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t-49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</si>
  <si>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t-49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98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</si>
  <si>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</si>
  <si>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t-49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</si>
  <si>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</si>
  <si>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</si>
  <si>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49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</si>
  <si>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t-50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</si>
  <si>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</si>
  <si>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99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</si>
  <si>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t-50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100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</si>
  <si>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99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t-50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100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</si>
  <si>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99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</si>
  <si>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t-50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100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</si>
  <si>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99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</si>
  <si>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100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</si>
  <si>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50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</si>
  <si>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t-51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</si>
  <si>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101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</si>
  <si>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t-51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102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</si>
  <si>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101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t-51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102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</si>
  <si>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101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</si>
  <si>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t-51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102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</si>
  <si>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101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</si>
  <si>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102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</si>
  <si>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51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</si>
  <si>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t-52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</si>
  <si>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</si>
  <si>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t-52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104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</si>
  <si>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103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t-52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104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</si>
  <si>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103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</si>
  <si>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t-52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104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</si>
  <si>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103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</si>
  <si>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104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</si>
  <si>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52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</si>
  <si>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t-53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</si>
  <si>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105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</si>
  <si>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t-53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106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</si>
  <si>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105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t-53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106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</si>
  <si>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105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</si>
  <si>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t-53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106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</si>
  <si>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105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</si>
  <si>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106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</si>
  <si>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53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</si>
  <si>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t-54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</si>
  <si>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107</t>
    </r>
  </si>
  <si>
    <r>
      <t>у</t>
    </r>
    <r>
      <rPr>
        <vertAlign val="subscript"/>
        <sz val="11"/>
        <color theme="1"/>
        <rFont val="Calibri"/>
        <family val="2"/>
        <charset val="204"/>
        <scheme val="minor"/>
      </rPr>
      <t>t-54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108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</si>
  <si>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107</t>
    </r>
    <r>
      <rPr>
        <sz val="11"/>
        <color theme="1"/>
        <rFont val="Calibri"/>
        <family val="2"/>
        <charset val="204"/>
      </rPr>
      <t>)x(у</t>
    </r>
    <r>
      <rPr>
        <vertAlign val="subscript"/>
        <sz val="11"/>
        <color theme="1"/>
        <rFont val="Calibri"/>
        <family val="2"/>
        <charset val="204"/>
      </rPr>
      <t>t-54</t>
    </r>
    <r>
      <rPr>
        <sz val="11"/>
        <color theme="1"/>
        <rFont val="Calibri"/>
        <family val="2"/>
        <charset val="204"/>
      </rPr>
      <t>-y̅</t>
    </r>
    <r>
      <rPr>
        <vertAlign val="subscript"/>
        <sz val="11"/>
        <color theme="1"/>
        <rFont val="Calibri"/>
        <family val="2"/>
        <charset val="204"/>
      </rPr>
      <t>108</t>
    </r>
    <r>
      <rPr>
        <sz val="11"/>
        <color theme="1"/>
        <rFont val="Calibri"/>
        <family val="2"/>
        <charset val="204"/>
      </rPr>
      <t>)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</si>
  <si>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107</t>
    </r>
    <r>
      <rPr>
        <sz val="11"/>
        <color theme="1"/>
        <rFont val="Calibri"/>
        <family val="2"/>
        <charset val="204"/>
      </rPr>
      <t>)²</t>
    </r>
  </si>
  <si>
    <r>
      <t>(у</t>
    </r>
    <r>
      <rPr>
        <vertAlign val="subscript"/>
        <sz val="11"/>
        <color theme="1"/>
        <rFont val="Calibri"/>
        <family val="2"/>
        <charset val="204"/>
        <scheme val="minor"/>
      </rPr>
      <t>t-54</t>
    </r>
    <r>
      <rPr>
        <sz val="11"/>
        <color theme="1"/>
        <rFont val="Calibri"/>
        <family val="2"/>
        <charset val="204"/>
        <scheme val="minor"/>
      </rPr>
      <t>-y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108</t>
    </r>
    <r>
      <rPr>
        <sz val="11"/>
        <color theme="1"/>
        <rFont val="Calibri"/>
        <family val="2"/>
        <charset val="204"/>
      </rPr>
      <t>)²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</si>
  <si>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107</t>
    </r>
  </si>
  <si>
    <r>
      <t>у</t>
    </r>
    <r>
      <rPr>
        <sz val="11"/>
        <color theme="1"/>
        <rFont val="Calibri"/>
        <family val="2"/>
        <charset val="204"/>
      </rPr>
      <t>̅</t>
    </r>
    <r>
      <rPr>
        <vertAlign val="subscript"/>
        <sz val="11"/>
        <color theme="1"/>
        <rFont val="Calibri"/>
        <family val="2"/>
        <charset val="204"/>
      </rPr>
      <t>108</t>
    </r>
  </si>
  <si>
    <r>
      <t>r</t>
    </r>
    <r>
      <rPr>
        <vertAlign val="subscript"/>
        <sz val="11"/>
        <color theme="1"/>
        <rFont val="Calibri"/>
        <family val="2"/>
        <charset val="204"/>
        <scheme val="minor"/>
      </rPr>
      <t>54</t>
    </r>
  </si>
  <si>
    <t>Можно заметить, что значения образуют 
волнообразную фигуру.</t>
  </si>
  <si>
    <t xml:space="preserve"> 1.1.  Построим график исходных уровней временного ряда, </t>
  </si>
  <si>
    <t>из которого можно заметить, что значения образуют волнообразную фигуру.</t>
  </si>
  <si>
    <t>Рассчитаем коэффициенты автокорреляции.</t>
  </si>
  <si>
    <t xml:space="preserve"> 1.2. Для подтверждения или провержения выводов о наличии сезонности рассчитаем последовательные значения автокорреляции</t>
  </si>
  <si>
    <t>и построим коррелограмму</t>
  </si>
  <si>
    <t>что говорит о том, этот ряд содержит только тенденцию.</t>
  </si>
  <si>
    <t xml:space="preserve">   Коррелограмма показывает отсутствие сезонной компоненты в исходном временном ряде (первый лаг имеет самое большое значение),</t>
  </si>
  <si>
    <t>y</t>
  </si>
  <si>
    <t>b</t>
  </si>
  <si>
    <t>a</t>
  </si>
  <si>
    <r>
      <rPr>
        <sz val="11"/>
        <color theme="1"/>
        <rFont val="Calibri"/>
        <family val="2"/>
        <charset val="204"/>
      </rPr>
      <t>ŷ</t>
    </r>
    <r>
      <rPr>
        <vertAlign val="subscript"/>
        <sz val="11"/>
        <color theme="1"/>
        <rFont val="Calibri"/>
        <family val="2"/>
        <charset val="204"/>
      </rPr>
      <t>t</t>
    </r>
  </si>
  <si>
    <t>Нижние 95,0%</t>
  </si>
  <si>
    <t>Верхние 95,0%</t>
  </si>
  <si>
    <t>Предсказанное y</t>
  </si>
  <si>
    <t>Результаты аналитического выравнивания следующие:</t>
  </si>
  <si>
    <r>
      <t xml:space="preserve">Шаг 2.  </t>
    </r>
    <r>
      <rPr>
        <sz val="11"/>
        <color theme="1"/>
        <rFont val="Calibri"/>
        <family val="2"/>
        <charset val="204"/>
        <scheme val="minor"/>
      </rPr>
      <t>Определим компоненту T данной модели.</t>
    </r>
  </si>
  <si>
    <t xml:space="preserve"> T = 0,6397t + 102,05</t>
  </si>
  <si>
    <t>Х1</t>
  </si>
  <si>
    <t>ɛ</t>
  </si>
  <si>
    <t>Т=0,64t+102,05</t>
  </si>
  <si>
    <t>В нём рассматривается авторегрессия остатков на их лаговые значения.</t>
  </si>
  <si>
    <t>&lt;</t>
  </si>
  <si>
    <t>&gt;</t>
  </si>
  <si>
    <t>χ²</t>
  </si>
  <si>
    <t>Построим с помощью функции ЛИНЕЙН вспомогательную модель по Y=ɛ, X=ɛt-1</t>
  </si>
  <si>
    <t>Получили следующие значения</t>
  </si>
  <si>
    <t xml:space="preserve"> =&gt; Гипотеза об отсутствии автокорреляции остатков отвергается</t>
  </si>
  <si>
    <t>Этот метод основан на определении знаков отклонений</t>
  </si>
  <si>
    <t>Получили следующее распределение знаков</t>
  </si>
  <si>
    <r>
      <t>n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</si>
  <si>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t>n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/>
    </r>
  </si>
  <si>
    <t>k</t>
  </si>
  <si>
    <t>n</t>
  </si>
  <si>
    <t>Рассчитаем M(k) и D(k) по формулам</t>
  </si>
  <si>
    <t>M(k)</t>
  </si>
  <si>
    <t>D(k)</t>
  </si>
  <si>
    <t>Рассчитаем доверительный интервал для k</t>
  </si>
  <si>
    <t>Значение k не попадает в доверительный интервал, следовательно предположение о наличии положительной автокорреляции принимается.</t>
  </si>
  <si>
    <t>DW</t>
  </si>
  <si>
    <t>Для вычисления статистики воспользуемся формулой</t>
  </si>
  <si>
    <r>
      <t>d</t>
    </r>
    <r>
      <rPr>
        <vertAlign val="subscript"/>
        <sz val="11"/>
        <color theme="1"/>
        <rFont val="Calibri"/>
        <family val="2"/>
        <charset val="204"/>
        <scheme val="minor"/>
      </rPr>
      <t>l</t>
    </r>
  </si>
  <si>
    <r>
      <t>d</t>
    </r>
    <r>
      <rPr>
        <vertAlign val="subscript"/>
        <sz val="11"/>
        <color theme="1"/>
        <rFont val="Calibri"/>
        <family val="2"/>
        <charset val="204"/>
        <scheme val="minor"/>
      </rPr>
      <t>u</t>
    </r>
  </si>
  <si>
    <t xml:space="preserve"> =&gt; Сущуствует положительная автокорреляция</t>
  </si>
  <si>
    <t>Сведа-Эйзенхарта и статистики Дарбина-Уотсона.</t>
  </si>
  <si>
    <t>Проверка выполнения предпосылок МНК:</t>
  </si>
  <si>
    <t>2) Значение ячейки D63=0, т.е. средняя величина остатков равна 0 и не зависит от Xi.</t>
  </si>
  <si>
    <t>Для проверки 5-ой предпосылки МНК</t>
  </si>
  <si>
    <r>
      <t xml:space="preserve"> r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ɛiɛj </t>
    </r>
  </si>
  <si>
    <t>5)Нанесенные на график проверки распределения на нормальность точки укладываются вдоль линии тренда,</t>
  </si>
  <si>
    <t>поэтому остатки  подчинены нормальному распределению.</t>
  </si>
  <si>
    <t>Накопленная частость</t>
  </si>
  <si>
    <t>Квантили стандартного нормального распределения</t>
  </si>
  <si>
    <r>
      <t>F</t>
    </r>
    <r>
      <rPr>
        <vertAlign val="subscript"/>
        <sz val="11"/>
        <color theme="1"/>
        <rFont val="Calibri"/>
        <family val="2"/>
        <charset val="204"/>
        <scheme val="minor"/>
      </rPr>
      <t>факт</t>
    </r>
  </si>
  <si>
    <r>
      <t>F</t>
    </r>
    <r>
      <rPr>
        <vertAlign val="subscript"/>
        <sz val="11"/>
        <color theme="1"/>
        <rFont val="Calibri"/>
        <family val="2"/>
        <charset val="204"/>
        <scheme val="minor"/>
      </rPr>
      <t>табл</t>
    </r>
  </si>
  <si>
    <r>
      <t>t</t>
    </r>
    <r>
      <rPr>
        <vertAlign val="subscript"/>
        <sz val="11"/>
        <color theme="1"/>
        <rFont val="Calibri"/>
        <family val="2"/>
        <charset val="204"/>
        <scheme val="minor"/>
      </rPr>
      <t>a</t>
    </r>
  </si>
  <si>
    <r>
      <t>t</t>
    </r>
    <r>
      <rPr>
        <vertAlign val="subscript"/>
        <sz val="11"/>
        <color theme="1"/>
        <rFont val="Calibri"/>
        <family val="2"/>
        <charset val="204"/>
        <scheme val="minor"/>
      </rPr>
      <t>b</t>
    </r>
  </si>
  <si>
    <r>
      <t>t</t>
    </r>
    <r>
      <rPr>
        <vertAlign val="subscript"/>
        <sz val="11"/>
        <color theme="1"/>
        <rFont val="Calibri"/>
        <family val="2"/>
        <charset val="204"/>
        <scheme val="minor"/>
      </rPr>
      <t>табл</t>
    </r>
  </si>
  <si>
    <t xml:space="preserve"> =&gt; Как уравнение регрессии в целом, </t>
  </si>
  <si>
    <t>так и его коэффициенты статистически значимы</t>
  </si>
  <si>
    <r>
      <t>r²</t>
    </r>
    <r>
      <rPr>
        <vertAlign val="subscript"/>
        <sz val="11"/>
        <color theme="1"/>
        <rFont val="Calibri"/>
        <family val="2"/>
        <charset val="204"/>
      </rPr>
      <t>xy</t>
    </r>
  </si>
  <si>
    <t xml:space="preserve"> вариации результирующего показателя. </t>
  </si>
  <si>
    <r>
      <rPr>
        <sz val="11"/>
        <color theme="1"/>
        <rFont val="Calibri"/>
        <family val="2"/>
        <charset val="204"/>
      </rPr>
      <t xml:space="preserve"> =&gt;</t>
    </r>
    <r>
      <rPr>
        <sz val="11"/>
        <color theme="1"/>
        <rFont val="Calibri"/>
        <family val="2"/>
        <charset val="204"/>
        <scheme val="minor"/>
      </rPr>
      <t xml:space="preserve"> Уравнением регрессии объясняется 68%</t>
    </r>
  </si>
  <si>
    <t>А</t>
  </si>
  <si>
    <r>
      <t>A</t>
    </r>
    <r>
      <rPr>
        <sz val="11"/>
        <color theme="1"/>
        <rFont val="Calibri"/>
        <family val="2"/>
        <charset val="204"/>
      </rPr>
      <t>̅</t>
    </r>
  </si>
  <si>
    <t xml:space="preserve"> =&gt; Качество уравнения хорошее</t>
  </si>
  <si>
    <t xml:space="preserve">Этап 1. </t>
  </si>
  <si>
    <r>
      <t>Исследуеем временной ряд Y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t </t>
    </r>
    <r>
      <rPr>
        <sz val="11"/>
        <color theme="1"/>
        <rFont val="Calibri"/>
        <family val="2"/>
        <charset val="204"/>
        <scheme val="minor"/>
      </rPr>
      <t>на наличие сезонных колебаний и характер тенденции.</t>
    </r>
  </si>
  <si>
    <r>
      <rPr>
        <b/>
        <sz val="11"/>
        <color theme="1"/>
        <rFont val="Calibri"/>
        <family val="2"/>
        <charset val="204"/>
        <scheme val="minor"/>
      </rPr>
      <t xml:space="preserve">   Шаг 1.</t>
    </r>
    <r>
      <rPr>
        <sz val="11"/>
        <color theme="1"/>
        <rFont val="Calibri"/>
        <family val="2"/>
        <scheme val="minor"/>
      </rPr>
      <t xml:space="preserve"> Исследуем исходный временной ряд на наличие сезонных колебаний</t>
    </r>
  </si>
  <si>
    <r>
      <t>Будем сторить аддитивную модель временного ряда, то есть модель вида  Y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=T+E, так как значение сезонной компоненты постоянно и равно 0 для различных циклов.</t>
    </r>
  </si>
  <si>
    <t xml:space="preserve"> -</t>
  </si>
  <si>
    <t xml:space="preserve"> +</t>
  </si>
  <si>
    <t>4) Коэффициент корреляции rɛiɛj  существенно отличен от 0, что говорит о наличии автокорреляции остатков.</t>
  </si>
  <si>
    <t xml:space="preserve">3) Наличие гомоскедастичности можно видеть на графике зависимости остатков ɛi от теоретических значений Ŷₓ. </t>
  </si>
  <si>
    <t>1) Из графика зависимости случайных остатков ɛi от теоретического Ŷₓ видно, что остатки неслучайны.</t>
  </si>
  <si>
    <r>
      <rPr>
        <sz val="11"/>
        <color theme="1"/>
        <rFont val="Calibri"/>
        <family val="2"/>
        <charset val="204"/>
      </rPr>
      <t>ɛ</t>
    </r>
    <r>
      <rPr>
        <sz val="11"/>
        <color theme="1"/>
        <rFont val="Calibri"/>
        <family val="2"/>
        <charset val="204"/>
        <scheme val="minor"/>
      </rPr>
      <t xml:space="preserve"> (сортировка)</t>
    </r>
  </si>
  <si>
    <t>2) Значение ячейки E63=0, т.е. средняя величина остатков равна 0 и не зависит от Xi.</t>
  </si>
  <si>
    <t>Вспомогательня функция</t>
  </si>
  <si>
    <r>
      <t>BG ((n-1)</t>
    </r>
    <r>
      <rPr>
        <sz val="11"/>
        <color theme="1"/>
        <rFont val="Calibri"/>
        <family val="2"/>
        <charset val="204"/>
      </rPr>
      <t>∙r²)</t>
    </r>
  </si>
  <si>
    <t xml:space="preserve"> - </t>
  </si>
  <si>
    <t>Всего</t>
  </si>
  <si>
    <t>При значении коэффициента автокорреляциии первого порядка равному 1,</t>
  </si>
  <si>
    <t>критерий Дарбина-Уотсона равен 0, что говорит о полной положительной автокорреляции остатков.</t>
  </si>
  <si>
    <r>
      <t xml:space="preserve">Шаг 3.  </t>
    </r>
    <r>
      <rPr>
        <sz val="11"/>
        <color theme="1"/>
        <rFont val="Calibri"/>
        <family val="2"/>
        <charset val="204"/>
        <scheme val="minor"/>
      </rPr>
      <t>Исследуем проблему автокорреляции (первого порядка) случайных отклонений с помощью теста Бреуша-Годфри</t>
    </r>
  </si>
  <si>
    <r>
      <t xml:space="preserve">Шаг 4.  </t>
    </r>
    <r>
      <rPr>
        <sz val="11"/>
        <color theme="1"/>
        <rFont val="Calibri"/>
        <family val="2"/>
        <charset val="204"/>
        <scheme val="minor"/>
      </rPr>
      <t>Исследуем проблему автокорреляции (первого порядка) случайных отклонений с помощью теста Сведа-Эйзенхарта</t>
    </r>
  </si>
  <si>
    <r>
      <t xml:space="preserve">Шаг 5.  </t>
    </r>
    <r>
      <rPr>
        <sz val="11"/>
        <color theme="1"/>
        <rFont val="Calibri"/>
        <family val="2"/>
        <charset val="204"/>
        <scheme val="minor"/>
      </rPr>
      <t>Исследуем проблему автокорреляции (первого порядка) случайных отклонений с помощью  статистики Дарбина-Уотсона</t>
    </r>
  </si>
  <si>
    <t>Этап 2.</t>
  </si>
  <si>
    <r>
      <t>Исследуем зависимость Y от X</t>
    </r>
    <r>
      <rPr>
        <vertAlign val="subscript"/>
        <sz val="11"/>
        <rFont val="Calibri"/>
        <family val="2"/>
        <charset val="204"/>
        <scheme val="minor"/>
      </rPr>
      <t>1</t>
    </r>
  </si>
  <si>
    <r>
      <rPr>
        <b/>
        <sz val="11"/>
        <color theme="1"/>
        <rFont val="Calibri"/>
        <family val="2"/>
        <charset val="204"/>
        <scheme val="minor"/>
      </rPr>
      <t>Шаг 1.</t>
    </r>
    <r>
      <rPr>
        <sz val="11"/>
        <color theme="1"/>
        <rFont val="Calibri"/>
        <family val="2"/>
        <scheme val="minor"/>
      </rPr>
      <t xml:space="preserve"> Построим уравнение регрессии и проверим выпонение предпосылок МНК</t>
    </r>
  </si>
  <si>
    <r>
      <t>ŷ</t>
    </r>
    <r>
      <rPr>
        <vertAlign val="subscript"/>
        <sz val="11"/>
        <color theme="1"/>
        <rFont val="Calibri"/>
        <family val="2"/>
        <charset val="204"/>
      </rPr>
      <t>х</t>
    </r>
  </si>
  <si>
    <t>2.7. Проверили расчёты с помощью АНАЛИЗА ДАННЫХ</t>
  </si>
  <si>
    <r>
      <t>Y=0,0011X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+29,68</t>
    </r>
  </si>
  <si>
    <t>1) Из графика зависимости случайных остатков ɛi от теоретического Ŷₓ видно, что остаткиимеют случайный характер.</t>
  </si>
  <si>
    <r>
      <rPr>
        <sz val="11"/>
        <color theme="1"/>
        <rFont val="Calibri"/>
        <family val="2"/>
        <charset val="204"/>
      </rPr>
      <t xml:space="preserve"> =&gt;</t>
    </r>
    <r>
      <rPr>
        <sz val="11"/>
        <color theme="1"/>
        <rFont val="Calibri"/>
        <family val="2"/>
        <charset val="204"/>
        <scheme val="minor"/>
      </rPr>
      <t xml:space="preserve"> Уравнением регрессии объясняется 94%</t>
    </r>
  </si>
  <si>
    <t>Предсказанное Y</t>
  </si>
  <si>
    <r>
      <rPr>
        <sz val="11"/>
        <color theme="1"/>
        <rFont val="Calibri"/>
        <family val="2"/>
        <charset val="204"/>
        <scheme val="minor"/>
      </rPr>
      <t>(ɛ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-ɛ</t>
    </r>
    <r>
      <rPr>
        <vertAlign val="subscript"/>
        <sz val="11"/>
        <color theme="1"/>
        <rFont val="Calibri"/>
        <family val="2"/>
        <charset val="204"/>
        <scheme val="minor"/>
      </rPr>
      <t>t-1</t>
    </r>
    <r>
      <rPr>
        <sz val="11"/>
        <color theme="1"/>
        <rFont val="Calibri"/>
        <family val="2"/>
        <charset val="204"/>
        <scheme val="minor"/>
      </rPr>
      <t>)²</t>
    </r>
  </si>
  <si>
    <t>ɛ²</t>
  </si>
  <si>
    <t>поэтому остатки подчинены нормальному распределению.</t>
  </si>
  <si>
    <r>
      <t xml:space="preserve">Шаг 2.  </t>
    </r>
    <r>
      <rPr>
        <sz val="11"/>
        <color theme="1"/>
        <rFont val="Calibri"/>
        <family val="2"/>
        <charset val="204"/>
        <scheme val="minor"/>
      </rPr>
      <t>Исследуем проблему автокорреляции (первого порядка) случайных отклонений с помощью теста Бреуша-Годфри</t>
    </r>
  </si>
  <si>
    <r>
      <t xml:space="preserve">Шаг 3.  </t>
    </r>
    <r>
      <rPr>
        <sz val="11"/>
        <color theme="1"/>
        <rFont val="Calibri"/>
        <family val="2"/>
        <charset val="204"/>
        <scheme val="minor"/>
      </rPr>
      <t>Исследуем проблему автокорреляции (первого порядка) случайных отклонений с помощью теста Сведа-Эйзенхарта</t>
    </r>
  </si>
  <si>
    <r>
      <t xml:space="preserve">Шаг 4.  </t>
    </r>
    <r>
      <rPr>
        <sz val="11"/>
        <color theme="1"/>
        <rFont val="Calibri"/>
        <family val="2"/>
        <charset val="204"/>
        <scheme val="minor"/>
      </rPr>
      <t>Исследуем проблему автокорреляции (первого порядка) случайных отклонений с помощью  статистики Дарбина-Уотсона</t>
    </r>
  </si>
  <si>
    <t>1.1. Получили уравнение вида:</t>
  </si>
  <si>
    <t>1.2. Рассчёт t-  и F-статистики показывают, что значимо как уравнение в целом, так и его коэффициенты</t>
  </si>
  <si>
    <t>1.3. Уравнением регрессии объясняется 94% результирующего показателя</t>
  </si>
  <si>
    <t>1.4. Средняя ошибка аппроксимации равна 2.24, что говорит о хорошем качестве уравнения.</t>
  </si>
  <si>
    <t>1.5. При проверке предпосылок МНК было обнаружено нарушение четвёртой предпосылки</t>
  </si>
  <si>
    <t>1.6. Проверили расчёты с помощью АНАЛИЗА ДАННЫХ</t>
  </si>
  <si>
    <r>
      <t>По таблице критических точек Дарбина-Уотсона опредилим значения d</t>
    </r>
    <r>
      <rPr>
        <vertAlign val="subscript"/>
        <sz val="11"/>
        <color theme="1"/>
        <rFont val="Calibri"/>
        <family val="2"/>
        <charset val="204"/>
        <scheme val="minor"/>
      </rPr>
      <t>l</t>
    </r>
    <r>
      <rPr>
        <sz val="11"/>
        <color theme="1"/>
        <rFont val="Calibri"/>
        <family val="2"/>
        <charset val="204"/>
        <scheme val="minor"/>
      </rPr>
      <t xml:space="preserve"> и d</t>
    </r>
    <r>
      <rPr>
        <vertAlign val="subscript"/>
        <sz val="11"/>
        <color theme="1"/>
        <rFont val="Calibri"/>
        <family val="2"/>
        <charset val="204"/>
        <scheme val="minor"/>
      </rPr>
      <t xml:space="preserve">u </t>
    </r>
    <r>
      <rPr>
        <sz val="11"/>
        <color theme="1"/>
        <rFont val="Calibri"/>
        <family val="2"/>
        <charset val="204"/>
        <scheme val="minor"/>
      </rPr>
      <t xml:space="preserve">при уровне значимости </t>
    </r>
    <r>
      <rPr>
        <sz val="11"/>
        <color theme="1"/>
        <rFont val="Calibri"/>
        <family val="2"/>
        <charset val="204"/>
      </rPr>
      <t>α</t>
    </r>
    <r>
      <rPr>
        <sz val="8.8000000000000007"/>
        <color theme="1"/>
        <rFont val="Calibri"/>
        <family val="2"/>
        <charset val="204"/>
      </rPr>
      <t>=</t>
    </r>
    <r>
      <rPr>
        <sz val="11"/>
        <color theme="1"/>
        <rFont val="Calibri"/>
        <family val="2"/>
        <charset val="204"/>
      </rPr>
      <t>0,01 (значения взяты для 55 наблюдений)</t>
    </r>
  </si>
  <si>
    <t>Этап 3.</t>
  </si>
  <si>
    <r>
      <t>Исследуем зависимость Y от X</t>
    </r>
    <r>
      <rPr>
        <vertAlign val="subscript"/>
        <sz val="11"/>
        <rFont val="Calibri"/>
        <family val="2"/>
        <charset val="204"/>
        <scheme val="minor"/>
      </rPr>
      <t>2</t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</si>
  <si>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</si>
  <si>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r>
      <t>Y=0,0005X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>-131,47</t>
    </r>
  </si>
  <si>
    <t>1.3. Уравнением регрессии объясняется 79% результирующего показателя</t>
  </si>
  <si>
    <t>1.4. Средняя ошибка аппроксимации равна 4,11, что говорит о хорошем качестве уравнения.</t>
  </si>
  <si>
    <r>
      <t>Исследуем зависимость Y от X</t>
    </r>
    <r>
      <rPr>
        <vertAlign val="subscript"/>
        <sz val="11"/>
        <rFont val="Calibri"/>
        <family val="2"/>
        <charset val="204"/>
        <scheme val="minor"/>
      </rPr>
      <t>3</t>
    </r>
  </si>
  <si>
    <t>Х2</t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</si>
  <si>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3</t>
    </r>
  </si>
  <si>
    <t xml:space="preserve"> =&gt; Уравнение регрессии в целом, </t>
  </si>
  <si>
    <t>и коэффициент b статистически значимы</t>
  </si>
  <si>
    <r>
      <rPr>
        <sz val="11"/>
        <color theme="1"/>
        <rFont val="Calibri"/>
        <family val="2"/>
        <charset val="204"/>
      </rPr>
      <t xml:space="preserve"> =&gt;</t>
    </r>
    <r>
      <rPr>
        <sz val="11"/>
        <color theme="1"/>
        <rFont val="Calibri"/>
        <family val="2"/>
        <charset val="204"/>
        <scheme val="minor"/>
      </rPr>
      <t xml:space="preserve"> Уравнением регрессии объясняется 64%</t>
    </r>
  </si>
  <si>
    <t>1.3. Уравнением регрессии объясняется 64% результирующего показателя</t>
  </si>
  <si>
    <t>1.4. Средняя ошибка аппроксимации равна 5,36, что говорит о хорошем качестве уравнения.</t>
  </si>
  <si>
    <t>Х3</t>
  </si>
  <si>
    <t>Этап 4.</t>
  </si>
  <si>
    <t>Этап 5.</t>
  </si>
  <si>
    <r>
      <t>Исследуем зависимость Y от X</t>
    </r>
    <r>
      <rPr>
        <vertAlign val="subscript"/>
        <sz val="11"/>
        <rFont val="Calibri"/>
        <family val="2"/>
        <charset val="204"/>
        <scheme val="minor"/>
      </rPr>
      <t>4</t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</si>
  <si>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4</t>
    </r>
  </si>
  <si>
    <r>
      <t>Y=0,003X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>+18,729</t>
    </r>
  </si>
  <si>
    <r>
      <t>Y=0,0142X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>+65,221</t>
    </r>
  </si>
  <si>
    <t xml:space="preserve"> =&gt;Как уравнение регрессии в целом, </t>
  </si>
  <si>
    <t>так и коэффициенты статистически значимы</t>
  </si>
  <si>
    <r>
      <rPr>
        <sz val="11"/>
        <color theme="1"/>
        <rFont val="Calibri"/>
        <family val="2"/>
        <charset val="204"/>
      </rPr>
      <t xml:space="preserve"> =&gt;</t>
    </r>
    <r>
      <rPr>
        <sz val="11"/>
        <color theme="1"/>
        <rFont val="Calibri"/>
        <family val="2"/>
        <charset val="204"/>
        <scheme val="minor"/>
      </rPr>
      <t xml:space="preserve"> Уравнением регрессии объясняется 60%</t>
    </r>
  </si>
  <si>
    <t>1.3. Уравнением регрессии объясняется 60% результирующего показателя</t>
  </si>
  <si>
    <t>1.4. Средняя ошибка аппроксимации равна 5,33, что говорит о хорошем качестве уравнения.</t>
  </si>
  <si>
    <t>Х4</t>
  </si>
  <si>
    <t>Этап 6.</t>
  </si>
  <si>
    <r>
      <t>Исследуем зависимость Y от X</t>
    </r>
    <r>
      <rPr>
        <vertAlign val="subscript"/>
        <sz val="11"/>
        <rFont val="Calibri"/>
        <family val="2"/>
        <charset val="204"/>
        <scheme val="minor"/>
      </rPr>
      <t>5</t>
    </r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</si>
  <si>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5</t>
    </r>
  </si>
  <si>
    <r>
      <rPr>
        <sz val="11"/>
        <color theme="1"/>
        <rFont val="Calibri"/>
        <family val="2"/>
        <charset val="204"/>
      </rPr>
      <t xml:space="preserve"> =&gt;</t>
    </r>
    <r>
      <rPr>
        <sz val="11"/>
        <color theme="1"/>
        <rFont val="Calibri"/>
        <family val="2"/>
        <charset val="204"/>
        <scheme val="minor"/>
      </rPr>
      <t xml:space="preserve"> Уравнением регрессии объясняется 77%</t>
    </r>
  </si>
  <si>
    <r>
      <t>Y=-1,2022X</t>
    </r>
    <r>
      <rPr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>+103,71</t>
    </r>
  </si>
  <si>
    <t>1.3. Уравнением регрессии объясняется77% результирующего показателя</t>
  </si>
  <si>
    <t>1.4. Средняя ошибка аппроксимации равна 4,43, что говорит о хорошем качестве уравнения.</t>
  </si>
  <si>
    <t>Х5</t>
  </si>
  <si>
    <t>Этап 7.</t>
  </si>
  <si>
    <r>
      <t>Исследуем зависимость Y от X</t>
    </r>
    <r>
      <rPr>
        <vertAlign val="subscript"/>
        <sz val="11"/>
        <rFont val="Calibri"/>
        <family val="2"/>
        <charset val="204"/>
        <scheme val="minor"/>
      </rPr>
      <t>6</t>
    </r>
  </si>
  <si>
    <r>
      <rPr>
        <sz val="11"/>
        <color theme="1"/>
        <rFont val="Calibri"/>
        <family val="2"/>
        <charset val="204"/>
      </rPr>
      <t xml:space="preserve"> =&gt;</t>
    </r>
    <r>
      <rPr>
        <sz val="11"/>
        <color theme="1"/>
        <rFont val="Calibri"/>
        <family val="2"/>
        <charset val="204"/>
        <scheme val="minor"/>
      </rPr>
      <t xml:space="preserve"> Уравнением регрессии объясняется 53%</t>
    </r>
  </si>
  <si>
    <r>
      <t>Y=-0,0036X</t>
    </r>
    <r>
      <rPr>
        <vertAlign val="subscript"/>
        <sz val="11"/>
        <color theme="1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>+172,74</t>
    </r>
  </si>
  <si>
    <t>1.3. Уравнением регрессии объясняется 53% результирующего показателя</t>
  </si>
  <si>
    <t>1.4. Средняя ошибка аппроксимации равна6,36, что говорит о хорошем качестве уравнения.</t>
  </si>
  <si>
    <r>
      <t xml:space="preserve">   Из данных таблицы парных коэффициентов корреляции для всех показателей видно, что показатели номера месяца и фактора Х</t>
    </r>
    <r>
      <rPr>
        <u/>
        <vertAlign val="subscript"/>
        <sz val="11"/>
        <color theme="10"/>
        <rFont val="Calibri"/>
        <family val="2"/>
        <charset val="204"/>
        <scheme val="minor"/>
      </rPr>
      <t>2</t>
    </r>
    <r>
      <rPr>
        <u/>
        <sz val="11"/>
        <color theme="10"/>
        <rFont val="Calibri"/>
        <family val="2"/>
        <charset val="204"/>
        <scheme val="minor"/>
      </rPr>
      <t xml:space="preserve"> тесно коррелируют между собой (rxixj&gt;0,7). </t>
    </r>
  </si>
  <si>
    <r>
      <t>Показатель номера месяца коррелирует с другими факторами сильнее, чем фактор Х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</si>
  <si>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t xml:space="preserve">  =&gt; Показатель номера месяца следует исключить.</t>
  </si>
  <si>
    <t>Из данных таблицы парных коэффициентов корреляции с исключённым пареметром налога номера месяца</t>
  </si>
  <si>
    <t>коэффициент парной корреляции между факторами Х1 и Х2 больше 0,7</t>
  </si>
  <si>
    <t>Фактор Х2 сильнеее коррелирует с другими факторами, чем фактор Х1</t>
  </si>
  <si>
    <t xml:space="preserve">  =&gt; Фактор Х2 следует исключить.</t>
  </si>
  <si>
    <t>Из данных таблицы парных коэффициентов корреляции с исключённым пареметром налога номера месяца и фактором Х2</t>
  </si>
  <si>
    <t>модуль коэффициента парной корреляции между факторами Х3 и Х6 больше 0,7</t>
  </si>
  <si>
    <t>Фактор Х3 сильнеее коррелирует с другими факторами, чем фактор Х6</t>
  </si>
  <si>
    <t xml:space="preserve">  =&gt; Фактор Х3 следует исключить.</t>
  </si>
  <si>
    <t>Из данных таблицы парных коэффициентов корреляции с исключённым пареметром налога номера месяца и фактором Х2 и Х3</t>
  </si>
  <si>
    <t>модуль коэффициента парной корреляции между факторами Х1 и Х5 больше 0,7</t>
  </si>
  <si>
    <t>Фактор Х1 сильнеее коррелирует с другими факторами, чем фактор Х5</t>
  </si>
  <si>
    <t xml:space="preserve">  =&gt; Фактор Х1 следует исключить.</t>
  </si>
  <si>
    <t>Из данных таблицы парных коэффициентов корреляции с исключённым пареметром налога номера месяца и фактором Х2 и Х3 и Х1</t>
  </si>
  <si>
    <t>модуль коэффициента парной корреляции между факторами Х4 и Х6 больше 0,7</t>
  </si>
  <si>
    <t>Фактор Х4 сильнеее коррелирует с фактором Х5, чем фактор Х6</t>
  </si>
  <si>
    <t xml:space="preserve">  =&gt; Фактор Х4 следует исключить.</t>
  </si>
  <si>
    <r>
      <t xml:space="preserve">Этап 8  </t>
    </r>
    <r>
      <rPr>
        <sz val="11"/>
        <color theme="1"/>
        <rFont val="Calibri"/>
        <family val="2"/>
        <charset val="204"/>
        <scheme val="minor"/>
      </rPr>
      <t>Исследуем зависимость результативного признака от шести факторов.</t>
    </r>
  </si>
  <si>
    <r>
      <t xml:space="preserve">Шаг 1. </t>
    </r>
    <r>
      <rPr>
        <sz val="11"/>
        <color theme="1"/>
        <rFont val="Calibri"/>
        <family val="2"/>
        <charset val="204"/>
        <scheme val="minor"/>
      </rPr>
      <t>Исключим мультиколлинеарные факторы</t>
    </r>
  </si>
  <si>
    <t>№ мес</t>
  </si>
  <si>
    <t>Х6</t>
  </si>
  <si>
    <t>Исключив мультиколлиниерные факторы, получаем зависимость Y от вух факторов (Х5 и Х6)</t>
  </si>
  <si>
    <r>
      <rPr>
        <b/>
        <sz val="11"/>
        <color theme="1"/>
        <rFont val="Calibri"/>
        <family val="2"/>
        <charset val="204"/>
        <scheme val="minor"/>
      </rPr>
      <t>Шаг 2.</t>
    </r>
    <r>
      <rPr>
        <sz val="11"/>
        <color theme="1"/>
        <rFont val="Calibri"/>
        <family val="2"/>
        <scheme val="minor"/>
      </rPr>
      <t xml:space="preserve"> Построим уравнение регрессии и проверим выпонение предпосылок МНК</t>
    </r>
  </si>
  <si>
    <t>с</t>
  </si>
  <si>
    <r>
      <rPr>
        <sz val="11"/>
        <color theme="1"/>
        <rFont val="Calibri"/>
        <family val="2"/>
        <charset val="204"/>
      </rPr>
      <t xml:space="preserve"> =&gt;</t>
    </r>
    <r>
      <rPr>
        <sz val="11"/>
        <color theme="1"/>
        <rFont val="Calibri"/>
        <family val="2"/>
        <charset val="204"/>
        <scheme val="minor"/>
      </rPr>
      <t xml:space="preserve"> Уравнением регрессии объясняется 82%</t>
    </r>
  </si>
  <si>
    <r>
      <t>t</t>
    </r>
    <r>
      <rPr>
        <vertAlign val="subscript"/>
        <sz val="11"/>
        <color theme="1"/>
        <rFont val="Calibri"/>
        <family val="2"/>
        <charset val="204"/>
        <scheme val="minor"/>
      </rPr>
      <t>с</t>
    </r>
  </si>
  <si>
    <r>
      <t>Y=-0,00135X</t>
    </r>
    <r>
      <rPr>
        <vertAlign val="subscript"/>
        <sz val="11"/>
        <color theme="1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>-0,96X</t>
    </r>
    <r>
      <rPr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>+126,95</t>
    </r>
  </si>
  <si>
    <t>2) Значение ячейки F63=0, т.е. средняя величина остатков равна 0 и не зависит от Xi.</t>
  </si>
  <si>
    <t>Урвнение</t>
  </si>
  <si>
    <t>Коэффициент детерминации</t>
  </si>
  <si>
    <r>
      <t>R</t>
    </r>
    <r>
      <rPr>
        <sz val="11"/>
        <color theme="1"/>
        <rFont val="Calibri"/>
        <family val="2"/>
        <charset val="204"/>
      </rPr>
      <t>̂²</t>
    </r>
  </si>
  <si>
    <t>Средняя ошибка аппроксимации</t>
  </si>
  <si>
    <t>Доверителтный интервал для 59-го месяца</t>
  </si>
  <si>
    <t>Доверителтный интервал для 60-го месяца</t>
  </si>
  <si>
    <r>
      <rPr>
        <sz val="11"/>
        <color theme="1"/>
        <rFont val="Calibri"/>
        <family val="2"/>
        <charset val="204"/>
      </rPr>
      <t>ɛ</t>
    </r>
    <r>
      <rPr>
        <vertAlign val="subscript"/>
        <sz val="11"/>
        <color theme="1"/>
        <rFont val="Calibri"/>
        <family val="2"/>
        <charset val="204"/>
      </rPr>
      <t>59</t>
    </r>
  </si>
  <si>
    <r>
      <t>ɛ</t>
    </r>
    <r>
      <rPr>
        <vertAlign val="subscript"/>
        <sz val="11"/>
        <color theme="1"/>
        <rFont val="Calibri"/>
        <family val="2"/>
        <charset val="204"/>
      </rPr>
      <t>60</t>
    </r>
  </si>
  <si>
    <t>Модель (ссылки на анализ)</t>
  </si>
  <si>
    <t>Y от Х1</t>
  </si>
  <si>
    <r>
      <t>Y от Х2</t>
    </r>
    <r>
      <rPr>
        <sz val="11"/>
        <color theme="1"/>
        <rFont val="Calibri"/>
        <family val="2"/>
        <charset val="204"/>
        <scheme val="minor"/>
      </rPr>
      <t/>
    </r>
  </si>
  <si>
    <r>
      <t>Y от Х3</t>
    </r>
    <r>
      <rPr>
        <sz val="11"/>
        <color theme="1"/>
        <rFont val="Calibri"/>
        <family val="2"/>
        <charset val="204"/>
        <scheme val="minor"/>
      </rPr>
      <t/>
    </r>
  </si>
  <si>
    <r>
      <t>Y от Х4</t>
    </r>
    <r>
      <rPr>
        <sz val="11"/>
        <color theme="1"/>
        <rFont val="Calibri"/>
        <family val="2"/>
        <charset val="204"/>
        <scheme val="minor"/>
      </rPr>
      <t/>
    </r>
  </si>
  <si>
    <r>
      <t>Y от Х5</t>
    </r>
    <r>
      <rPr>
        <sz val="11"/>
        <color theme="1"/>
        <rFont val="Calibri"/>
        <family val="2"/>
        <charset val="204"/>
        <scheme val="minor"/>
      </rPr>
      <t/>
    </r>
  </si>
  <si>
    <r>
      <t>Y от Х6</t>
    </r>
    <r>
      <rPr>
        <sz val="11"/>
        <color theme="1"/>
        <rFont val="Calibri"/>
        <family val="2"/>
        <charset val="204"/>
        <scheme val="minor"/>
      </rPr>
      <t/>
    </r>
  </si>
  <si>
    <t>Y от Х5 и Х6</t>
  </si>
  <si>
    <r>
      <t>Y=0,0011X</t>
    </r>
    <r>
      <rPr>
        <u/>
        <vertAlign val="subscript"/>
        <sz val="11"/>
        <color theme="10"/>
        <rFont val="Calibri"/>
        <family val="2"/>
        <charset val="204"/>
        <scheme val="minor"/>
      </rPr>
      <t>1</t>
    </r>
    <r>
      <rPr>
        <u/>
        <sz val="11"/>
        <color theme="10"/>
        <rFont val="Calibri"/>
        <family val="2"/>
        <charset val="204"/>
        <scheme val="minor"/>
      </rPr>
      <t>+29,68</t>
    </r>
  </si>
  <si>
    <r>
      <t>Y=0,0005X</t>
    </r>
    <r>
      <rPr>
        <u/>
        <vertAlign val="subscript"/>
        <sz val="11"/>
        <color theme="10"/>
        <rFont val="Calibri"/>
        <family val="2"/>
        <charset val="204"/>
        <scheme val="minor"/>
      </rPr>
      <t>2</t>
    </r>
    <r>
      <rPr>
        <u/>
        <sz val="11"/>
        <color theme="10"/>
        <rFont val="Calibri"/>
        <family val="2"/>
        <charset val="204"/>
        <scheme val="minor"/>
      </rPr>
      <t>-131,47</t>
    </r>
  </si>
  <si>
    <r>
      <t>Y=0,003X</t>
    </r>
    <r>
      <rPr>
        <u/>
        <vertAlign val="subscript"/>
        <sz val="11"/>
        <color theme="10"/>
        <rFont val="Calibri"/>
        <family val="2"/>
        <charset val="204"/>
        <scheme val="minor"/>
      </rPr>
      <t>3</t>
    </r>
    <r>
      <rPr>
        <u/>
        <sz val="11"/>
        <color theme="10"/>
        <rFont val="Calibri"/>
        <family val="2"/>
        <charset val="204"/>
        <scheme val="minor"/>
      </rPr>
      <t>+18,729</t>
    </r>
  </si>
  <si>
    <r>
      <t>Y=0,0142X</t>
    </r>
    <r>
      <rPr>
        <u/>
        <vertAlign val="subscript"/>
        <sz val="11"/>
        <color theme="10"/>
        <rFont val="Calibri"/>
        <family val="2"/>
        <charset val="204"/>
        <scheme val="minor"/>
      </rPr>
      <t>4</t>
    </r>
    <r>
      <rPr>
        <u/>
        <sz val="11"/>
        <color theme="10"/>
        <rFont val="Calibri"/>
        <family val="2"/>
        <charset val="204"/>
        <scheme val="minor"/>
      </rPr>
      <t>+65,221</t>
    </r>
  </si>
  <si>
    <r>
      <t>Y=-1,2022X</t>
    </r>
    <r>
      <rPr>
        <u/>
        <vertAlign val="subscript"/>
        <sz val="11"/>
        <color theme="10"/>
        <rFont val="Calibri"/>
        <family val="2"/>
        <charset val="204"/>
        <scheme val="minor"/>
      </rPr>
      <t>5</t>
    </r>
    <r>
      <rPr>
        <u/>
        <sz val="11"/>
        <color theme="10"/>
        <rFont val="Calibri"/>
        <family val="2"/>
        <charset val="204"/>
        <scheme val="minor"/>
      </rPr>
      <t>+103,71</t>
    </r>
  </si>
  <si>
    <r>
      <t>Y=-0,0036X</t>
    </r>
    <r>
      <rPr>
        <u/>
        <vertAlign val="subscript"/>
        <sz val="11"/>
        <color theme="10"/>
        <rFont val="Calibri"/>
        <family val="2"/>
        <charset val="204"/>
        <scheme val="minor"/>
      </rPr>
      <t>6</t>
    </r>
    <r>
      <rPr>
        <u/>
        <sz val="11"/>
        <color theme="10"/>
        <rFont val="Calibri"/>
        <family val="2"/>
        <charset val="204"/>
        <scheme val="minor"/>
      </rPr>
      <t>+172,74</t>
    </r>
  </si>
  <si>
    <r>
      <t>Y=-0,00135X</t>
    </r>
    <r>
      <rPr>
        <u/>
        <vertAlign val="subscript"/>
        <sz val="11"/>
        <color theme="10"/>
        <rFont val="Calibri"/>
        <family val="2"/>
        <charset val="204"/>
        <scheme val="minor"/>
      </rPr>
      <t>6</t>
    </r>
    <r>
      <rPr>
        <u/>
        <sz val="11"/>
        <color theme="10"/>
        <rFont val="Calibri"/>
        <family val="2"/>
        <charset val="204"/>
        <scheme val="minor"/>
      </rPr>
      <t>-0,96X</t>
    </r>
    <r>
      <rPr>
        <u/>
        <vertAlign val="subscript"/>
        <sz val="11"/>
        <color theme="10"/>
        <rFont val="Calibri"/>
        <family val="2"/>
        <charset val="204"/>
        <scheme val="minor"/>
      </rPr>
      <t>5</t>
    </r>
    <r>
      <rPr>
        <u/>
        <sz val="11"/>
        <color theme="10"/>
        <rFont val="Calibri"/>
        <family val="2"/>
        <charset val="204"/>
        <scheme val="minor"/>
      </rPr>
      <t>+126,95</t>
    </r>
  </si>
  <si>
    <r>
      <t xml:space="preserve">Прогноз </t>
    </r>
    <r>
      <rPr>
        <sz val="11"/>
        <color theme="1"/>
        <rFont val="Calibri"/>
        <family val="2"/>
        <charset val="204"/>
      </rPr>
      <t>Ŷ</t>
    </r>
    <r>
      <rPr>
        <vertAlign val="subscript"/>
        <sz val="11"/>
        <color theme="1"/>
        <rFont val="Calibri"/>
        <family val="2"/>
        <charset val="204"/>
        <scheme val="minor"/>
      </rPr>
      <t>59</t>
    </r>
  </si>
  <si>
    <r>
      <t xml:space="preserve">Прогноз </t>
    </r>
    <r>
      <rPr>
        <sz val="11"/>
        <color theme="1"/>
        <rFont val="Calibri"/>
        <family val="2"/>
        <charset val="204"/>
      </rPr>
      <t>Ŷ</t>
    </r>
    <r>
      <rPr>
        <vertAlign val="subscript"/>
        <sz val="11"/>
        <color theme="1"/>
        <rFont val="Calibri"/>
        <family val="2"/>
        <charset val="204"/>
        <scheme val="minor"/>
      </rPr>
      <t>60</t>
    </r>
  </si>
  <si>
    <r>
      <t>&gt;  Ŷ</t>
    </r>
    <r>
      <rPr>
        <vertAlign val="subscript"/>
        <sz val="11"/>
        <color theme="1"/>
        <rFont val="Calibri"/>
        <family val="2"/>
        <charset val="204"/>
      </rPr>
      <t>59</t>
    </r>
    <r>
      <rPr>
        <sz val="11"/>
        <color theme="1"/>
        <rFont val="Calibri"/>
        <family val="2"/>
        <charset val="204"/>
      </rPr>
      <t xml:space="preserve">  &gt;</t>
    </r>
  </si>
  <si>
    <r>
      <t>&gt;  Ŷ</t>
    </r>
    <r>
      <rPr>
        <vertAlign val="subscript"/>
        <sz val="11"/>
        <color theme="1"/>
        <rFont val="Calibri"/>
        <family val="2"/>
        <charset val="204"/>
      </rPr>
      <t>60</t>
    </r>
    <r>
      <rPr>
        <sz val="11"/>
        <color theme="1"/>
        <rFont val="Calibri"/>
        <family val="2"/>
        <charset val="204"/>
      </rPr>
      <t xml:space="preserve">  &gt;</t>
    </r>
  </si>
  <si>
    <t>Временной ряд</t>
  </si>
  <si>
    <t xml:space="preserve">2.1. Проведем аналитическое выравнивание ряда (T+E) с помощью линейного тренда. </t>
  </si>
  <si>
    <t>2.2. Рассчёт t-  и F-статистики показывают, что значимо как уравнение в целом, так и его коэффициенты</t>
  </si>
  <si>
    <t>2.3. Уравнением регрессии объясняется 68% результирующего показателя</t>
  </si>
  <si>
    <t>2.4. Средняя ошибка аппроксимации равна 5.1, что говорит о хорошем качестве уравнения.</t>
  </si>
  <si>
    <t>2.5. При проверке предпосылок МНК было обнаружено нарушение первой и четвёртой предпосылок</t>
  </si>
  <si>
    <t>2.6. Коэффициент автокорреляции первого порядка равен 1, следовательно тенденция имимеет линейную форму и строить и сравнивать нелинейныеформы не имеет смысла.</t>
  </si>
  <si>
    <t>2.8. Cтандартные остатки АНАЛИЗА ДАННЫХ находятся в пределах допустимых значений [-2;2] =&gt; Выбросы отсутствуют.</t>
  </si>
  <si>
    <t>1.7. Cтандартные остатки АНАЛИЗА ДАННЫХ находятся в пределах допустимых значений [-2;2] =&gt; Выбросы отсутствуют.</t>
  </si>
  <si>
    <t xml:space="preserve">  Исследование стандартных остатков показало отсутствие в моделях выбросов (стандартные остатки находятся в пределах допустимых значений [-2;2])</t>
  </si>
  <si>
    <t>ŷ</t>
  </si>
  <si>
    <t>A</t>
  </si>
  <si>
    <r>
      <t>ɛ</t>
    </r>
    <r>
      <rPr>
        <sz val="11"/>
        <color theme="1"/>
        <rFont val="Calibri"/>
        <family val="2"/>
        <charset val="204"/>
      </rPr>
      <t>²</t>
    </r>
  </si>
  <si>
    <r>
      <t>(ɛ</t>
    </r>
    <r>
      <rPr>
        <vertAlign val="subscript"/>
        <sz val="11"/>
        <color theme="1"/>
        <rFont val="Calibri"/>
        <family val="2"/>
        <charset val="204"/>
        <scheme val="minor"/>
      </rPr>
      <t>i</t>
    </r>
    <r>
      <rPr>
        <sz val="11"/>
        <color theme="1"/>
        <rFont val="Calibri"/>
        <family val="2"/>
        <charset val="204"/>
        <scheme val="minor"/>
      </rPr>
      <t>-ɛ</t>
    </r>
    <r>
      <rPr>
        <vertAlign val="subscript"/>
        <sz val="11"/>
        <color theme="1"/>
        <rFont val="Calibri"/>
        <family val="2"/>
        <charset val="204"/>
        <scheme val="minor"/>
      </rPr>
      <t>i-1</t>
    </r>
    <r>
      <rPr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</rPr>
      <t>²</t>
    </r>
  </si>
  <si>
    <t>c</t>
  </si>
  <si>
    <r>
      <rPr>
        <sz val="11"/>
        <color theme="1"/>
        <rFont val="Calibri"/>
        <family val="2"/>
        <charset val="204"/>
      </rPr>
      <t xml:space="preserve"> =&gt;</t>
    </r>
    <r>
      <rPr>
        <sz val="11"/>
        <color theme="1"/>
        <rFont val="Calibri"/>
        <family val="2"/>
        <charset val="204"/>
        <scheme val="minor"/>
      </rPr>
      <t xml:space="preserve"> Уравнением регрессии объясняется 98%</t>
    </r>
  </si>
  <si>
    <r>
      <t>y</t>
    </r>
    <r>
      <rPr>
        <vertAlign val="subscript"/>
        <sz val="11"/>
        <color theme="1"/>
        <rFont val="Calibri"/>
        <family val="2"/>
        <charset val="204"/>
        <scheme val="minor"/>
      </rPr>
      <t>t-2</t>
    </r>
    <r>
      <rPr>
        <sz val="11"/>
        <color theme="1"/>
        <rFont val="Calibri"/>
        <family val="2"/>
        <charset val="204"/>
        <scheme val="minor"/>
      </rPr>
      <t/>
    </r>
  </si>
  <si>
    <t>Этап 9.</t>
  </si>
  <si>
    <r>
      <t>Исследуем зависимость Y от Y</t>
    </r>
    <r>
      <rPr>
        <vertAlign val="subscript"/>
        <sz val="11"/>
        <rFont val="Calibri"/>
        <family val="2"/>
        <charset val="204"/>
        <scheme val="minor"/>
      </rPr>
      <t>t-1</t>
    </r>
  </si>
  <si>
    <t xml:space="preserve"> =&gt;Eравнение регрессии в целом </t>
  </si>
  <si>
    <t xml:space="preserve"> и коэффициент b статистически значимы</t>
  </si>
  <si>
    <r>
      <t>Y=0,98Y</t>
    </r>
    <r>
      <rPr>
        <vertAlign val="subscript"/>
        <sz val="11"/>
        <color theme="1"/>
        <rFont val="Calibri"/>
        <family val="2"/>
        <charset val="204"/>
        <scheme val="minor"/>
      </rPr>
      <t>t-1</t>
    </r>
    <r>
      <rPr>
        <sz val="11"/>
        <color theme="1"/>
        <rFont val="Calibri"/>
        <family val="2"/>
        <charset val="204"/>
        <scheme val="minor"/>
      </rPr>
      <t>+2,79</t>
    </r>
  </si>
  <si>
    <t>Переменная X 1</t>
  </si>
  <si>
    <t>1.3. Уравнением регрессии объясняется 98% результирующего показателя</t>
  </si>
  <si>
    <t>1.4. Средняя ошибка аппроксимации равна 1.3, что говорит о хорошем качестве уравнения.</t>
  </si>
  <si>
    <t>Этап 10.</t>
  </si>
  <si>
    <r>
      <t>Y=-0,82Y</t>
    </r>
    <r>
      <rPr>
        <vertAlign val="subscript"/>
        <sz val="11"/>
        <color theme="1"/>
        <rFont val="Calibri"/>
        <family val="2"/>
        <charset val="204"/>
        <scheme val="minor"/>
      </rPr>
      <t>t-2</t>
    </r>
    <r>
      <rPr>
        <sz val="11"/>
        <color theme="1"/>
        <rFont val="Calibri"/>
        <family val="2"/>
        <charset val="204"/>
        <scheme val="minor"/>
      </rPr>
      <t>+1,79Y</t>
    </r>
    <r>
      <rPr>
        <vertAlign val="subscript"/>
        <sz val="11"/>
        <color theme="1"/>
        <rFont val="Calibri"/>
        <family val="2"/>
        <charset val="204"/>
        <scheme val="minor"/>
      </rPr>
      <t>t-1</t>
    </r>
    <r>
      <rPr>
        <sz val="11"/>
        <color theme="1"/>
        <rFont val="Calibri"/>
        <family val="2"/>
        <charset val="204"/>
        <scheme val="minor"/>
      </rPr>
      <t>+2,98</t>
    </r>
  </si>
  <si>
    <t>1.3. Уравнением регрессии объясняется 99% результирующего показателя</t>
  </si>
  <si>
    <t>1.2. Рассчёт t-  и F-статистики показывают, что значимо как уравнение в целом, так коэффициент b</t>
  </si>
  <si>
    <t>1.4. Средняя ошибка аппроксимации равна 0.67, что говорит о хорошем качестве уравнения.</t>
  </si>
  <si>
    <t>Переменная X 2</t>
  </si>
  <si>
    <t>4) Коэффициент корреляции rɛiɛj не  существенно отличен от 0, что говорит о наличии автокорреляции остатков.</t>
  </si>
  <si>
    <t xml:space="preserve"> =&gt; Гипотеза об отсутствии автокорреляции остатков принимается</t>
  </si>
  <si>
    <t xml:space="preserve"> + </t>
  </si>
  <si>
    <t>Значение k попадает в доверительный интервал, следовательно предположение о наличии положительной автокорреляции опровергается.</t>
  </si>
  <si>
    <r>
      <t>4-d</t>
    </r>
    <r>
      <rPr>
        <vertAlign val="subscript"/>
        <sz val="11"/>
        <color theme="1"/>
        <rFont val="Calibri"/>
        <family val="2"/>
        <charset val="204"/>
        <scheme val="minor"/>
      </rPr>
      <t>u</t>
    </r>
  </si>
  <si>
    <t xml:space="preserve"> =&gt;Автокорреляция остатков отсутствует</t>
  </si>
  <si>
    <t>Y=0,98Yt-1+2,79</t>
  </si>
  <si>
    <t>Y=-0,82Yt-2+1,79Yt-1+2,98</t>
  </si>
  <si>
    <t xml:space="preserve">   Наибольший коэффициент детерминации и наименьшая ошибка аппроксимации у зависимости Y от двух предыдущих значений. Она же показывает наименьшие ошибки при прогнозах </t>
  </si>
  <si>
    <t>(ошибка при прогнозировании на месяц состовляет до 1/4 от общего изменения результативного признака за все 5 лет).</t>
  </si>
  <si>
    <t xml:space="preserve">При этом модели Y от Х5, Y от Х6 и многофакторная регрессия Y от Х5 и Х6 показывают большие относительно исследуемых исходных данных ошибки </t>
  </si>
  <si>
    <t xml:space="preserve">на 2 последних месяца иссследуемого периода. Также модели Yt от Yt-1, Y от X1, Y от X2 , Y от X3 и временного ряда тоже хорошо аппроксимируют исходные данные. </t>
  </si>
  <si>
    <r>
      <t xml:space="preserve">  Также стоит отметить, что все построенные модели, кроме Y</t>
    </r>
    <r>
      <rPr>
        <vertAlign val="sub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 xml:space="preserve"> от Y</t>
    </r>
    <r>
      <rPr>
        <vertAlign val="subscript"/>
        <sz val="11"/>
        <color theme="1"/>
        <rFont val="Calibri"/>
        <family val="2"/>
        <charset val="204"/>
        <scheme val="minor"/>
      </rPr>
      <t>t-1</t>
    </r>
    <r>
      <rPr>
        <sz val="11"/>
        <color theme="1"/>
        <rFont val="Calibri"/>
        <family val="2"/>
        <charset val="204"/>
        <scheme val="minor"/>
      </rPr>
      <t xml:space="preserve"> и Y</t>
    </r>
    <r>
      <rPr>
        <vertAlign val="subscript"/>
        <sz val="11"/>
        <color theme="1"/>
        <rFont val="Calibri"/>
        <family val="2"/>
        <charset val="204"/>
        <scheme val="minor"/>
      </rPr>
      <t>t-2</t>
    </r>
    <r>
      <rPr>
        <sz val="11"/>
        <color theme="1"/>
        <rFont val="Calibri"/>
        <family val="2"/>
        <charset val="204"/>
        <scheme val="minor"/>
      </rPr>
      <t xml:space="preserve"> , автокоррелированны, причём коэффициент автокорреляции остатков приближен к 1.</t>
    </r>
  </si>
  <si>
    <t>Поэтому можно предположить, что сильная автокорреляция остатков связана с зависимостью результативного признака от предыдущих значений.</t>
  </si>
  <si>
    <r>
      <t>Исследуем зависимость Y от Y</t>
    </r>
    <r>
      <rPr>
        <vertAlign val="subscript"/>
        <sz val="11"/>
        <rFont val="Calibri"/>
        <family val="2"/>
        <charset val="204"/>
        <scheme val="minor"/>
      </rPr>
      <t>t-1</t>
    </r>
    <r>
      <rPr>
        <sz val="11"/>
        <rFont val="Calibri"/>
        <family val="2"/>
        <charset val="204"/>
        <scheme val="minor"/>
      </rPr>
      <t xml:space="preserve"> и Y</t>
    </r>
    <r>
      <rPr>
        <vertAlign val="subscript"/>
        <sz val="11"/>
        <rFont val="Calibri"/>
        <family val="2"/>
        <charset val="204"/>
        <scheme val="minor"/>
      </rPr>
      <t>t-2</t>
    </r>
  </si>
  <si>
    <r>
      <t xml:space="preserve">Этап 11. </t>
    </r>
    <r>
      <rPr>
        <sz val="11"/>
        <color theme="1"/>
        <rFont val="Calibri"/>
        <family val="2"/>
        <charset val="204"/>
        <scheme val="minor"/>
      </rPr>
      <t>Составим сравнительную таблицу зависимостей Y от факторов, времени и предыдущих значений</t>
    </r>
  </si>
  <si>
    <t>Yt от Yt-1</t>
  </si>
  <si>
    <t>Yt от Yt-2 и Yt-1</t>
  </si>
  <si>
    <r>
      <t>Х</t>
    </r>
    <r>
      <rPr>
        <vertAlign val="subscript"/>
        <sz val="11"/>
        <color theme="1"/>
        <rFont val="Calibri"/>
        <family val="2"/>
        <charset val="204"/>
        <scheme val="minor"/>
      </rPr>
      <t>6</t>
    </r>
  </si>
  <si>
    <t>Анализ и прогнозирование потребительских цен в России на куры охлаждённые и мороженные</t>
  </si>
  <si>
    <t>Автор: Репина Олеся Михайловна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</si>
</sst>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₽_-;\-* #,##0.00\ _₽_-;_-* &quot;-&quot;??\ _₽_-;_-@_-"/>
    <numFmt numFmtId="164" formatCode="0.00000"/>
    <numFmt numFmtId="165" formatCode="0.000000000"/>
  </numFmts>
  <fonts count="17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vertAlign val="subscript"/>
      <sz val="11"/>
      <color theme="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imes New Roman"/>
      <family val="1"/>
      <charset val="204"/>
    </font>
    <font>
      <sz val="8.8000000000000007"/>
      <color theme="1"/>
      <name val="Calibri"/>
      <family val="2"/>
      <charset val="204"/>
    </font>
    <font>
      <sz val="11"/>
      <name val="Calibri"/>
      <family val="2"/>
      <charset val="204"/>
      <scheme val="minor"/>
    </font>
    <font>
      <vertAlign val="subscript"/>
      <sz val="11"/>
      <name val="Calibri"/>
      <family val="2"/>
      <charset val="204"/>
      <scheme val="minor"/>
    </font>
    <font>
      <u/>
      <vertAlign val="subscript"/>
      <sz val="11"/>
      <color theme="10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10" fillId="0" borderId="0"/>
    <xf numFmtId="0" fontId="11" fillId="0" borderId="0" applyNumberForma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21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1" xfId="0" applyNumberFormat="1" applyFont="1" applyFill="1" applyBorder="1" applyAlignment="1" applyProtection="1">
      <alignment vertical="center" wrapText="1"/>
    </xf>
    <xf numFmtId="2" fontId="2" fillId="0" borderId="1" xfId="0" applyNumberFormat="1" applyFont="1" applyFill="1" applyBorder="1" applyAlignment="1" applyProtection="1">
      <alignment vertical="center" wrapText="1"/>
    </xf>
    <xf numFmtId="0" fontId="2" fillId="0" borderId="0" xfId="0" applyNumberFormat="1" applyFont="1" applyFill="1" applyBorder="1" applyAlignment="1" applyProtection="1">
      <alignment vertical="center" wrapText="1"/>
    </xf>
    <xf numFmtId="2" fontId="2" fillId="0" borderId="0" xfId="0" applyNumberFormat="1" applyFont="1" applyFill="1" applyBorder="1" applyAlignment="1" applyProtection="1">
      <alignment vertical="center" wrapText="1"/>
    </xf>
    <xf numFmtId="0" fontId="0" fillId="0" borderId="0" xfId="0" applyBorder="1"/>
    <xf numFmtId="0" fontId="0" fillId="0" borderId="2" xfId="0" applyBorder="1"/>
    <xf numFmtId="2" fontId="2" fillId="0" borderId="2" xfId="0" applyNumberFormat="1" applyFont="1" applyFill="1" applyBorder="1" applyAlignment="1" applyProtection="1">
      <alignment vertical="center" wrapText="1"/>
    </xf>
    <xf numFmtId="0" fontId="0" fillId="0" borderId="1" xfId="0" applyBorder="1" applyAlignment="1">
      <alignment vertical="center"/>
    </xf>
    <xf numFmtId="0" fontId="3" fillId="0" borderId="1" xfId="1" applyBorder="1" applyAlignment="1">
      <alignment vertical="center" wrapText="1"/>
    </xf>
    <xf numFmtId="0" fontId="3" fillId="0" borderId="1" xfId="1" applyBorder="1" applyAlignment="1">
      <alignment horizontal="center" vertical="center" wrapText="1"/>
    </xf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Continuous"/>
    </xf>
    <xf numFmtId="0" fontId="1" fillId="0" borderId="0" xfId="0" applyFont="1"/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Font="1"/>
    <xf numFmtId="0" fontId="4" fillId="0" borderId="4" xfId="0" applyFont="1" applyFill="1" applyBorder="1" applyAlignment="1">
      <alignment horizontal="center" wrapText="1"/>
    </xf>
    <xf numFmtId="0" fontId="0" fillId="2" borderId="0" xfId="0" applyFill="1" applyBorder="1"/>
    <xf numFmtId="0" fontId="0" fillId="2" borderId="1" xfId="0" applyFill="1" applyBorder="1"/>
    <xf numFmtId="2" fontId="2" fillId="2" borderId="1" xfId="0" applyNumberFormat="1" applyFont="1" applyFill="1" applyBorder="1" applyAlignment="1" applyProtection="1">
      <alignment vertical="center" wrapText="1"/>
    </xf>
    <xf numFmtId="0" fontId="0" fillId="0" borderId="0" xfId="0" applyAlignment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3" fillId="0" borderId="1" xfId="1" applyBorder="1" applyAlignment="1">
      <alignment vertical="center"/>
    </xf>
    <xf numFmtId="0" fontId="0" fillId="4" borderId="1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horizontal="right" wrapText="1"/>
    </xf>
    <xf numFmtId="0" fontId="1" fillId="0" borderId="0" xfId="0" applyFont="1" applyAlignment="1">
      <alignment vertical="center"/>
    </xf>
    <xf numFmtId="0" fontId="0" fillId="4" borderId="1" xfId="0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2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 wrapText="1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2" fontId="0" fillId="0" borderId="0" xfId="0" applyNumberFormat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2" fontId="2" fillId="0" borderId="2" xfId="0" applyNumberFormat="1" applyFont="1" applyFill="1" applyBorder="1" applyAlignment="1" applyProtection="1">
      <alignment horizontal="center" vertical="center" wrapText="1"/>
    </xf>
    <xf numFmtId="2" fontId="2" fillId="0" borderId="1" xfId="0" applyNumberFormat="1" applyFont="1" applyFill="1" applyBorder="1" applyAlignment="1" applyProtection="1">
      <alignment horizontal="center" vertical="center" wrapText="1"/>
    </xf>
    <xf numFmtId="0" fontId="0" fillId="0" borderId="0" xfId="2" applyFont="1"/>
    <xf numFmtId="16" fontId="3" fillId="0" borderId="0" xfId="1" applyNumberFormat="1"/>
    <xf numFmtId="0" fontId="3" fillId="0" borderId="0" xfId="1"/>
    <xf numFmtId="0" fontId="0" fillId="0" borderId="0" xfId="0" applyNumberFormat="1" applyFill="1" applyBorder="1" applyAlignment="1"/>
    <xf numFmtId="0" fontId="0" fillId="0" borderId="3" xfId="0" applyNumberFormat="1" applyFill="1" applyBorder="1" applyAlignment="1"/>
    <xf numFmtId="0" fontId="10" fillId="0" borderId="0" xfId="2"/>
    <xf numFmtId="0" fontId="1" fillId="0" borderId="0" xfId="2" applyFont="1" applyAlignment="1"/>
    <xf numFmtId="0" fontId="12" fillId="0" borderId="0" xfId="0" applyFont="1"/>
    <xf numFmtId="0" fontId="0" fillId="0" borderId="0" xfId="0" applyFill="1"/>
    <xf numFmtId="0" fontId="0" fillId="3" borderId="0" xfId="0" applyFill="1"/>
    <xf numFmtId="0" fontId="0" fillId="0" borderId="0" xfId="0" applyFill="1" applyBorder="1"/>
    <xf numFmtId="0" fontId="7" fillId="0" borderId="0" xfId="0" applyFont="1" applyAlignment="1">
      <alignment horizontal="center" vertical="center"/>
    </xf>
    <xf numFmtId="0" fontId="7" fillId="0" borderId="0" xfId="0" applyFont="1"/>
    <xf numFmtId="0" fontId="3" fillId="0" borderId="0" xfId="1" applyFill="1"/>
    <xf numFmtId="0" fontId="0" fillId="0" borderId="0" xfId="0" applyFont="1" applyFill="1" applyBorder="1" applyAlignment="1">
      <alignment horizontal="center" vertical="center"/>
    </xf>
    <xf numFmtId="0" fontId="3" fillId="0" borderId="0" xfId="1" applyFill="1" applyBorder="1" applyAlignment="1">
      <alignment horizontal="center"/>
    </xf>
    <xf numFmtId="0" fontId="10" fillId="3" borderId="0" xfId="2" applyFill="1"/>
    <xf numFmtId="0" fontId="3" fillId="0" borderId="0" xfId="1" applyFill="1" applyBorder="1" applyAlignment="1">
      <alignment horizontal="left"/>
    </xf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1" xfId="0" applyNumberFormat="1" applyFont="1" applyFill="1" applyBorder="1" applyAlignment="1" applyProtection="1">
      <alignment vertical="center" wrapText="1"/>
    </xf>
    <xf numFmtId="2" fontId="2" fillId="0" borderId="1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Continuous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3" fillId="0" borderId="0" xfId="1"/>
    <xf numFmtId="0" fontId="3" fillId="0" borderId="0" xfId="1" quotePrefix="1"/>
    <xf numFmtId="0" fontId="10" fillId="0" borderId="0" xfId="2"/>
    <xf numFmtId="0" fontId="10" fillId="0" borderId="0" xfId="2" applyFill="1"/>
    <xf numFmtId="0" fontId="1" fillId="0" borderId="0" xfId="2" applyFont="1" applyAlignment="1"/>
    <xf numFmtId="0" fontId="0" fillId="0" borderId="0" xfId="0" applyFill="1"/>
    <xf numFmtId="0" fontId="0" fillId="3" borderId="0" xfId="0" applyFill="1"/>
    <xf numFmtId="0" fontId="1" fillId="0" borderId="0" xfId="2" applyFont="1" applyFill="1" applyAlignment="1"/>
    <xf numFmtId="0" fontId="0" fillId="0" borderId="0" xfId="0" applyFill="1" applyAlignment="1">
      <alignment horizont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2" fontId="0" fillId="4" borderId="0" xfId="0" applyNumberFormat="1" applyFill="1"/>
    <xf numFmtId="2" fontId="0" fillId="5" borderId="0" xfId="0" applyNumberFormat="1" applyFill="1"/>
    <xf numFmtId="1" fontId="0" fillId="0" borderId="0" xfId="0" applyNumberFormat="1"/>
    <xf numFmtId="2" fontId="0" fillId="0" borderId="0" xfId="0" applyNumberFormat="1" applyFont="1" applyFill="1"/>
    <xf numFmtId="0" fontId="1" fillId="0" borderId="0" xfId="0" applyFont="1" applyFill="1"/>
    <xf numFmtId="0" fontId="14" fillId="0" borderId="0" xfId="1" applyFont="1" applyFill="1"/>
    <xf numFmtId="0" fontId="0" fillId="0" borderId="0" xfId="2" applyFont="1" applyFill="1"/>
    <xf numFmtId="2" fontId="0" fillId="0" borderId="0" xfId="0" applyNumberFormat="1" applyAlignment="1">
      <alignment vertical="center"/>
    </xf>
    <xf numFmtId="2" fontId="0" fillId="4" borderId="0" xfId="0" applyNumberFormat="1" applyFill="1" applyAlignment="1">
      <alignment vertical="center"/>
    </xf>
    <xf numFmtId="2" fontId="0" fillId="5" borderId="0" xfId="0" applyNumberFormat="1" applyFill="1" applyAlignment="1">
      <alignment vertical="center"/>
    </xf>
    <xf numFmtId="0" fontId="0" fillId="0" borderId="0" xfId="0" applyFont="1" applyAlignment="1">
      <alignment horizontal="center" vertical="center"/>
    </xf>
    <xf numFmtId="164" fontId="0" fillId="0" borderId="0" xfId="0" applyNumberFormat="1" applyFont="1" applyFill="1"/>
    <xf numFmtId="2" fontId="0" fillId="0" borderId="0" xfId="0" applyNumberFormat="1" applyFill="1" applyAlignment="1">
      <alignment vertical="center"/>
    </xf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2" fontId="2" fillId="0" borderId="1" xfId="0" applyNumberFormat="1" applyFont="1" applyFill="1" applyBorder="1" applyAlignment="1" applyProtection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3" fillId="0" borderId="0" xfId="1"/>
    <xf numFmtId="0" fontId="3" fillId="0" borderId="0" xfId="1" quotePrefix="1"/>
    <xf numFmtId="0" fontId="10" fillId="0" borderId="0" xfId="2"/>
    <xf numFmtId="0" fontId="10" fillId="0" borderId="0" xfId="2" applyFill="1"/>
    <xf numFmtId="0" fontId="12" fillId="0" borderId="0" xfId="0" applyFont="1"/>
    <xf numFmtId="0" fontId="0" fillId="0" borderId="0" xfId="0" applyFill="1"/>
    <xf numFmtId="0" fontId="0" fillId="3" borderId="0" xfId="0" applyFill="1"/>
    <xf numFmtId="0" fontId="0" fillId="0" borderId="0" xfId="0" applyFill="1" applyAlignment="1">
      <alignment horizontal="center" vertical="center"/>
    </xf>
    <xf numFmtId="2" fontId="0" fillId="7" borderId="0" xfId="0" applyNumberFormat="1" applyFill="1" applyAlignment="1">
      <alignment vertical="center"/>
    </xf>
    <xf numFmtId="0" fontId="4" fillId="0" borderId="5" xfId="0" applyFont="1" applyFill="1" applyBorder="1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1" xfId="0" applyNumberFormat="1" applyFont="1" applyFill="1" applyBorder="1" applyAlignment="1" applyProtection="1">
      <alignment vertical="center" wrapText="1"/>
    </xf>
    <xf numFmtId="2" fontId="2" fillId="0" borderId="1" xfId="0" applyNumberFormat="1" applyFont="1" applyFill="1" applyBorder="1" applyAlignment="1" applyProtection="1">
      <alignment vertical="center" wrapText="1"/>
    </xf>
    <xf numFmtId="2" fontId="2" fillId="0" borderId="2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Continuous"/>
    </xf>
    <xf numFmtId="0" fontId="1" fillId="0" borderId="0" xfId="0" applyFont="1"/>
    <xf numFmtId="0" fontId="3" fillId="0" borderId="1" xfId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3" fillId="0" borderId="0" xfId="1"/>
    <xf numFmtId="0" fontId="3" fillId="0" borderId="0" xfId="1" quotePrefix="1"/>
    <xf numFmtId="0" fontId="10" fillId="0" borderId="0" xfId="2"/>
    <xf numFmtId="0" fontId="10" fillId="0" borderId="0" xfId="2" applyFill="1"/>
    <xf numFmtId="0" fontId="1" fillId="0" borderId="0" xfId="2" applyFont="1" applyAlignment="1"/>
    <xf numFmtId="0" fontId="0" fillId="3" borderId="0" xfId="0" applyFill="1" applyBorder="1" applyAlignment="1"/>
    <xf numFmtId="0" fontId="0" fillId="3" borderId="3" xfId="0" applyFill="1" applyBorder="1" applyAlignment="1"/>
    <xf numFmtId="0" fontId="0" fillId="6" borderId="0" xfId="0" applyFill="1" applyBorder="1" applyAlignment="1"/>
    <xf numFmtId="0" fontId="0" fillId="8" borderId="0" xfId="0" applyFill="1" applyBorder="1" applyAlignment="1"/>
    <xf numFmtId="0" fontId="0" fillId="8" borderId="3" xfId="0" applyFill="1" applyBorder="1" applyAlignment="1"/>
    <xf numFmtId="0" fontId="12" fillId="0" borderId="0" xfId="0" applyFont="1"/>
    <xf numFmtId="0" fontId="0" fillId="6" borderId="3" xfId="0" applyFill="1" applyBorder="1" applyAlignment="1"/>
    <xf numFmtId="0" fontId="0" fillId="0" borderId="0" xfId="0" applyFill="1"/>
    <xf numFmtId="0" fontId="0" fillId="3" borderId="0" xfId="0" applyFill="1"/>
    <xf numFmtId="0" fontId="0" fillId="0" borderId="1" xfId="0" applyBorder="1" applyAlignment="1">
      <alignment horizontal="center" vertical="center"/>
    </xf>
    <xf numFmtId="0" fontId="0" fillId="3" borderId="7" xfId="0" applyFill="1" applyBorder="1" applyAlignment="1"/>
    <xf numFmtId="2" fontId="0" fillId="3" borderId="0" xfId="0" applyNumberFormat="1" applyFill="1" applyAlignment="1">
      <alignment horizontal="center" vertical="center"/>
    </xf>
    <xf numFmtId="2" fontId="0" fillId="3" borderId="0" xfId="0" applyNumberFormat="1" applyFill="1"/>
    <xf numFmtId="0" fontId="0" fillId="0" borderId="1" xfId="0" applyBorder="1" applyAlignment="1">
      <alignment horizontal="center" vertical="center" wrapText="1"/>
    </xf>
    <xf numFmtId="0" fontId="3" fillId="3" borderId="1" xfId="1" applyFill="1" applyBorder="1" applyAlignment="1">
      <alignment vertical="center"/>
    </xf>
    <xf numFmtId="0" fontId="10" fillId="3" borderId="1" xfId="2" applyFill="1" applyBorder="1" applyAlignment="1">
      <alignment vertical="center"/>
    </xf>
    <xf numFmtId="2" fontId="3" fillId="0" borderId="1" xfId="1" applyNumberFormat="1" applyBorder="1" applyAlignment="1">
      <alignment vertical="center"/>
    </xf>
    <xf numFmtId="0" fontId="3" fillId="0" borderId="1" xfId="1" applyBorder="1"/>
    <xf numFmtId="0" fontId="3" fillId="3" borderId="1" xfId="1" applyFill="1" applyBorder="1"/>
    <xf numFmtId="0" fontId="0" fillId="3" borderId="1" xfId="0" applyFill="1" applyBorder="1"/>
    <xf numFmtId="2" fontId="3" fillId="0" borderId="1" xfId="1" applyNumberFormat="1" applyBorder="1"/>
    <xf numFmtId="0" fontId="3" fillId="0" borderId="1" xfId="1" applyFill="1" applyBorder="1"/>
    <xf numFmtId="0" fontId="7" fillId="0" borderId="1" xfId="0" applyFon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3" fillId="0" borderId="1" xfId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/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Alignment="1">
      <alignment horizontal="right"/>
    </xf>
    <xf numFmtId="0" fontId="3" fillId="0" borderId="0" xfId="1" applyFill="1" applyBorder="1"/>
    <xf numFmtId="0" fontId="10" fillId="0" borderId="0" xfId="2" applyFill="1" applyBorder="1"/>
    <xf numFmtId="0" fontId="3" fillId="0" borderId="0" xfId="1" quotePrefix="1" applyFill="1" applyBorder="1"/>
    <xf numFmtId="2" fontId="0" fillId="10" borderId="0" xfId="0" applyNumberFormat="1" applyFill="1" applyAlignment="1">
      <alignment horizontal="right"/>
    </xf>
    <xf numFmtId="2" fontId="0" fillId="10" borderId="0" xfId="0" applyNumberFormat="1" applyFill="1"/>
    <xf numFmtId="165" fontId="3" fillId="0" borderId="1" xfId="1" applyNumberFormat="1" applyBorder="1"/>
    <xf numFmtId="0" fontId="6" fillId="0" borderId="0" xfId="0" applyFont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6">
    <cellStyle name="Гиперссылка" xfId="1" builtinId="8"/>
    <cellStyle name="Гиперссылка 2" xfId="3"/>
    <cellStyle name="Обычный" xfId="0" builtinId="0"/>
    <cellStyle name="Обычный 2" xfId="2"/>
    <cellStyle name="Финансовый 2" xfId="4"/>
    <cellStyle name="Финансовый 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Средние цены производителей с/х продукции, реализуемой с/х организациями (птица с/х в убойном весе), Руб./т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'Тит лист'!$D$14:$D$73</c:f>
              <c:numCache>
                <c:formatCode>0.00</c:formatCode>
                <c:ptCount val="60"/>
                <c:pt idx="0">
                  <c:v>70893.600000000006</c:v>
                </c:pt>
                <c:pt idx="1">
                  <c:v>70392.98</c:v>
                </c:pt>
                <c:pt idx="2">
                  <c:v>70256.63</c:v>
                </c:pt>
                <c:pt idx="3">
                  <c:v>70189.759999999995</c:v>
                </c:pt>
                <c:pt idx="4">
                  <c:v>70468.94</c:v>
                </c:pt>
                <c:pt idx="5">
                  <c:v>70520.399999999994</c:v>
                </c:pt>
                <c:pt idx="6">
                  <c:v>74325.27</c:v>
                </c:pt>
                <c:pt idx="7">
                  <c:v>76378.39</c:v>
                </c:pt>
                <c:pt idx="8">
                  <c:v>79677.22</c:v>
                </c:pt>
                <c:pt idx="9">
                  <c:v>80664.95</c:v>
                </c:pt>
                <c:pt idx="10">
                  <c:v>82246.86</c:v>
                </c:pt>
                <c:pt idx="11">
                  <c:v>81836.759999999995</c:v>
                </c:pt>
                <c:pt idx="12">
                  <c:v>78275.3</c:v>
                </c:pt>
                <c:pt idx="13">
                  <c:v>73730.42</c:v>
                </c:pt>
                <c:pt idx="14">
                  <c:v>71289.279999999999</c:v>
                </c:pt>
                <c:pt idx="15">
                  <c:v>72839.63</c:v>
                </c:pt>
                <c:pt idx="16">
                  <c:v>70868.39</c:v>
                </c:pt>
                <c:pt idx="17">
                  <c:v>72645.23</c:v>
                </c:pt>
                <c:pt idx="18">
                  <c:v>72701.83</c:v>
                </c:pt>
                <c:pt idx="19">
                  <c:v>72815.929999999993</c:v>
                </c:pt>
                <c:pt idx="20" formatCode="General">
                  <c:v>72786</c:v>
                </c:pt>
                <c:pt idx="21">
                  <c:v>69715.53</c:v>
                </c:pt>
                <c:pt idx="22">
                  <c:v>70508.039999999994</c:v>
                </c:pt>
                <c:pt idx="23">
                  <c:v>69879.350000000006</c:v>
                </c:pt>
                <c:pt idx="24">
                  <c:v>74218.64</c:v>
                </c:pt>
                <c:pt idx="25">
                  <c:v>72517.240000000005</c:v>
                </c:pt>
                <c:pt idx="26">
                  <c:v>76730.179999999993</c:v>
                </c:pt>
                <c:pt idx="27">
                  <c:v>78696.2</c:v>
                </c:pt>
                <c:pt idx="28">
                  <c:v>82153.98</c:v>
                </c:pt>
                <c:pt idx="29">
                  <c:v>86601.85</c:v>
                </c:pt>
                <c:pt idx="30">
                  <c:v>91844.53</c:v>
                </c:pt>
                <c:pt idx="31">
                  <c:v>95474.23</c:v>
                </c:pt>
                <c:pt idx="32">
                  <c:v>98413.41</c:v>
                </c:pt>
                <c:pt idx="33">
                  <c:v>100417.43</c:v>
                </c:pt>
                <c:pt idx="34">
                  <c:v>98281.93</c:v>
                </c:pt>
                <c:pt idx="35">
                  <c:v>97019.43</c:v>
                </c:pt>
                <c:pt idx="36">
                  <c:v>98420.3</c:v>
                </c:pt>
                <c:pt idx="37">
                  <c:v>97818.39</c:v>
                </c:pt>
                <c:pt idx="38">
                  <c:v>96463.79</c:v>
                </c:pt>
                <c:pt idx="39">
                  <c:v>97592.48</c:v>
                </c:pt>
                <c:pt idx="40">
                  <c:v>95935.15</c:v>
                </c:pt>
                <c:pt idx="41">
                  <c:v>95011.99</c:v>
                </c:pt>
                <c:pt idx="42">
                  <c:v>96402.04</c:v>
                </c:pt>
                <c:pt idx="43">
                  <c:v>95988.39</c:v>
                </c:pt>
                <c:pt idx="44">
                  <c:v>94977.86</c:v>
                </c:pt>
                <c:pt idx="45">
                  <c:v>96262.87</c:v>
                </c:pt>
                <c:pt idx="46">
                  <c:v>97210.37</c:v>
                </c:pt>
                <c:pt idx="47">
                  <c:v>96372.24</c:v>
                </c:pt>
                <c:pt idx="48">
                  <c:v>94819.62</c:v>
                </c:pt>
                <c:pt idx="49">
                  <c:v>94680.68</c:v>
                </c:pt>
                <c:pt idx="50">
                  <c:v>95779.95</c:v>
                </c:pt>
                <c:pt idx="51">
                  <c:v>94871.55</c:v>
                </c:pt>
                <c:pt idx="52">
                  <c:v>95734.9</c:v>
                </c:pt>
                <c:pt idx="53">
                  <c:v>95827.11</c:v>
                </c:pt>
                <c:pt idx="54">
                  <c:v>96289.02</c:v>
                </c:pt>
                <c:pt idx="55">
                  <c:v>98548.43</c:v>
                </c:pt>
                <c:pt idx="56">
                  <c:v>102016.72</c:v>
                </c:pt>
                <c:pt idx="57">
                  <c:v>103575.62</c:v>
                </c:pt>
                <c:pt idx="58">
                  <c:v>105493.35</c:v>
                </c:pt>
                <c:pt idx="59">
                  <c:v>105200.29</c:v>
                </c:pt>
              </c:numCache>
            </c:numRef>
          </c:xVal>
          <c:yVal>
            <c:numRef>
              <c:f>'АД исход данных'!$C$30:$C$89</c:f>
              <c:numCache>
                <c:formatCode>General</c:formatCode>
                <c:ptCount val="60"/>
                <c:pt idx="0">
                  <c:v>-1.8811538600561306</c:v>
                </c:pt>
                <c:pt idx="1">
                  <c:v>-1.0668606615203373</c:v>
                </c:pt>
                <c:pt idx="2">
                  <c:v>-2.0371288680002806</c:v>
                </c:pt>
                <c:pt idx="3">
                  <c:v>-0.46349498628281083</c:v>
                </c:pt>
                <c:pt idx="4">
                  <c:v>-2.4637059771263381</c:v>
                </c:pt>
                <c:pt idx="5">
                  <c:v>-0.63432229988224265</c:v>
                </c:pt>
                <c:pt idx="6">
                  <c:v>-0.68478609911184662</c:v>
                </c:pt>
                <c:pt idx="7">
                  <c:v>1.5238160969512506</c:v>
                </c:pt>
                <c:pt idx="8">
                  <c:v>2.096126597455509</c:v>
                </c:pt>
                <c:pt idx="9">
                  <c:v>2.908790617127849</c:v>
                </c:pt>
                <c:pt idx="10">
                  <c:v>0.75578610694222448</c:v>
                </c:pt>
                <c:pt idx="11">
                  <c:v>0.16098778209671138</c:v>
                </c:pt>
                <c:pt idx="12">
                  <c:v>2.0297527335477241</c:v>
                </c:pt>
                <c:pt idx="13">
                  <c:v>4.1347570153550492</c:v>
                </c:pt>
                <c:pt idx="14">
                  <c:v>4.8633202690822088</c:v>
                </c:pt>
                <c:pt idx="15">
                  <c:v>0.7556579107991297</c:v>
                </c:pt>
                <c:pt idx="16">
                  <c:v>2.1890032263361974</c:v>
                </c:pt>
                <c:pt idx="17">
                  <c:v>0.54425392809763196</c:v>
                </c:pt>
                <c:pt idx="18">
                  <c:v>0.6134070103451279</c:v>
                </c:pt>
                <c:pt idx="19">
                  <c:v>-0.18117891582716084</c:v>
                </c:pt>
                <c:pt idx="20">
                  <c:v>-2.6379643253008567E-2</c:v>
                </c:pt>
                <c:pt idx="21">
                  <c:v>1.014268916087687</c:v>
                </c:pt>
                <c:pt idx="22">
                  <c:v>0.45360878535785787</c:v>
                </c:pt>
                <c:pt idx="23">
                  <c:v>7.7749946075260254</c:v>
                </c:pt>
                <c:pt idx="24">
                  <c:v>-3.928226919469509</c:v>
                </c:pt>
                <c:pt idx="25">
                  <c:v>-1.7748113109403931</c:v>
                </c:pt>
                <c:pt idx="26">
                  <c:v>-6.1974742127295457</c:v>
                </c:pt>
                <c:pt idx="27">
                  <c:v>-6.9543733997345925</c:v>
                </c:pt>
                <c:pt idx="28">
                  <c:v>-5.1909847103603965</c:v>
                </c:pt>
                <c:pt idx="29">
                  <c:v>-2.8226791042990413</c:v>
                </c:pt>
                <c:pt idx="30">
                  <c:v>-2.083040614728489</c:v>
                </c:pt>
                <c:pt idx="31">
                  <c:v>-1.1937788866187873</c:v>
                </c:pt>
                <c:pt idx="32">
                  <c:v>-0.37574109522023491</c:v>
                </c:pt>
                <c:pt idx="33">
                  <c:v>-1.7514770774359363</c:v>
                </c:pt>
                <c:pt idx="34">
                  <c:v>-0.11595361709933627</c:v>
                </c:pt>
                <c:pt idx="35">
                  <c:v>0.12917219103823641</c:v>
                </c:pt>
                <c:pt idx="36">
                  <c:v>1.0328289285270955</c:v>
                </c:pt>
                <c:pt idx="37">
                  <c:v>4.0411887297268549</c:v>
                </c:pt>
                <c:pt idx="38">
                  <c:v>4.6663012439591398</c:v>
                </c:pt>
                <c:pt idx="39">
                  <c:v>2.4866251209581094</c:v>
                </c:pt>
                <c:pt idx="40">
                  <c:v>2.9728309946792137</c:v>
                </c:pt>
                <c:pt idx="41">
                  <c:v>2.9281725394598084</c:v>
                </c:pt>
                <c:pt idx="42">
                  <c:v>1.0487386542678792</c:v>
                </c:pt>
                <c:pt idx="43">
                  <c:v>1.3211402095854226</c:v>
                </c:pt>
                <c:pt idx="44">
                  <c:v>2.555620053469994</c:v>
                </c:pt>
                <c:pt idx="45">
                  <c:v>1.8955758252428154</c:v>
                </c:pt>
                <c:pt idx="46">
                  <c:v>0.1955062514056749</c:v>
                </c:pt>
                <c:pt idx="47">
                  <c:v>-0.66246415840080886</c:v>
                </c:pt>
                <c:pt idx="48">
                  <c:v>-2.0626322800213188</c:v>
                </c:pt>
                <c:pt idx="49">
                  <c:v>-2.436894996176818</c:v>
                </c:pt>
                <c:pt idx="50">
                  <c:v>-3.3043212879459816</c:v>
                </c:pt>
                <c:pt idx="51">
                  <c:v>-2.4497490797364776</c:v>
                </c:pt>
                <c:pt idx="52">
                  <c:v>-1.9951964805739522</c:v>
                </c:pt>
                <c:pt idx="53">
                  <c:v>-1.4559159819915521</c:v>
                </c:pt>
                <c:pt idx="54">
                  <c:v>1.2487130767722761</c:v>
                </c:pt>
                <c:pt idx="55">
                  <c:v>-0.22261503457625054</c:v>
                </c:pt>
                <c:pt idx="56">
                  <c:v>-1.026752353045822</c:v>
                </c:pt>
                <c:pt idx="57">
                  <c:v>-0.2757691207607138</c:v>
                </c:pt>
                <c:pt idx="58">
                  <c:v>-0.10556426918577699</c:v>
                </c:pt>
                <c:pt idx="59">
                  <c:v>-0.51551812009017794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9F4-4BE7-840A-6F2B8F415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206880"/>
        <c:axId val="2052208512"/>
      </c:scatterChart>
      <c:valAx>
        <c:axId val="205220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Средние цены производителей с/х продукции, реализуемой с/х организациями (птица с/х в убойном весе), Руб./т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052208512"/>
        <c:crosses val="autoZero"/>
        <c:crossBetween val="midCat"/>
      </c:valAx>
      <c:valAx>
        <c:axId val="2052208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206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Поголовье птицы, тыс. голов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'Тит лист'!$E$14:$E$73</c:f>
              <c:numCache>
                <c:formatCode>General</c:formatCode>
                <c:ptCount val="60"/>
                <c:pt idx="0">
                  <c:v>495852.6</c:v>
                </c:pt>
                <c:pt idx="1">
                  <c:v>494356.21</c:v>
                </c:pt>
                <c:pt idx="2">
                  <c:v>493826.35</c:v>
                </c:pt>
                <c:pt idx="3">
                  <c:v>491922.49</c:v>
                </c:pt>
                <c:pt idx="4">
                  <c:v>494987.4</c:v>
                </c:pt>
                <c:pt idx="5">
                  <c:v>499933.2</c:v>
                </c:pt>
                <c:pt idx="6">
                  <c:v>504654.29</c:v>
                </c:pt>
                <c:pt idx="7">
                  <c:v>502246.32</c:v>
                </c:pt>
                <c:pt idx="8">
                  <c:v>507284.61</c:v>
                </c:pt>
                <c:pt idx="9">
                  <c:v>511264.1</c:v>
                </c:pt>
                <c:pt idx="10">
                  <c:v>507893.75</c:v>
                </c:pt>
                <c:pt idx="11">
                  <c:v>503968.92</c:v>
                </c:pt>
                <c:pt idx="12">
                  <c:v>494578.49</c:v>
                </c:pt>
                <c:pt idx="13">
                  <c:v>497892.4</c:v>
                </c:pt>
                <c:pt idx="14">
                  <c:v>502643.15</c:v>
                </c:pt>
                <c:pt idx="15">
                  <c:v>505356.49</c:v>
                </c:pt>
                <c:pt idx="16">
                  <c:v>505894.26</c:v>
                </c:pt>
                <c:pt idx="17">
                  <c:v>509487.6</c:v>
                </c:pt>
                <c:pt idx="18">
                  <c:v>515679.9</c:v>
                </c:pt>
                <c:pt idx="19">
                  <c:v>516214.74</c:v>
                </c:pt>
                <c:pt idx="20">
                  <c:v>514256.13</c:v>
                </c:pt>
                <c:pt idx="21">
                  <c:v>512965.3</c:v>
                </c:pt>
                <c:pt idx="22">
                  <c:v>519654.25</c:v>
                </c:pt>
                <c:pt idx="23">
                  <c:v>523874.3</c:v>
                </c:pt>
                <c:pt idx="24">
                  <c:v>527326</c:v>
                </c:pt>
                <c:pt idx="25">
                  <c:v>521835.7</c:v>
                </c:pt>
                <c:pt idx="26">
                  <c:v>515389</c:v>
                </c:pt>
                <c:pt idx="27">
                  <c:v>510620.8</c:v>
                </c:pt>
                <c:pt idx="28">
                  <c:v>518659</c:v>
                </c:pt>
                <c:pt idx="29">
                  <c:v>529324.68000000005</c:v>
                </c:pt>
                <c:pt idx="30">
                  <c:v>537441.18999999994</c:v>
                </c:pt>
                <c:pt idx="31">
                  <c:v>542365.21</c:v>
                </c:pt>
                <c:pt idx="32">
                  <c:v>545986.31999999995</c:v>
                </c:pt>
                <c:pt idx="33">
                  <c:v>547324.80000000005</c:v>
                </c:pt>
                <c:pt idx="34">
                  <c:v>545895.19999999995</c:v>
                </c:pt>
                <c:pt idx="35">
                  <c:v>548956.56000000006</c:v>
                </c:pt>
                <c:pt idx="36">
                  <c:v>547195.30000000005</c:v>
                </c:pt>
                <c:pt idx="37">
                  <c:v>546512.30000000005</c:v>
                </c:pt>
                <c:pt idx="38">
                  <c:v>544625</c:v>
                </c:pt>
                <c:pt idx="39">
                  <c:v>545049.80000000005</c:v>
                </c:pt>
                <c:pt idx="40">
                  <c:v>547123.1</c:v>
                </c:pt>
                <c:pt idx="41">
                  <c:v>545156.30000000005</c:v>
                </c:pt>
                <c:pt idx="42">
                  <c:v>545049.80000000005</c:v>
                </c:pt>
                <c:pt idx="43">
                  <c:v>551483.6</c:v>
                </c:pt>
                <c:pt idx="44">
                  <c:v>559456.31999999995</c:v>
                </c:pt>
                <c:pt idx="45">
                  <c:v>569744.39</c:v>
                </c:pt>
                <c:pt idx="46">
                  <c:v>562321.17000000004</c:v>
                </c:pt>
                <c:pt idx="47">
                  <c:v>557562.30000000005</c:v>
                </c:pt>
                <c:pt idx="48">
                  <c:v>553010.49</c:v>
                </c:pt>
                <c:pt idx="49">
                  <c:v>554289.6</c:v>
                </c:pt>
                <c:pt idx="50">
                  <c:v>552386.15</c:v>
                </c:pt>
                <c:pt idx="51">
                  <c:v>551803.18999999994</c:v>
                </c:pt>
                <c:pt idx="52">
                  <c:v>556821.30000000005</c:v>
                </c:pt>
                <c:pt idx="53">
                  <c:v>557458.36</c:v>
                </c:pt>
                <c:pt idx="54">
                  <c:v>559287.59</c:v>
                </c:pt>
                <c:pt idx="55">
                  <c:v>564587.19999999995</c:v>
                </c:pt>
                <c:pt idx="56">
                  <c:v>566745.39</c:v>
                </c:pt>
                <c:pt idx="57">
                  <c:v>570205.5</c:v>
                </c:pt>
                <c:pt idx="58">
                  <c:v>568319.4</c:v>
                </c:pt>
                <c:pt idx="59">
                  <c:v>563212.69999999995</c:v>
                </c:pt>
              </c:numCache>
            </c:numRef>
          </c:xVal>
          <c:yVal>
            <c:numRef>
              <c:f>'АД исход данных'!$C$30:$C$89</c:f>
              <c:numCache>
                <c:formatCode>General</c:formatCode>
                <c:ptCount val="60"/>
                <c:pt idx="0">
                  <c:v>-1.8811538600561306</c:v>
                </c:pt>
                <c:pt idx="1">
                  <c:v>-1.0668606615203373</c:v>
                </c:pt>
                <c:pt idx="2">
                  <c:v>-2.0371288680002806</c:v>
                </c:pt>
                <c:pt idx="3">
                  <c:v>-0.46349498628281083</c:v>
                </c:pt>
                <c:pt idx="4">
                  <c:v>-2.4637059771263381</c:v>
                </c:pt>
                <c:pt idx="5">
                  <c:v>-0.63432229988224265</c:v>
                </c:pt>
                <c:pt idx="6">
                  <c:v>-0.68478609911184662</c:v>
                </c:pt>
                <c:pt idx="7">
                  <c:v>1.5238160969512506</c:v>
                </c:pt>
                <c:pt idx="8">
                  <c:v>2.096126597455509</c:v>
                </c:pt>
                <c:pt idx="9">
                  <c:v>2.908790617127849</c:v>
                </c:pt>
                <c:pt idx="10">
                  <c:v>0.75578610694222448</c:v>
                </c:pt>
                <c:pt idx="11">
                  <c:v>0.16098778209671138</c:v>
                </c:pt>
                <c:pt idx="12">
                  <c:v>2.0297527335477241</c:v>
                </c:pt>
                <c:pt idx="13">
                  <c:v>4.1347570153550492</c:v>
                </c:pt>
                <c:pt idx="14">
                  <c:v>4.8633202690822088</c:v>
                </c:pt>
                <c:pt idx="15">
                  <c:v>0.7556579107991297</c:v>
                </c:pt>
                <c:pt idx="16">
                  <c:v>2.1890032263361974</c:v>
                </c:pt>
                <c:pt idx="17">
                  <c:v>0.54425392809763196</c:v>
                </c:pt>
                <c:pt idx="18">
                  <c:v>0.6134070103451279</c:v>
                </c:pt>
                <c:pt idx="19">
                  <c:v>-0.18117891582716084</c:v>
                </c:pt>
                <c:pt idx="20">
                  <c:v>-2.6379643253008567E-2</c:v>
                </c:pt>
                <c:pt idx="21">
                  <c:v>1.014268916087687</c:v>
                </c:pt>
                <c:pt idx="22">
                  <c:v>0.45360878535785787</c:v>
                </c:pt>
                <c:pt idx="23">
                  <c:v>7.7749946075260254</c:v>
                </c:pt>
                <c:pt idx="24">
                  <c:v>-3.928226919469509</c:v>
                </c:pt>
                <c:pt idx="25">
                  <c:v>-1.7748113109403931</c:v>
                </c:pt>
                <c:pt idx="26">
                  <c:v>-6.1974742127295457</c:v>
                </c:pt>
                <c:pt idx="27">
                  <c:v>-6.9543733997345925</c:v>
                </c:pt>
                <c:pt idx="28">
                  <c:v>-5.1909847103603965</c:v>
                </c:pt>
                <c:pt idx="29">
                  <c:v>-2.8226791042990413</c:v>
                </c:pt>
                <c:pt idx="30">
                  <c:v>-2.083040614728489</c:v>
                </c:pt>
                <c:pt idx="31">
                  <c:v>-1.1937788866187873</c:v>
                </c:pt>
                <c:pt idx="32">
                  <c:v>-0.37574109522023491</c:v>
                </c:pt>
                <c:pt idx="33">
                  <c:v>-1.7514770774359363</c:v>
                </c:pt>
                <c:pt idx="34">
                  <c:v>-0.11595361709933627</c:v>
                </c:pt>
                <c:pt idx="35">
                  <c:v>0.12917219103823641</c:v>
                </c:pt>
                <c:pt idx="36">
                  <c:v>1.0328289285270955</c:v>
                </c:pt>
                <c:pt idx="37">
                  <c:v>4.0411887297268549</c:v>
                </c:pt>
                <c:pt idx="38">
                  <c:v>4.6663012439591398</c:v>
                </c:pt>
                <c:pt idx="39">
                  <c:v>2.4866251209581094</c:v>
                </c:pt>
                <c:pt idx="40">
                  <c:v>2.9728309946792137</c:v>
                </c:pt>
                <c:pt idx="41">
                  <c:v>2.9281725394598084</c:v>
                </c:pt>
                <c:pt idx="42">
                  <c:v>1.0487386542678792</c:v>
                </c:pt>
                <c:pt idx="43">
                  <c:v>1.3211402095854226</c:v>
                </c:pt>
                <c:pt idx="44">
                  <c:v>2.555620053469994</c:v>
                </c:pt>
                <c:pt idx="45">
                  <c:v>1.8955758252428154</c:v>
                </c:pt>
                <c:pt idx="46">
                  <c:v>0.1955062514056749</c:v>
                </c:pt>
                <c:pt idx="47">
                  <c:v>-0.66246415840080886</c:v>
                </c:pt>
                <c:pt idx="48">
                  <c:v>-2.0626322800213188</c:v>
                </c:pt>
                <c:pt idx="49">
                  <c:v>-2.436894996176818</c:v>
                </c:pt>
                <c:pt idx="50">
                  <c:v>-3.3043212879459816</c:v>
                </c:pt>
                <c:pt idx="51">
                  <c:v>-2.4497490797364776</c:v>
                </c:pt>
                <c:pt idx="52">
                  <c:v>-1.9951964805739522</c:v>
                </c:pt>
                <c:pt idx="53">
                  <c:v>-1.4559159819915521</c:v>
                </c:pt>
                <c:pt idx="54">
                  <c:v>1.2487130767722761</c:v>
                </c:pt>
                <c:pt idx="55">
                  <c:v>-0.22261503457625054</c:v>
                </c:pt>
                <c:pt idx="56">
                  <c:v>-1.026752353045822</c:v>
                </c:pt>
                <c:pt idx="57">
                  <c:v>-0.2757691207607138</c:v>
                </c:pt>
                <c:pt idx="58">
                  <c:v>-0.10556426918577699</c:v>
                </c:pt>
                <c:pt idx="59">
                  <c:v>-0.51551812009017794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3D3-48B7-9E8C-227DB5FB6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83488"/>
        <c:axId val="2052179680"/>
      </c:scatterChart>
      <c:valAx>
        <c:axId val="2052183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Поголовье птицы, тыс. голов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79680"/>
        <c:crosses val="autoZero"/>
        <c:crossBetween val="midCat"/>
      </c:valAx>
      <c:valAx>
        <c:axId val="2052179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183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Средняя цена на приобретённые с/х организациями автомобильный бензин и дизельное топливо, руб./т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'Тит лист'!$F$14:$F$73</c:f>
              <c:numCache>
                <c:formatCode>General</c:formatCode>
                <c:ptCount val="60"/>
                <c:pt idx="0">
                  <c:v>30693.27</c:v>
                </c:pt>
                <c:pt idx="1">
                  <c:v>30330.845000000001</c:v>
                </c:pt>
                <c:pt idx="2">
                  <c:v>29117.575000000001</c:v>
                </c:pt>
                <c:pt idx="3">
                  <c:v>26374.77</c:v>
                </c:pt>
                <c:pt idx="4">
                  <c:v>27921.035</c:v>
                </c:pt>
                <c:pt idx="5">
                  <c:v>26684.254999999997</c:v>
                </c:pt>
                <c:pt idx="6">
                  <c:v>27998.165000000001</c:v>
                </c:pt>
                <c:pt idx="7">
                  <c:v>26800.445</c:v>
                </c:pt>
                <c:pt idx="8">
                  <c:v>28104.639999999999</c:v>
                </c:pt>
                <c:pt idx="9">
                  <c:v>29187.01</c:v>
                </c:pt>
                <c:pt idx="10">
                  <c:v>31053.75</c:v>
                </c:pt>
                <c:pt idx="11">
                  <c:v>32834.595000000001</c:v>
                </c:pt>
                <c:pt idx="12">
                  <c:v>33410.415000000001</c:v>
                </c:pt>
                <c:pt idx="13">
                  <c:v>33158.774999999994</c:v>
                </c:pt>
                <c:pt idx="14">
                  <c:v>32302.74</c:v>
                </c:pt>
                <c:pt idx="15">
                  <c:v>31546.885000000002</c:v>
                </c:pt>
                <c:pt idx="16">
                  <c:v>31470.025000000001</c:v>
                </c:pt>
                <c:pt idx="17">
                  <c:v>31161.184999999998</c:v>
                </c:pt>
                <c:pt idx="18">
                  <c:v>31784.445</c:v>
                </c:pt>
                <c:pt idx="19">
                  <c:v>32330.63</c:v>
                </c:pt>
                <c:pt idx="20">
                  <c:v>33370.205000000002</c:v>
                </c:pt>
                <c:pt idx="21">
                  <c:v>33649.68</c:v>
                </c:pt>
                <c:pt idx="22">
                  <c:v>34390.550000000003</c:v>
                </c:pt>
                <c:pt idx="23">
                  <c:v>35060.425000000003</c:v>
                </c:pt>
                <c:pt idx="24">
                  <c:v>35321.544999999998</c:v>
                </c:pt>
                <c:pt idx="25">
                  <c:v>34869.084999999999</c:v>
                </c:pt>
                <c:pt idx="26">
                  <c:v>34749.365000000005</c:v>
                </c:pt>
                <c:pt idx="27">
                  <c:v>34217.119999999995</c:v>
                </c:pt>
                <c:pt idx="28">
                  <c:v>34651.399999999994</c:v>
                </c:pt>
                <c:pt idx="29">
                  <c:v>34633.524999999994</c:v>
                </c:pt>
                <c:pt idx="30">
                  <c:v>35402.485000000001</c:v>
                </c:pt>
                <c:pt idx="31">
                  <c:v>35556.824999999997</c:v>
                </c:pt>
                <c:pt idx="32">
                  <c:v>36010.71</c:v>
                </c:pt>
                <c:pt idx="33">
                  <c:v>36435.434999999998</c:v>
                </c:pt>
                <c:pt idx="34">
                  <c:v>37231.79</c:v>
                </c:pt>
                <c:pt idx="35">
                  <c:v>37307.69</c:v>
                </c:pt>
                <c:pt idx="36">
                  <c:v>36741.72</c:v>
                </c:pt>
                <c:pt idx="37">
                  <c:v>36150.604999999996</c:v>
                </c:pt>
                <c:pt idx="38">
                  <c:v>38026.050000000003</c:v>
                </c:pt>
                <c:pt idx="39">
                  <c:v>36228.885000000002</c:v>
                </c:pt>
                <c:pt idx="40">
                  <c:v>37326.339999999997</c:v>
                </c:pt>
                <c:pt idx="41">
                  <c:v>36578.83</c:v>
                </c:pt>
                <c:pt idx="42">
                  <c:v>37371.214999999997</c:v>
                </c:pt>
                <c:pt idx="43">
                  <c:v>37812.94</c:v>
                </c:pt>
                <c:pt idx="44">
                  <c:v>38081.755000000005</c:v>
                </c:pt>
                <c:pt idx="45">
                  <c:v>38537.42</c:v>
                </c:pt>
                <c:pt idx="46">
                  <c:v>38555.22</c:v>
                </c:pt>
                <c:pt idx="47">
                  <c:v>37939.195</c:v>
                </c:pt>
                <c:pt idx="48">
                  <c:v>37000.61</c:v>
                </c:pt>
                <c:pt idx="49">
                  <c:v>36885.69</c:v>
                </c:pt>
                <c:pt idx="50">
                  <c:v>36631.455000000002</c:v>
                </c:pt>
                <c:pt idx="51">
                  <c:v>36881.425000000003</c:v>
                </c:pt>
                <c:pt idx="52">
                  <c:v>36675.324999999997</c:v>
                </c:pt>
                <c:pt idx="53">
                  <c:v>37859.599999999999</c:v>
                </c:pt>
                <c:pt idx="54">
                  <c:v>38639.339999999997</c:v>
                </c:pt>
                <c:pt idx="55">
                  <c:v>38118.095000000001</c:v>
                </c:pt>
                <c:pt idx="56">
                  <c:v>38031.785000000003</c:v>
                </c:pt>
                <c:pt idx="57">
                  <c:v>38303.055</c:v>
                </c:pt>
                <c:pt idx="58">
                  <c:v>39416.955000000002</c:v>
                </c:pt>
                <c:pt idx="59">
                  <c:v>40166.119999999995</c:v>
                </c:pt>
              </c:numCache>
            </c:numRef>
          </c:xVal>
          <c:yVal>
            <c:numRef>
              <c:f>'АД исход данных'!$C$30:$C$89</c:f>
              <c:numCache>
                <c:formatCode>General</c:formatCode>
                <c:ptCount val="60"/>
                <c:pt idx="0">
                  <c:v>-1.8811538600561306</c:v>
                </c:pt>
                <c:pt idx="1">
                  <c:v>-1.0668606615203373</c:v>
                </c:pt>
                <c:pt idx="2">
                  <c:v>-2.0371288680002806</c:v>
                </c:pt>
                <c:pt idx="3">
                  <c:v>-0.46349498628281083</c:v>
                </c:pt>
                <c:pt idx="4">
                  <c:v>-2.4637059771263381</c:v>
                </c:pt>
                <c:pt idx="5">
                  <c:v>-0.63432229988224265</c:v>
                </c:pt>
                <c:pt idx="6">
                  <c:v>-0.68478609911184662</c:v>
                </c:pt>
                <c:pt idx="7">
                  <c:v>1.5238160969512506</c:v>
                </c:pt>
                <c:pt idx="8">
                  <c:v>2.096126597455509</c:v>
                </c:pt>
                <c:pt idx="9">
                  <c:v>2.908790617127849</c:v>
                </c:pt>
                <c:pt idx="10">
                  <c:v>0.75578610694222448</c:v>
                </c:pt>
                <c:pt idx="11">
                  <c:v>0.16098778209671138</c:v>
                </c:pt>
                <c:pt idx="12">
                  <c:v>2.0297527335477241</c:v>
                </c:pt>
                <c:pt idx="13">
                  <c:v>4.1347570153550492</c:v>
                </c:pt>
                <c:pt idx="14">
                  <c:v>4.8633202690822088</c:v>
                </c:pt>
                <c:pt idx="15">
                  <c:v>0.7556579107991297</c:v>
                </c:pt>
                <c:pt idx="16">
                  <c:v>2.1890032263361974</c:v>
                </c:pt>
                <c:pt idx="17">
                  <c:v>0.54425392809763196</c:v>
                </c:pt>
                <c:pt idx="18">
                  <c:v>0.6134070103451279</c:v>
                </c:pt>
                <c:pt idx="19">
                  <c:v>-0.18117891582716084</c:v>
                </c:pt>
                <c:pt idx="20">
                  <c:v>-2.6379643253008567E-2</c:v>
                </c:pt>
                <c:pt idx="21">
                  <c:v>1.014268916087687</c:v>
                </c:pt>
                <c:pt idx="22">
                  <c:v>0.45360878535785787</c:v>
                </c:pt>
                <c:pt idx="23">
                  <c:v>7.7749946075260254</c:v>
                </c:pt>
                <c:pt idx="24">
                  <c:v>-3.928226919469509</c:v>
                </c:pt>
                <c:pt idx="25">
                  <c:v>-1.7748113109403931</c:v>
                </c:pt>
                <c:pt idx="26">
                  <c:v>-6.1974742127295457</c:v>
                </c:pt>
                <c:pt idx="27">
                  <c:v>-6.9543733997345925</c:v>
                </c:pt>
                <c:pt idx="28">
                  <c:v>-5.1909847103603965</c:v>
                </c:pt>
                <c:pt idx="29">
                  <c:v>-2.8226791042990413</c:v>
                </c:pt>
                <c:pt idx="30">
                  <c:v>-2.083040614728489</c:v>
                </c:pt>
                <c:pt idx="31">
                  <c:v>-1.1937788866187873</c:v>
                </c:pt>
                <c:pt idx="32">
                  <c:v>-0.37574109522023491</c:v>
                </c:pt>
                <c:pt idx="33">
                  <c:v>-1.7514770774359363</c:v>
                </c:pt>
                <c:pt idx="34">
                  <c:v>-0.11595361709933627</c:v>
                </c:pt>
                <c:pt idx="35">
                  <c:v>0.12917219103823641</c:v>
                </c:pt>
                <c:pt idx="36">
                  <c:v>1.0328289285270955</c:v>
                </c:pt>
                <c:pt idx="37">
                  <c:v>4.0411887297268549</c:v>
                </c:pt>
                <c:pt idx="38">
                  <c:v>4.6663012439591398</c:v>
                </c:pt>
                <c:pt idx="39">
                  <c:v>2.4866251209581094</c:v>
                </c:pt>
                <c:pt idx="40">
                  <c:v>2.9728309946792137</c:v>
                </c:pt>
                <c:pt idx="41">
                  <c:v>2.9281725394598084</c:v>
                </c:pt>
                <c:pt idx="42">
                  <c:v>1.0487386542678792</c:v>
                </c:pt>
                <c:pt idx="43">
                  <c:v>1.3211402095854226</c:v>
                </c:pt>
                <c:pt idx="44">
                  <c:v>2.555620053469994</c:v>
                </c:pt>
                <c:pt idx="45">
                  <c:v>1.8955758252428154</c:v>
                </c:pt>
                <c:pt idx="46">
                  <c:v>0.1955062514056749</c:v>
                </c:pt>
                <c:pt idx="47">
                  <c:v>-0.66246415840080886</c:v>
                </c:pt>
                <c:pt idx="48">
                  <c:v>-2.0626322800213188</c:v>
                </c:pt>
                <c:pt idx="49">
                  <c:v>-2.436894996176818</c:v>
                </c:pt>
                <c:pt idx="50">
                  <c:v>-3.3043212879459816</c:v>
                </c:pt>
                <c:pt idx="51">
                  <c:v>-2.4497490797364776</c:v>
                </c:pt>
                <c:pt idx="52">
                  <c:v>-1.9951964805739522</c:v>
                </c:pt>
                <c:pt idx="53">
                  <c:v>-1.4559159819915521</c:v>
                </c:pt>
                <c:pt idx="54">
                  <c:v>1.2487130767722761</c:v>
                </c:pt>
                <c:pt idx="55">
                  <c:v>-0.22261503457625054</c:v>
                </c:pt>
                <c:pt idx="56">
                  <c:v>-1.026752353045822</c:v>
                </c:pt>
                <c:pt idx="57">
                  <c:v>-0.2757691207607138</c:v>
                </c:pt>
                <c:pt idx="58">
                  <c:v>-0.10556426918577699</c:v>
                </c:pt>
                <c:pt idx="59">
                  <c:v>-0.51551812009017794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8D8-487A-A18F-97CDF4706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974336"/>
        <c:axId val="2051905408"/>
      </c:scatterChart>
      <c:valAx>
        <c:axId val="205197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Средняя цена на приобретённые с/х организациями автомобильный бензин и дизельное топливо, руб./т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905408"/>
        <c:crosses val="autoZero"/>
        <c:crossBetween val="midCat"/>
      </c:valAx>
      <c:valAx>
        <c:axId val="2051905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974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Средняя цена на приобретённую с/х организациями электроэнергию, руб./МВт.ч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'Тит лист'!$G$14:$G$73</c:f>
              <c:numCache>
                <c:formatCode>0.00</c:formatCode>
                <c:ptCount val="60"/>
                <c:pt idx="0">
                  <c:v>2710.03</c:v>
                </c:pt>
                <c:pt idx="1">
                  <c:v>2802.63</c:v>
                </c:pt>
                <c:pt idx="2">
                  <c:v>2739.21</c:v>
                </c:pt>
                <c:pt idx="3">
                  <c:v>3487.76</c:v>
                </c:pt>
                <c:pt idx="4">
                  <c:v>2649.2</c:v>
                </c:pt>
                <c:pt idx="5">
                  <c:v>2645.58</c:v>
                </c:pt>
                <c:pt idx="6">
                  <c:v>3077.61</c:v>
                </c:pt>
                <c:pt idx="7">
                  <c:v>3099.03</c:v>
                </c:pt>
                <c:pt idx="8">
                  <c:v>3279.89</c:v>
                </c:pt>
                <c:pt idx="9">
                  <c:v>3087.95</c:v>
                </c:pt>
                <c:pt idx="10">
                  <c:v>3004.93</c:v>
                </c:pt>
                <c:pt idx="11">
                  <c:v>2833.66</c:v>
                </c:pt>
                <c:pt idx="12">
                  <c:v>3534.59</c:v>
                </c:pt>
                <c:pt idx="13">
                  <c:v>3518.38</c:v>
                </c:pt>
                <c:pt idx="14">
                  <c:v>3585.83</c:v>
                </c:pt>
                <c:pt idx="15">
                  <c:v>3185.23</c:v>
                </c:pt>
                <c:pt idx="16">
                  <c:v>3405.33</c:v>
                </c:pt>
                <c:pt idx="17">
                  <c:v>3370.77</c:v>
                </c:pt>
                <c:pt idx="18">
                  <c:v>3789.67</c:v>
                </c:pt>
                <c:pt idx="19">
                  <c:v>3843.62</c:v>
                </c:pt>
                <c:pt idx="20" formatCode="General">
                  <c:v>3837</c:v>
                </c:pt>
                <c:pt idx="21">
                  <c:v>3673.56</c:v>
                </c:pt>
                <c:pt idx="22">
                  <c:v>3495.5</c:v>
                </c:pt>
                <c:pt idx="23">
                  <c:v>3518.73</c:v>
                </c:pt>
                <c:pt idx="24">
                  <c:v>3664.96</c:v>
                </c:pt>
                <c:pt idx="25">
                  <c:v>3675.08</c:v>
                </c:pt>
                <c:pt idx="26">
                  <c:v>3610.9</c:v>
                </c:pt>
                <c:pt idx="27">
                  <c:v>3918.14</c:v>
                </c:pt>
                <c:pt idx="28">
                  <c:v>3896.81</c:v>
                </c:pt>
                <c:pt idx="29">
                  <c:v>3995.53</c:v>
                </c:pt>
                <c:pt idx="30">
                  <c:v>4005.55</c:v>
                </c:pt>
                <c:pt idx="31">
                  <c:v>4088.28</c:v>
                </c:pt>
                <c:pt idx="32">
                  <c:v>3942.97</c:v>
                </c:pt>
                <c:pt idx="33">
                  <c:v>3667.51</c:v>
                </c:pt>
                <c:pt idx="34">
                  <c:v>3931.27</c:v>
                </c:pt>
                <c:pt idx="35">
                  <c:v>3877.77</c:v>
                </c:pt>
                <c:pt idx="36">
                  <c:v>3963.93</c:v>
                </c:pt>
                <c:pt idx="37">
                  <c:v>4197.93</c:v>
                </c:pt>
                <c:pt idx="38">
                  <c:v>4405.04</c:v>
                </c:pt>
                <c:pt idx="39">
                  <c:v>4407.75</c:v>
                </c:pt>
                <c:pt idx="40">
                  <c:v>4450.25</c:v>
                </c:pt>
                <c:pt idx="41">
                  <c:v>4434.34</c:v>
                </c:pt>
                <c:pt idx="42">
                  <c:v>4768.6099999999997</c:v>
                </c:pt>
                <c:pt idx="43">
                  <c:v>4761.05</c:v>
                </c:pt>
                <c:pt idx="44">
                  <c:v>4728.13</c:v>
                </c:pt>
                <c:pt idx="45">
                  <c:v>4789.46</c:v>
                </c:pt>
                <c:pt idx="46">
                  <c:v>4849.1000000000004</c:v>
                </c:pt>
                <c:pt idx="47">
                  <c:v>4694.05</c:v>
                </c:pt>
                <c:pt idx="48">
                  <c:v>4493.75</c:v>
                </c:pt>
                <c:pt idx="49">
                  <c:v>4625.6400000000003</c:v>
                </c:pt>
                <c:pt idx="50">
                  <c:v>4615.66</c:v>
                </c:pt>
                <c:pt idx="51">
                  <c:v>4951.17</c:v>
                </c:pt>
                <c:pt idx="52">
                  <c:v>4934.33</c:v>
                </c:pt>
                <c:pt idx="53">
                  <c:v>5018.21</c:v>
                </c:pt>
                <c:pt idx="54">
                  <c:v>5337.03</c:v>
                </c:pt>
                <c:pt idx="55">
                  <c:v>4828.42</c:v>
                </c:pt>
                <c:pt idx="56">
                  <c:v>4839.95</c:v>
                </c:pt>
                <c:pt idx="57">
                  <c:v>4872.42</c:v>
                </c:pt>
                <c:pt idx="58">
                  <c:v>4729.82</c:v>
                </c:pt>
                <c:pt idx="59">
                  <c:v>4676.71</c:v>
                </c:pt>
              </c:numCache>
            </c:numRef>
          </c:xVal>
          <c:yVal>
            <c:numRef>
              <c:f>'АД исход данных'!$C$30:$C$89</c:f>
              <c:numCache>
                <c:formatCode>General</c:formatCode>
                <c:ptCount val="60"/>
                <c:pt idx="0">
                  <c:v>-1.8811538600561306</c:v>
                </c:pt>
                <c:pt idx="1">
                  <c:v>-1.0668606615203373</c:v>
                </c:pt>
                <c:pt idx="2">
                  <c:v>-2.0371288680002806</c:v>
                </c:pt>
                <c:pt idx="3">
                  <c:v>-0.46349498628281083</c:v>
                </c:pt>
                <c:pt idx="4">
                  <c:v>-2.4637059771263381</c:v>
                </c:pt>
                <c:pt idx="5">
                  <c:v>-0.63432229988224265</c:v>
                </c:pt>
                <c:pt idx="6">
                  <c:v>-0.68478609911184662</c:v>
                </c:pt>
                <c:pt idx="7">
                  <c:v>1.5238160969512506</c:v>
                </c:pt>
                <c:pt idx="8">
                  <c:v>2.096126597455509</c:v>
                </c:pt>
                <c:pt idx="9">
                  <c:v>2.908790617127849</c:v>
                </c:pt>
                <c:pt idx="10">
                  <c:v>0.75578610694222448</c:v>
                </c:pt>
                <c:pt idx="11">
                  <c:v>0.16098778209671138</c:v>
                </c:pt>
                <c:pt idx="12">
                  <c:v>2.0297527335477241</c:v>
                </c:pt>
                <c:pt idx="13">
                  <c:v>4.1347570153550492</c:v>
                </c:pt>
                <c:pt idx="14">
                  <c:v>4.8633202690822088</c:v>
                </c:pt>
                <c:pt idx="15">
                  <c:v>0.7556579107991297</c:v>
                </c:pt>
                <c:pt idx="16">
                  <c:v>2.1890032263361974</c:v>
                </c:pt>
                <c:pt idx="17">
                  <c:v>0.54425392809763196</c:v>
                </c:pt>
                <c:pt idx="18">
                  <c:v>0.6134070103451279</c:v>
                </c:pt>
                <c:pt idx="19">
                  <c:v>-0.18117891582716084</c:v>
                </c:pt>
                <c:pt idx="20">
                  <c:v>-2.6379643253008567E-2</c:v>
                </c:pt>
                <c:pt idx="21">
                  <c:v>1.014268916087687</c:v>
                </c:pt>
                <c:pt idx="22">
                  <c:v>0.45360878535785787</c:v>
                </c:pt>
                <c:pt idx="23">
                  <c:v>7.7749946075260254</c:v>
                </c:pt>
                <c:pt idx="24">
                  <c:v>-3.928226919469509</c:v>
                </c:pt>
                <c:pt idx="25">
                  <c:v>-1.7748113109403931</c:v>
                </c:pt>
                <c:pt idx="26">
                  <c:v>-6.1974742127295457</c:v>
                </c:pt>
                <c:pt idx="27">
                  <c:v>-6.9543733997345925</c:v>
                </c:pt>
                <c:pt idx="28">
                  <c:v>-5.1909847103603965</c:v>
                </c:pt>
                <c:pt idx="29">
                  <c:v>-2.8226791042990413</c:v>
                </c:pt>
                <c:pt idx="30">
                  <c:v>-2.083040614728489</c:v>
                </c:pt>
                <c:pt idx="31">
                  <c:v>-1.1937788866187873</c:v>
                </c:pt>
                <c:pt idx="32">
                  <c:v>-0.37574109522023491</c:v>
                </c:pt>
                <c:pt idx="33">
                  <c:v>-1.7514770774359363</c:v>
                </c:pt>
                <c:pt idx="34">
                  <c:v>-0.11595361709933627</c:v>
                </c:pt>
                <c:pt idx="35">
                  <c:v>0.12917219103823641</c:v>
                </c:pt>
                <c:pt idx="36">
                  <c:v>1.0328289285270955</c:v>
                </c:pt>
                <c:pt idx="37">
                  <c:v>4.0411887297268549</c:v>
                </c:pt>
                <c:pt idx="38">
                  <c:v>4.6663012439591398</c:v>
                </c:pt>
                <c:pt idx="39">
                  <c:v>2.4866251209581094</c:v>
                </c:pt>
                <c:pt idx="40">
                  <c:v>2.9728309946792137</c:v>
                </c:pt>
                <c:pt idx="41">
                  <c:v>2.9281725394598084</c:v>
                </c:pt>
                <c:pt idx="42">
                  <c:v>1.0487386542678792</c:v>
                </c:pt>
                <c:pt idx="43">
                  <c:v>1.3211402095854226</c:v>
                </c:pt>
                <c:pt idx="44">
                  <c:v>2.555620053469994</c:v>
                </c:pt>
                <c:pt idx="45">
                  <c:v>1.8955758252428154</c:v>
                </c:pt>
                <c:pt idx="46">
                  <c:v>0.1955062514056749</c:v>
                </c:pt>
                <c:pt idx="47">
                  <c:v>-0.66246415840080886</c:v>
                </c:pt>
                <c:pt idx="48">
                  <c:v>-2.0626322800213188</c:v>
                </c:pt>
                <c:pt idx="49">
                  <c:v>-2.436894996176818</c:v>
                </c:pt>
                <c:pt idx="50">
                  <c:v>-3.3043212879459816</c:v>
                </c:pt>
                <c:pt idx="51">
                  <c:v>-2.4497490797364776</c:v>
                </c:pt>
                <c:pt idx="52">
                  <c:v>-1.9951964805739522</c:v>
                </c:pt>
                <c:pt idx="53">
                  <c:v>-1.4559159819915521</c:v>
                </c:pt>
                <c:pt idx="54">
                  <c:v>1.2487130767722761</c:v>
                </c:pt>
                <c:pt idx="55">
                  <c:v>-0.22261503457625054</c:v>
                </c:pt>
                <c:pt idx="56">
                  <c:v>-1.026752353045822</c:v>
                </c:pt>
                <c:pt idx="57">
                  <c:v>-0.2757691207607138</c:v>
                </c:pt>
                <c:pt idx="58">
                  <c:v>-0.10556426918577699</c:v>
                </c:pt>
                <c:pt idx="59">
                  <c:v>-0.51551812009017794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800-4BC8-8B69-1874439A3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701680"/>
        <c:axId val="408709296"/>
      </c:scatterChart>
      <c:valAx>
        <c:axId val="40870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Средняя цена на приобретённую с/х организациями электроэнергию, руб./МВт.ч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709296"/>
        <c:crosses val="autoZero"/>
        <c:crossBetween val="midCat"/>
      </c:valAx>
      <c:valAx>
        <c:axId val="408709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701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Индекс уверенности потребителя, %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'Тит лист'!$H$14:$H$73</c:f>
              <c:numCache>
                <c:formatCode>0.00</c:formatCode>
                <c:ptCount val="60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  <c:pt idx="58">
                  <c:v>-16.3</c:v>
                </c:pt>
                <c:pt idx="59">
                  <c:v>-18.100000000000001</c:v>
                </c:pt>
              </c:numCache>
            </c:numRef>
          </c:xVal>
          <c:yVal>
            <c:numRef>
              <c:f>'АД исход данных'!$C$30:$C$89</c:f>
              <c:numCache>
                <c:formatCode>General</c:formatCode>
                <c:ptCount val="60"/>
                <c:pt idx="0">
                  <c:v>-1.8811538600561306</c:v>
                </c:pt>
                <c:pt idx="1">
                  <c:v>-1.0668606615203373</c:v>
                </c:pt>
                <c:pt idx="2">
                  <c:v>-2.0371288680002806</c:v>
                </c:pt>
                <c:pt idx="3">
                  <c:v>-0.46349498628281083</c:v>
                </c:pt>
                <c:pt idx="4">
                  <c:v>-2.4637059771263381</c:v>
                </c:pt>
                <c:pt idx="5">
                  <c:v>-0.63432229988224265</c:v>
                </c:pt>
                <c:pt idx="6">
                  <c:v>-0.68478609911184662</c:v>
                </c:pt>
                <c:pt idx="7">
                  <c:v>1.5238160969512506</c:v>
                </c:pt>
                <c:pt idx="8">
                  <c:v>2.096126597455509</c:v>
                </c:pt>
                <c:pt idx="9">
                  <c:v>2.908790617127849</c:v>
                </c:pt>
                <c:pt idx="10">
                  <c:v>0.75578610694222448</c:v>
                </c:pt>
                <c:pt idx="11">
                  <c:v>0.16098778209671138</c:v>
                </c:pt>
                <c:pt idx="12">
                  <c:v>2.0297527335477241</c:v>
                </c:pt>
                <c:pt idx="13">
                  <c:v>4.1347570153550492</c:v>
                </c:pt>
                <c:pt idx="14">
                  <c:v>4.8633202690822088</c:v>
                </c:pt>
                <c:pt idx="15">
                  <c:v>0.7556579107991297</c:v>
                </c:pt>
                <c:pt idx="16">
                  <c:v>2.1890032263361974</c:v>
                </c:pt>
                <c:pt idx="17">
                  <c:v>0.54425392809763196</c:v>
                </c:pt>
                <c:pt idx="18">
                  <c:v>0.6134070103451279</c:v>
                </c:pt>
                <c:pt idx="19">
                  <c:v>-0.18117891582716084</c:v>
                </c:pt>
                <c:pt idx="20">
                  <c:v>-2.6379643253008567E-2</c:v>
                </c:pt>
                <c:pt idx="21">
                  <c:v>1.014268916087687</c:v>
                </c:pt>
                <c:pt idx="22">
                  <c:v>0.45360878535785787</c:v>
                </c:pt>
                <c:pt idx="23">
                  <c:v>7.7749946075260254</c:v>
                </c:pt>
                <c:pt idx="24">
                  <c:v>-3.928226919469509</c:v>
                </c:pt>
                <c:pt idx="25">
                  <c:v>-1.7748113109403931</c:v>
                </c:pt>
                <c:pt idx="26">
                  <c:v>-6.1974742127295457</c:v>
                </c:pt>
                <c:pt idx="27">
                  <c:v>-6.9543733997345925</c:v>
                </c:pt>
                <c:pt idx="28">
                  <c:v>-5.1909847103603965</c:v>
                </c:pt>
                <c:pt idx="29">
                  <c:v>-2.8226791042990413</c:v>
                </c:pt>
                <c:pt idx="30">
                  <c:v>-2.083040614728489</c:v>
                </c:pt>
                <c:pt idx="31">
                  <c:v>-1.1937788866187873</c:v>
                </c:pt>
                <c:pt idx="32">
                  <c:v>-0.37574109522023491</c:v>
                </c:pt>
                <c:pt idx="33">
                  <c:v>-1.7514770774359363</c:v>
                </c:pt>
                <c:pt idx="34">
                  <c:v>-0.11595361709933627</c:v>
                </c:pt>
                <c:pt idx="35">
                  <c:v>0.12917219103823641</c:v>
                </c:pt>
                <c:pt idx="36">
                  <c:v>1.0328289285270955</c:v>
                </c:pt>
                <c:pt idx="37">
                  <c:v>4.0411887297268549</c:v>
                </c:pt>
                <c:pt idx="38">
                  <c:v>4.6663012439591398</c:v>
                </c:pt>
                <c:pt idx="39">
                  <c:v>2.4866251209581094</c:v>
                </c:pt>
                <c:pt idx="40">
                  <c:v>2.9728309946792137</c:v>
                </c:pt>
                <c:pt idx="41">
                  <c:v>2.9281725394598084</c:v>
                </c:pt>
                <c:pt idx="42">
                  <c:v>1.0487386542678792</c:v>
                </c:pt>
                <c:pt idx="43">
                  <c:v>1.3211402095854226</c:v>
                </c:pt>
                <c:pt idx="44">
                  <c:v>2.555620053469994</c:v>
                </c:pt>
                <c:pt idx="45">
                  <c:v>1.8955758252428154</c:v>
                </c:pt>
                <c:pt idx="46">
                  <c:v>0.1955062514056749</c:v>
                </c:pt>
                <c:pt idx="47">
                  <c:v>-0.66246415840080886</c:v>
                </c:pt>
                <c:pt idx="48">
                  <c:v>-2.0626322800213188</c:v>
                </c:pt>
                <c:pt idx="49">
                  <c:v>-2.436894996176818</c:v>
                </c:pt>
                <c:pt idx="50">
                  <c:v>-3.3043212879459816</c:v>
                </c:pt>
                <c:pt idx="51">
                  <c:v>-2.4497490797364776</c:v>
                </c:pt>
                <c:pt idx="52">
                  <c:v>-1.9951964805739522</c:v>
                </c:pt>
                <c:pt idx="53">
                  <c:v>-1.4559159819915521</c:v>
                </c:pt>
                <c:pt idx="54">
                  <c:v>1.2487130767722761</c:v>
                </c:pt>
                <c:pt idx="55">
                  <c:v>-0.22261503457625054</c:v>
                </c:pt>
                <c:pt idx="56">
                  <c:v>-1.026752353045822</c:v>
                </c:pt>
                <c:pt idx="57">
                  <c:v>-0.2757691207607138</c:v>
                </c:pt>
                <c:pt idx="58">
                  <c:v>-0.10556426918577699</c:v>
                </c:pt>
                <c:pt idx="59">
                  <c:v>-0.51551812009017794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EEB-45B8-B6EF-55CD75D79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86992"/>
        <c:axId val="408704400"/>
      </c:scatterChart>
      <c:valAx>
        <c:axId val="40868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Индекс уверенности потребителя, %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704400"/>
        <c:crosses val="autoZero"/>
        <c:crossBetween val="midCat"/>
      </c:valAx>
      <c:valAx>
        <c:axId val="408704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86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Число торговых мест на рынке по продаже продуктов питания,тыс. мест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'Тит лист'!$I$14:$I$73</c:f>
              <c:numCache>
                <c:formatCode>0.00</c:formatCode>
                <c:ptCount val="60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  <c:pt idx="58">
                  <c:v>12384</c:v>
                </c:pt>
                <c:pt idx="59">
                  <c:v>12297</c:v>
                </c:pt>
              </c:numCache>
            </c:numRef>
          </c:xVal>
          <c:yVal>
            <c:numRef>
              <c:f>'АД исход данных'!$C$30:$C$89</c:f>
              <c:numCache>
                <c:formatCode>General</c:formatCode>
                <c:ptCount val="60"/>
                <c:pt idx="0">
                  <c:v>-1.8811538600561306</c:v>
                </c:pt>
                <c:pt idx="1">
                  <c:v>-1.0668606615203373</c:v>
                </c:pt>
                <c:pt idx="2">
                  <c:v>-2.0371288680002806</c:v>
                </c:pt>
                <c:pt idx="3">
                  <c:v>-0.46349498628281083</c:v>
                </c:pt>
                <c:pt idx="4">
                  <c:v>-2.4637059771263381</c:v>
                </c:pt>
                <c:pt idx="5">
                  <c:v>-0.63432229988224265</c:v>
                </c:pt>
                <c:pt idx="6">
                  <c:v>-0.68478609911184662</c:v>
                </c:pt>
                <c:pt idx="7">
                  <c:v>1.5238160969512506</c:v>
                </c:pt>
                <c:pt idx="8">
                  <c:v>2.096126597455509</c:v>
                </c:pt>
                <c:pt idx="9">
                  <c:v>2.908790617127849</c:v>
                </c:pt>
                <c:pt idx="10">
                  <c:v>0.75578610694222448</c:v>
                </c:pt>
                <c:pt idx="11">
                  <c:v>0.16098778209671138</c:v>
                </c:pt>
                <c:pt idx="12">
                  <c:v>2.0297527335477241</c:v>
                </c:pt>
                <c:pt idx="13">
                  <c:v>4.1347570153550492</c:v>
                </c:pt>
                <c:pt idx="14">
                  <c:v>4.8633202690822088</c:v>
                </c:pt>
                <c:pt idx="15">
                  <c:v>0.7556579107991297</c:v>
                </c:pt>
                <c:pt idx="16">
                  <c:v>2.1890032263361974</c:v>
                </c:pt>
                <c:pt idx="17">
                  <c:v>0.54425392809763196</c:v>
                </c:pt>
                <c:pt idx="18">
                  <c:v>0.6134070103451279</c:v>
                </c:pt>
                <c:pt idx="19">
                  <c:v>-0.18117891582716084</c:v>
                </c:pt>
                <c:pt idx="20">
                  <c:v>-2.6379643253008567E-2</c:v>
                </c:pt>
                <c:pt idx="21">
                  <c:v>1.014268916087687</c:v>
                </c:pt>
                <c:pt idx="22">
                  <c:v>0.45360878535785787</c:v>
                </c:pt>
                <c:pt idx="23">
                  <c:v>7.7749946075260254</c:v>
                </c:pt>
                <c:pt idx="24">
                  <c:v>-3.928226919469509</c:v>
                </c:pt>
                <c:pt idx="25">
                  <c:v>-1.7748113109403931</c:v>
                </c:pt>
                <c:pt idx="26">
                  <c:v>-6.1974742127295457</c:v>
                </c:pt>
                <c:pt idx="27">
                  <c:v>-6.9543733997345925</c:v>
                </c:pt>
                <c:pt idx="28">
                  <c:v>-5.1909847103603965</c:v>
                </c:pt>
                <c:pt idx="29">
                  <c:v>-2.8226791042990413</c:v>
                </c:pt>
                <c:pt idx="30">
                  <c:v>-2.083040614728489</c:v>
                </c:pt>
                <c:pt idx="31">
                  <c:v>-1.1937788866187873</c:v>
                </c:pt>
                <c:pt idx="32">
                  <c:v>-0.37574109522023491</c:v>
                </c:pt>
                <c:pt idx="33">
                  <c:v>-1.7514770774359363</c:v>
                </c:pt>
                <c:pt idx="34">
                  <c:v>-0.11595361709933627</c:v>
                </c:pt>
                <c:pt idx="35">
                  <c:v>0.12917219103823641</c:v>
                </c:pt>
                <c:pt idx="36">
                  <c:v>1.0328289285270955</c:v>
                </c:pt>
                <c:pt idx="37">
                  <c:v>4.0411887297268549</c:v>
                </c:pt>
                <c:pt idx="38">
                  <c:v>4.6663012439591398</c:v>
                </c:pt>
                <c:pt idx="39">
                  <c:v>2.4866251209581094</c:v>
                </c:pt>
                <c:pt idx="40">
                  <c:v>2.9728309946792137</c:v>
                </c:pt>
                <c:pt idx="41">
                  <c:v>2.9281725394598084</c:v>
                </c:pt>
                <c:pt idx="42">
                  <c:v>1.0487386542678792</c:v>
                </c:pt>
                <c:pt idx="43">
                  <c:v>1.3211402095854226</c:v>
                </c:pt>
                <c:pt idx="44">
                  <c:v>2.555620053469994</c:v>
                </c:pt>
                <c:pt idx="45">
                  <c:v>1.8955758252428154</c:v>
                </c:pt>
                <c:pt idx="46">
                  <c:v>0.1955062514056749</c:v>
                </c:pt>
                <c:pt idx="47">
                  <c:v>-0.66246415840080886</c:v>
                </c:pt>
                <c:pt idx="48">
                  <c:v>-2.0626322800213188</c:v>
                </c:pt>
                <c:pt idx="49">
                  <c:v>-2.436894996176818</c:v>
                </c:pt>
                <c:pt idx="50">
                  <c:v>-3.3043212879459816</c:v>
                </c:pt>
                <c:pt idx="51">
                  <c:v>-2.4497490797364776</c:v>
                </c:pt>
                <c:pt idx="52">
                  <c:v>-1.9951964805739522</c:v>
                </c:pt>
                <c:pt idx="53">
                  <c:v>-1.4559159819915521</c:v>
                </c:pt>
                <c:pt idx="54">
                  <c:v>1.2487130767722761</c:v>
                </c:pt>
                <c:pt idx="55">
                  <c:v>-0.22261503457625054</c:v>
                </c:pt>
                <c:pt idx="56">
                  <c:v>-1.026752353045822</c:v>
                </c:pt>
                <c:pt idx="57">
                  <c:v>-0.2757691207607138</c:v>
                </c:pt>
                <c:pt idx="58">
                  <c:v>-0.10556426918577699</c:v>
                </c:pt>
                <c:pt idx="59">
                  <c:v>-0.51551812009017794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322-4774-8493-D9000B282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87536"/>
        <c:axId val="408685360"/>
      </c:scatterChart>
      <c:valAx>
        <c:axId val="40868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Число торговых мест на рынке по продаже продуктов питания,тыс. мест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685360"/>
        <c:crosses val="autoZero"/>
        <c:crossBetween val="midCat"/>
      </c:valAx>
      <c:valAx>
        <c:axId val="408685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87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Средние цены производителей с/х продукции, реализуемой с/х организациями (птица с/х в убойном весе), Руб./т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лист'!$D$14:$D$73</c:f>
              <c:numCache>
                <c:formatCode>0.00</c:formatCode>
                <c:ptCount val="60"/>
                <c:pt idx="0">
                  <c:v>70893.600000000006</c:v>
                </c:pt>
                <c:pt idx="1">
                  <c:v>70392.98</c:v>
                </c:pt>
                <c:pt idx="2">
                  <c:v>70256.63</c:v>
                </c:pt>
                <c:pt idx="3">
                  <c:v>70189.759999999995</c:v>
                </c:pt>
                <c:pt idx="4">
                  <c:v>70468.94</c:v>
                </c:pt>
                <c:pt idx="5">
                  <c:v>70520.399999999994</c:v>
                </c:pt>
                <c:pt idx="6">
                  <c:v>74325.27</c:v>
                </c:pt>
                <c:pt idx="7">
                  <c:v>76378.39</c:v>
                </c:pt>
                <c:pt idx="8">
                  <c:v>79677.22</c:v>
                </c:pt>
                <c:pt idx="9">
                  <c:v>80664.95</c:v>
                </c:pt>
                <c:pt idx="10">
                  <c:v>82246.86</c:v>
                </c:pt>
                <c:pt idx="11">
                  <c:v>81836.759999999995</c:v>
                </c:pt>
                <c:pt idx="12">
                  <c:v>78275.3</c:v>
                </c:pt>
                <c:pt idx="13">
                  <c:v>73730.42</c:v>
                </c:pt>
                <c:pt idx="14">
                  <c:v>71289.279999999999</c:v>
                </c:pt>
                <c:pt idx="15">
                  <c:v>72839.63</c:v>
                </c:pt>
                <c:pt idx="16">
                  <c:v>70868.39</c:v>
                </c:pt>
                <c:pt idx="17">
                  <c:v>72645.23</c:v>
                </c:pt>
                <c:pt idx="18">
                  <c:v>72701.83</c:v>
                </c:pt>
                <c:pt idx="19">
                  <c:v>72815.929999999993</c:v>
                </c:pt>
                <c:pt idx="20" formatCode="General">
                  <c:v>72786</c:v>
                </c:pt>
                <c:pt idx="21">
                  <c:v>69715.53</c:v>
                </c:pt>
                <c:pt idx="22">
                  <c:v>70508.039999999994</c:v>
                </c:pt>
                <c:pt idx="23">
                  <c:v>69879.350000000006</c:v>
                </c:pt>
                <c:pt idx="24">
                  <c:v>74218.64</c:v>
                </c:pt>
                <c:pt idx="25">
                  <c:v>72517.240000000005</c:v>
                </c:pt>
                <c:pt idx="26">
                  <c:v>76730.179999999993</c:v>
                </c:pt>
                <c:pt idx="27">
                  <c:v>78696.2</c:v>
                </c:pt>
                <c:pt idx="28">
                  <c:v>82153.98</c:v>
                </c:pt>
                <c:pt idx="29">
                  <c:v>86601.85</c:v>
                </c:pt>
                <c:pt idx="30">
                  <c:v>91844.53</c:v>
                </c:pt>
                <c:pt idx="31">
                  <c:v>95474.23</c:v>
                </c:pt>
                <c:pt idx="32">
                  <c:v>98413.41</c:v>
                </c:pt>
                <c:pt idx="33">
                  <c:v>100417.43</c:v>
                </c:pt>
                <c:pt idx="34">
                  <c:v>98281.93</c:v>
                </c:pt>
                <c:pt idx="35">
                  <c:v>97019.43</c:v>
                </c:pt>
                <c:pt idx="36">
                  <c:v>98420.3</c:v>
                </c:pt>
                <c:pt idx="37">
                  <c:v>97818.39</c:v>
                </c:pt>
                <c:pt idx="38">
                  <c:v>96463.79</c:v>
                </c:pt>
                <c:pt idx="39">
                  <c:v>97592.48</c:v>
                </c:pt>
                <c:pt idx="40">
                  <c:v>95935.15</c:v>
                </c:pt>
                <c:pt idx="41">
                  <c:v>95011.99</c:v>
                </c:pt>
                <c:pt idx="42">
                  <c:v>96402.04</c:v>
                </c:pt>
                <c:pt idx="43">
                  <c:v>95988.39</c:v>
                </c:pt>
                <c:pt idx="44">
                  <c:v>94977.86</c:v>
                </c:pt>
                <c:pt idx="45">
                  <c:v>96262.87</c:v>
                </c:pt>
                <c:pt idx="46">
                  <c:v>97210.37</c:v>
                </c:pt>
                <c:pt idx="47">
                  <c:v>96372.24</c:v>
                </c:pt>
                <c:pt idx="48">
                  <c:v>94819.62</c:v>
                </c:pt>
                <c:pt idx="49">
                  <c:v>94680.68</c:v>
                </c:pt>
                <c:pt idx="50">
                  <c:v>95779.95</c:v>
                </c:pt>
                <c:pt idx="51">
                  <c:v>94871.55</c:v>
                </c:pt>
                <c:pt idx="52">
                  <c:v>95734.9</c:v>
                </c:pt>
                <c:pt idx="53">
                  <c:v>95827.11</c:v>
                </c:pt>
                <c:pt idx="54">
                  <c:v>96289.02</c:v>
                </c:pt>
                <c:pt idx="55">
                  <c:v>98548.43</c:v>
                </c:pt>
                <c:pt idx="56">
                  <c:v>102016.72</c:v>
                </c:pt>
                <c:pt idx="57">
                  <c:v>103575.62</c:v>
                </c:pt>
                <c:pt idx="58">
                  <c:v>105493.35</c:v>
                </c:pt>
                <c:pt idx="59">
                  <c:v>105200.29</c:v>
                </c:pt>
              </c:numCache>
            </c:numRef>
          </c:xVal>
          <c:yVal>
            <c:numRef>
              <c:f>'Тит лист'!$C$14:$C$73</c:f>
              <c:numCache>
                <c:formatCode>0.00</c:formatCode>
                <c:ptCount val="60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  <c:pt idx="58">
                  <c:v>137.97</c:v>
                </c:pt>
                <c:pt idx="59">
                  <c:v>138.49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C40-4D19-ADEE-0BD58587153C}"/>
            </c:ext>
          </c:extLst>
        </c:ser>
        <c:ser>
          <c:idx val="1"/>
          <c:order val="1"/>
          <c:tx>
            <c:v>Предсказанное 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лист'!$D$14:$D$73</c:f>
              <c:numCache>
                <c:formatCode>0.00</c:formatCode>
                <c:ptCount val="60"/>
                <c:pt idx="0">
                  <c:v>70893.600000000006</c:v>
                </c:pt>
                <c:pt idx="1">
                  <c:v>70392.98</c:v>
                </c:pt>
                <c:pt idx="2">
                  <c:v>70256.63</c:v>
                </c:pt>
                <c:pt idx="3">
                  <c:v>70189.759999999995</c:v>
                </c:pt>
                <c:pt idx="4">
                  <c:v>70468.94</c:v>
                </c:pt>
                <c:pt idx="5">
                  <c:v>70520.399999999994</c:v>
                </c:pt>
                <c:pt idx="6">
                  <c:v>74325.27</c:v>
                </c:pt>
                <c:pt idx="7">
                  <c:v>76378.39</c:v>
                </c:pt>
                <c:pt idx="8">
                  <c:v>79677.22</c:v>
                </c:pt>
                <c:pt idx="9">
                  <c:v>80664.95</c:v>
                </c:pt>
                <c:pt idx="10">
                  <c:v>82246.86</c:v>
                </c:pt>
                <c:pt idx="11">
                  <c:v>81836.759999999995</c:v>
                </c:pt>
                <c:pt idx="12">
                  <c:v>78275.3</c:v>
                </c:pt>
                <c:pt idx="13">
                  <c:v>73730.42</c:v>
                </c:pt>
                <c:pt idx="14">
                  <c:v>71289.279999999999</c:v>
                </c:pt>
                <c:pt idx="15">
                  <c:v>72839.63</c:v>
                </c:pt>
                <c:pt idx="16">
                  <c:v>70868.39</c:v>
                </c:pt>
                <c:pt idx="17">
                  <c:v>72645.23</c:v>
                </c:pt>
                <c:pt idx="18">
                  <c:v>72701.83</c:v>
                </c:pt>
                <c:pt idx="19">
                  <c:v>72815.929999999993</c:v>
                </c:pt>
                <c:pt idx="20" formatCode="General">
                  <c:v>72786</c:v>
                </c:pt>
                <c:pt idx="21">
                  <c:v>69715.53</c:v>
                </c:pt>
                <c:pt idx="22">
                  <c:v>70508.039999999994</c:v>
                </c:pt>
                <c:pt idx="23">
                  <c:v>69879.350000000006</c:v>
                </c:pt>
                <c:pt idx="24">
                  <c:v>74218.64</c:v>
                </c:pt>
                <c:pt idx="25">
                  <c:v>72517.240000000005</c:v>
                </c:pt>
                <c:pt idx="26">
                  <c:v>76730.179999999993</c:v>
                </c:pt>
                <c:pt idx="27">
                  <c:v>78696.2</c:v>
                </c:pt>
                <c:pt idx="28">
                  <c:v>82153.98</c:v>
                </c:pt>
                <c:pt idx="29">
                  <c:v>86601.85</c:v>
                </c:pt>
                <c:pt idx="30">
                  <c:v>91844.53</c:v>
                </c:pt>
                <c:pt idx="31">
                  <c:v>95474.23</c:v>
                </c:pt>
                <c:pt idx="32">
                  <c:v>98413.41</c:v>
                </c:pt>
                <c:pt idx="33">
                  <c:v>100417.43</c:v>
                </c:pt>
                <c:pt idx="34">
                  <c:v>98281.93</c:v>
                </c:pt>
                <c:pt idx="35">
                  <c:v>97019.43</c:v>
                </c:pt>
                <c:pt idx="36">
                  <c:v>98420.3</c:v>
                </c:pt>
                <c:pt idx="37">
                  <c:v>97818.39</c:v>
                </c:pt>
                <c:pt idx="38">
                  <c:v>96463.79</c:v>
                </c:pt>
                <c:pt idx="39">
                  <c:v>97592.48</c:v>
                </c:pt>
                <c:pt idx="40">
                  <c:v>95935.15</c:v>
                </c:pt>
                <c:pt idx="41">
                  <c:v>95011.99</c:v>
                </c:pt>
                <c:pt idx="42">
                  <c:v>96402.04</c:v>
                </c:pt>
                <c:pt idx="43">
                  <c:v>95988.39</c:v>
                </c:pt>
                <c:pt idx="44">
                  <c:v>94977.86</c:v>
                </c:pt>
                <c:pt idx="45">
                  <c:v>96262.87</c:v>
                </c:pt>
                <c:pt idx="46">
                  <c:v>97210.37</c:v>
                </c:pt>
                <c:pt idx="47">
                  <c:v>96372.24</c:v>
                </c:pt>
                <c:pt idx="48">
                  <c:v>94819.62</c:v>
                </c:pt>
                <c:pt idx="49">
                  <c:v>94680.68</c:v>
                </c:pt>
                <c:pt idx="50">
                  <c:v>95779.95</c:v>
                </c:pt>
                <c:pt idx="51">
                  <c:v>94871.55</c:v>
                </c:pt>
                <c:pt idx="52">
                  <c:v>95734.9</c:v>
                </c:pt>
                <c:pt idx="53">
                  <c:v>95827.11</c:v>
                </c:pt>
                <c:pt idx="54">
                  <c:v>96289.02</c:v>
                </c:pt>
                <c:pt idx="55">
                  <c:v>98548.43</c:v>
                </c:pt>
                <c:pt idx="56">
                  <c:v>102016.72</c:v>
                </c:pt>
                <c:pt idx="57">
                  <c:v>103575.62</c:v>
                </c:pt>
                <c:pt idx="58">
                  <c:v>105493.35</c:v>
                </c:pt>
                <c:pt idx="59">
                  <c:v>105200.29</c:v>
                </c:pt>
              </c:numCache>
            </c:numRef>
          </c:xVal>
          <c:yVal>
            <c:numRef>
              <c:f>'АД исход данных'!$B$30:$B$89</c:f>
              <c:numCache>
                <c:formatCode>General</c:formatCode>
                <c:ptCount val="60"/>
                <c:pt idx="0">
                  <c:v>104.20115386005612</c:v>
                </c:pt>
                <c:pt idx="1">
                  <c:v>103.27686066152033</c:v>
                </c:pt>
                <c:pt idx="2">
                  <c:v>104.19712886800028</c:v>
                </c:pt>
                <c:pt idx="3">
                  <c:v>102.52349498628281</c:v>
                </c:pt>
                <c:pt idx="4">
                  <c:v>105.01370597712634</c:v>
                </c:pt>
                <c:pt idx="5">
                  <c:v>104.98432229988224</c:v>
                </c:pt>
                <c:pt idx="6">
                  <c:v>108.25478609911184</c:v>
                </c:pt>
                <c:pt idx="7">
                  <c:v>110.43618390304874</c:v>
                </c:pt>
                <c:pt idx="8">
                  <c:v>113.17387340254449</c:v>
                </c:pt>
                <c:pt idx="9">
                  <c:v>114.26120938287215</c:v>
                </c:pt>
                <c:pt idx="10">
                  <c:v>116.85421389305777</c:v>
                </c:pt>
                <c:pt idx="11">
                  <c:v>117.09901221790329</c:v>
                </c:pt>
                <c:pt idx="12">
                  <c:v>113.85024726645227</c:v>
                </c:pt>
                <c:pt idx="13">
                  <c:v>109.21524298464495</c:v>
                </c:pt>
                <c:pt idx="14">
                  <c:v>106.52667973091779</c:v>
                </c:pt>
                <c:pt idx="15">
                  <c:v>109.00434208920088</c:v>
                </c:pt>
                <c:pt idx="16">
                  <c:v>107.3109967736638</c:v>
                </c:pt>
                <c:pt idx="17">
                  <c:v>108.31574607190237</c:v>
                </c:pt>
                <c:pt idx="18">
                  <c:v>107.87659298965487</c:v>
                </c:pt>
                <c:pt idx="19">
                  <c:v>108.54117891582716</c:v>
                </c:pt>
                <c:pt idx="20">
                  <c:v>108.21637964325301</c:v>
                </c:pt>
                <c:pt idx="21">
                  <c:v>106.78573108391231</c:v>
                </c:pt>
                <c:pt idx="22">
                  <c:v>107.01639121464214</c:v>
                </c:pt>
                <c:pt idx="23">
                  <c:v>99.255005392473976</c:v>
                </c:pt>
                <c:pt idx="24">
                  <c:v>110.53822691946951</c:v>
                </c:pt>
                <c:pt idx="25">
                  <c:v>108.34481131094039</c:v>
                </c:pt>
                <c:pt idx="26">
                  <c:v>112.68747421272954</c:v>
                </c:pt>
                <c:pt idx="27">
                  <c:v>113.9943733997346</c:v>
                </c:pt>
                <c:pt idx="28">
                  <c:v>116.54098471036039</c:v>
                </c:pt>
                <c:pt idx="29">
                  <c:v>120.36267910429905</c:v>
                </c:pt>
                <c:pt idx="30">
                  <c:v>124.66304061472849</c:v>
                </c:pt>
                <c:pt idx="31">
                  <c:v>129.35377888661878</c:v>
                </c:pt>
                <c:pt idx="32">
                  <c:v>133.23574109522025</c:v>
                </c:pt>
                <c:pt idx="33">
                  <c:v>136.67147707743592</c:v>
                </c:pt>
                <c:pt idx="34">
                  <c:v>135.81595361709932</c:v>
                </c:pt>
                <c:pt idx="35">
                  <c:v>136.01082780896175</c:v>
                </c:pt>
                <c:pt idx="36">
                  <c:v>139.11717107147291</c:v>
                </c:pt>
                <c:pt idx="37">
                  <c:v>136.04881127027315</c:v>
                </c:pt>
                <c:pt idx="38">
                  <c:v>134.43369875604085</c:v>
                </c:pt>
                <c:pt idx="39">
                  <c:v>135.01337487904189</c:v>
                </c:pt>
                <c:pt idx="40">
                  <c:v>133.14716900532079</c:v>
                </c:pt>
                <c:pt idx="41">
                  <c:v>132.29182746054019</c:v>
                </c:pt>
                <c:pt idx="42">
                  <c:v>133.68126134573211</c:v>
                </c:pt>
                <c:pt idx="43">
                  <c:v>133.06885979041456</c:v>
                </c:pt>
                <c:pt idx="44">
                  <c:v>131.95437994653</c:v>
                </c:pt>
                <c:pt idx="45">
                  <c:v>132.56442417475719</c:v>
                </c:pt>
                <c:pt idx="46">
                  <c:v>134.07449374859434</c:v>
                </c:pt>
                <c:pt idx="47">
                  <c:v>134.3924641584008</c:v>
                </c:pt>
                <c:pt idx="48">
                  <c:v>134.07263228002131</c:v>
                </c:pt>
                <c:pt idx="49">
                  <c:v>133.02689499617682</c:v>
                </c:pt>
                <c:pt idx="50">
                  <c:v>133.58432128794598</c:v>
                </c:pt>
                <c:pt idx="51">
                  <c:v>131.60974907973647</c:v>
                </c:pt>
                <c:pt idx="52">
                  <c:v>130.93519648057395</c:v>
                </c:pt>
                <c:pt idx="53">
                  <c:v>130.75591598199156</c:v>
                </c:pt>
                <c:pt idx="54">
                  <c:v>129.97128692322772</c:v>
                </c:pt>
                <c:pt idx="55">
                  <c:v>132.74261503457626</c:v>
                </c:pt>
                <c:pt idx="56">
                  <c:v>135.27675235304582</c:v>
                </c:pt>
                <c:pt idx="57">
                  <c:v>136.33576912076072</c:v>
                </c:pt>
                <c:pt idx="58">
                  <c:v>138.07556426918578</c:v>
                </c:pt>
                <c:pt idx="59">
                  <c:v>139.00551812009019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C40-4D19-ADEE-0BD585871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86448"/>
        <c:axId val="408704944"/>
      </c:scatterChart>
      <c:valAx>
        <c:axId val="40868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Средние цены производителей с/х продукции, реализуемой с/х организациями (птица с/х в убойном весе), Руб./т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704944"/>
        <c:crosses val="autoZero"/>
        <c:crossBetween val="midCat"/>
      </c:valAx>
      <c:valAx>
        <c:axId val="408704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Средние потребительские цены на куры охлаждённые и мороженные, руб./кг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686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Поголовье птицы, тыс. голов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лист'!$E$14:$E$73</c:f>
              <c:numCache>
                <c:formatCode>General</c:formatCode>
                <c:ptCount val="60"/>
                <c:pt idx="0">
                  <c:v>495852.6</c:v>
                </c:pt>
                <c:pt idx="1">
                  <c:v>494356.21</c:v>
                </c:pt>
                <c:pt idx="2">
                  <c:v>493826.35</c:v>
                </c:pt>
                <c:pt idx="3">
                  <c:v>491922.49</c:v>
                </c:pt>
                <c:pt idx="4">
                  <c:v>494987.4</c:v>
                </c:pt>
                <c:pt idx="5">
                  <c:v>499933.2</c:v>
                </c:pt>
                <c:pt idx="6">
                  <c:v>504654.29</c:v>
                </c:pt>
                <c:pt idx="7">
                  <c:v>502246.32</c:v>
                </c:pt>
                <c:pt idx="8">
                  <c:v>507284.61</c:v>
                </c:pt>
                <c:pt idx="9">
                  <c:v>511264.1</c:v>
                </c:pt>
                <c:pt idx="10">
                  <c:v>507893.75</c:v>
                </c:pt>
                <c:pt idx="11">
                  <c:v>503968.92</c:v>
                </c:pt>
                <c:pt idx="12">
                  <c:v>494578.49</c:v>
                </c:pt>
                <c:pt idx="13">
                  <c:v>497892.4</c:v>
                </c:pt>
                <c:pt idx="14">
                  <c:v>502643.15</c:v>
                </c:pt>
                <c:pt idx="15">
                  <c:v>505356.49</c:v>
                </c:pt>
                <c:pt idx="16">
                  <c:v>505894.26</c:v>
                </c:pt>
                <c:pt idx="17">
                  <c:v>509487.6</c:v>
                </c:pt>
                <c:pt idx="18">
                  <c:v>515679.9</c:v>
                </c:pt>
                <c:pt idx="19">
                  <c:v>516214.74</c:v>
                </c:pt>
                <c:pt idx="20">
                  <c:v>514256.13</c:v>
                </c:pt>
                <c:pt idx="21">
                  <c:v>512965.3</c:v>
                </c:pt>
                <c:pt idx="22">
                  <c:v>519654.25</c:v>
                </c:pt>
                <c:pt idx="23">
                  <c:v>523874.3</c:v>
                </c:pt>
                <c:pt idx="24">
                  <c:v>527326</c:v>
                </c:pt>
                <c:pt idx="25">
                  <c:v>521835.7</c:v>
                </c:pt>
                <c:pt idx="26">
                  <c:v>515389</c:v>
                </c:pt>
                <c:pt idx="27">
                  <c:v>510620.8</c:v>
                </c:pt>
                <c:pt idx="28">
                  <c:v>518659</c:v>
                </c:pt>
                <c:pt idx="29">
                  <c:v>529324.68000000005</c:v>
                </c:pt>
                <c:pt idx="30">
                  <c:v>537441.18999999994</c:v>
                </c:pt>
                <c:pt idx="31">
                  <c:v>542365.21</c:v>
                </c:pt>
                <c:pt idx="32">
                  <c:v>545986.31999999995</c:v>
                </c:pt>
                <c:pt idx="33">
                  <c:v>547324.80000000005</c:v>
                </c:pt>
                <c:pt idx="34">
                  <c:v>545895.19999999995</c:v>
                </c:pt>
                <c:pt idx="35">
                  <c:v>548956.56000000006</c:v>
                </c:pt>
                <c:pt idx="36">
                  <c:v>547195.30000000005</c:v>
                </c:pt>
                <c:pt idx="37">
                  <c:v>546512.30000000005</c:v>
                </c:pt>
                <c:pt idx="38">
                  <c:v>544625</c:v>
                </c:pt>
                <c:pt idx="39">
                  <c:v>545049.80000000005</c:v>
                </c:pt>
                <c:pt idx="40">
                  <c:v>547123.1</c:v>
                </c:pt>
                <c:pt idx="41">
                  <c:v>545156.30000000005</c:v>
                </c:pt>
                <c:pt idx="42">
                  <c:v>545049.80000000005</c:v>
                </c:pt>
                <c:pt idx="43">
                  <c:v>551483.6</c:v>
                </c:pt>
                <c:pt idx="44">
                  <c:v>559456.31999999995</c:v>
                </c:pt>
                <c:pt idx="45">
                  <c:v>569744.39</c:v>
                </c:pt>
                <c:pt idx="46">
                  <c:v>562321.17000000004</c:v>
                </c:pt>
                <c:pt idx="47">
                  <c:v>557562.30000000005</c:v>
                </c:pt>
                <c:pt idx="48">
                  <c:v>553010.49</c:v>
                </c:pt>
                <c:pt idx="49">
                  <c:v>554289.6</c:v>
                </c:pt>
                <c:pt idx="50">
                  <c:v>552386.15</c:v>
                </c:pt>
                <c:pt idx="51">
                  <c:v>551803.18999999994</c:v>
                </c:pt>
                <c:pt idx="52">
                  <c:v>556821.30000000005</c:v>
                </c:pt>
                <c:pt idx="53">
                  <c:v>557458.36</c:v>
                </c:pt>
                <c:pt idx="54">
                  <c:v>559287.59</c:v>
                </c:pt>
                <c:pt idx="55">
                  <c:v>564587.19999999995</c:v>
                </c:pt>
                <c:pt idx="56">
                  <c:v>566745.39</c:v>
                </c:pt>
                <c:pt idx="57">
                  <c:v>570205.5</c:v>
                </c:pt>
                <c:pt idx="58">
                  <c:v>568319.4</c:v>
                </c:pt>
                <c:pt idx="59">
                  <c:v>563212.69999999995</c:v>
                </c:pt>
              </c:numCache>
            </c:numRef>
          </c:xVal>
          <c:yVal>
            <c:numRef>
              <c:f>'Тит лист'!$C$14:$C$73</c:f>
              <c:numCache>
                <c:formatCode>0.00</c:formatCode>
                <c:ptCount val="60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  <c:pt idx="58">
                  <c:v>137.97</c:v>
                </c:pt>
                <c:pt idx="59">
                  <c:v>138.49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A11-4FC8-8057-61E71AAD69F5}"/>
            </c:ext>
          </c:extLst>
        </c:ser>
        <c:ser>
          <c:idx val="1"/>
          <c:order val="1"/>
          <c:tx>
            <c:v>Предсказанное 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лист'!$E$14:$E$73</c:f>
              <c:numCache>
                <c:formatCode>General</c:formatCode>
                <c:ptCount val="60"/>
                <c:pt idx="0">
                  <c:v>495852.6</c:v>
                </c:pt>
                <c:pt idx="1">
                  <c:v>494356.21</c:v>
                </c:pt>
                <c:pt idx="2">
                  <c:v>493826.35</c:v>
                </c:pt>
                <c:pt idx="3">
                  <c:v>491922.49</c:v>
                </c:pt>
                <c:pt idx="4">
                  <c:v>494987.4</c:v>
                </c:pt>
                <c:pt idx="5">
                  <c:v>499933.2</c:v>
                </c:pt>
                <c:pt idx="6">
                  <c:v>504654.29</c:v>
                </c:pt>
                <c:pt idx="7">
                  <c:v>502246.32</c:v>
                </c:pt>
                <c:pt idx="8">
                  <c:v>507284.61</c:v>
                </c:pt>
                <c:pt idx="9">
                  <c:v>511264.1</c:v>
                </c:pt>
                <c:pt idx="10">
                  <c:v>507893.75</c:v>
                </c:pt>
                <c:pt idx="11">
                  <c:v>503968.92</c:v>
                </c:pt>
                <c:pt idx="12">
                  <c:v>494578.49</c:v>
                </c:pt>
                <c:pt idx="13">
                  <c:v>497892.4</c:v>
                </c:pt>
                <c:pt idx="14">
                  <c:v>502643.15</c:v>
                </c:pt>
                <c:pt idx="15">
                  <c:v>505356.49</c:v>
                </c:pt>
                <c:pt idx="16">
                  <c:v>505894.26</c:v>
                </c:pt>
                <c:pt idx="17">
                  <c:v>509487.6</c:v>
                </c:pt>
                <c:pt idx="18">
                  <c:v>515679.9</c:v>
                </c:pt>
                <c:pt idx="19">
                  <c:v>516214.74</c:v>
                </c:pt>
                <c:pt idx="20">
                  <c:v>514256.13</c:v>
                </c:pt>
                <c:pt idx="21">
                  <c:v>512965.3</c:v>
                </c:pt>
                <c:pt idx="22">
                  <c:v>519654.25</c:v>
                </c:pt>
                <c:pt idx="23">
                  <c:v>523874.3</c:v>
                </c:pt>
                <c:pt idx="24">
                  <c:v>527326</c:v>
                </c:pt>
                <c:pt idx="25">
                  <c:v>521835.7</c:v>
                </c:pt>
                <c:pt idx="26">
                  <c:v>515389</c:v>
                </c:pt>
                <c:pt idx="27">
                  <c:v>510620.8</c:v>
                </c:pt>
                <c:pt idx="28">
                  <c:v>518659</c:v>
                </c:pt>
                <c:pt idx="29">
                  <c:v>529324.68000000005</c:v>
                </c:pt>
                <c:pt idx="30">
                  <c:v>537441.18999999994</c:v>
                </c:pt>
                <c:pt idx="31">
                  <c:v>542365.21</c:v>
                </c:pt>
                <c:pt idx="32">
                  <c:v>545986.31999999995</c:v>
                </c:pt>
                <c:pt idx="33">
                  <c:v>547324.80000000005</c:v>
                </c:pt>
                <c:pt idx="34">
                  <c:v>545895.19999999995</c:v>
                </c:pt>
                <c:pt idx="35">
                  <c:v>548956.56000000006</c:v>
                </c:pt>
                <c:pt idx="36">
                  <c:v>547195.30000000005</c:v>
                </c:pt>
                <c:pt idx="37">
                  <c:v>546512.30000000005</c:v>
                </c:pt>
                <c:pt idx="38">
                  <c:v>544625</c:v>
                </c:pt>
                <c:pt idx="39">
                  <c:v>545049.80000000005</c:v>
                </c:pt>
                <c:pt idx="40">
                  <c:v>547123.1</c:v>
                </c:pt>
                <c:pt idx="41">
                  <c:v>545156.30000000005</c:v>
                </c:pt>
                <c:pt idx="42">
                  <c:v>545049.80000000005</c:v>
                </c:pt>
                <c:pt idx="43">
                  <c:v>551483.6</c:v>
                </c:pt>
                <c:pt idx="44">
                  <c:v>559456.31999999995</c:v>
                </c:pt>
                <c:pt idx="45">
                  <c:v>569744.39</c:v>
                </c:pt>
                <c:pt idx="46">
                  <c:v>562321.17000000004</c:v>
                </c:pt>
                <c:pt idx="47">
                  <c:v>557562.30000000005</c:v>
                </c:pt>
                <c:pt idx="48">
                  <c:v>553010.49</c:v>
                </c:pt>
                <c:pt idx="49">
                  <c:v>554289.6</c:v>
                </c:pt>
                <c:pt idx="50">
                  <c:v>552386.15</c:v>
                </c:pt>
                <c:pt idx="51">
                  <c:v>551803.18999999994</c:v>
                </c:pt>
                <c:pt idx="52">
                  <c:v>556821.30000000005</c:v>
                </c:pt>
                <c:pt idx="53">
                  <c:v>557458.36</c:v>
                </c:pt>
                <c:pt idx="54">
                  <c:v>559287.59</c:v>
                </c:pt>
                <c:pt idx="55">
                  <c:v>564587.19999999995</c:v>
                </c:pt>
                <c:pt idx="56">
                  <c:v>566745.39</c:v>
                </c:pt>
                <c:pt idx="57">
                  <c:v>570205.5</c:v>
                </c:pt>
                <c:pt idx="58">
                  <c:v>568319.4</c:v>
                </c:pt>
                <c:pt idx="59">
                  <c:v>563212.69999999995</c:v>
                </c:pt>
              </c:numCache>
            </c:numRef>
          </c:xVal>
          <c:yVal>
            <c:numRef>
              <c:f>'АД исход данных'!$B$30:$B$89</c:f>
              <c:numCache>
                <c:formatCode>General</c:formatCode>
                <c:ptCount val="60"/>
                <c:pt idx="0">
                  <c:v>104.20115386005612</c:v>
                </c:pt>
                <c:pt idx="1">
                  <c:v>103.27686066152033</c:v>
                </c:pt>
                <c:pt idx="2">
                  <c:v>104.19712886800028</c:v>
                </c:pt>
                <c:pt idx="3">
                  <c:v>102.52349498628281</c:v>
                </c:pt>
                <c:pt idx="4">
                  <c:v>105.01370597712634</c:v>
                </c:pt>
                <c:pt idx="5">
                  <c:v>104.98432229988224</c:v>
                </c:pt>
                <c:pt idx="6">
                  <c:v>108.25478609911184</c:v>
                </c:pt>
                <c:pt idx="7">
                  <c:v>110.43618390304874</c:v>
                </c:pt>
                <c:pt idx="8">
                  <c:v>113.17387340254449</c:v>
                </c:pt>
                <c:pt idx="9">
                  <c:v>114.26120938287215</c:v>
                </c:pt>
                <c:pt idx="10">
                  <c:v>116.85421389305777</c:v>
                </c:pt>
                <c:pt idx="11">
                  <c:v>117.09901221790329</c:v>
                </c:pt>
                <c:pt idx="12">
                  <c:v>113.85024726645227</c:v>
                </c:pt>
                <c:pt idx="13">
                  <c:v>109.21524298464495</c:v>
                </c:pt>
                <c:pt idx="14">
                  <c:v>106.52667973091779</c:v>
                </c:pt>
                <c:pt idx="15">
                  <c:v>109.00434208920088</c:v>
                </c:pt>
                <c:pt idx="16">
                  <c:v>107.3109967736638</c:v>
                </c:pt>
                <c:pt idx="17">
                  <c:v>108.31574607190237</c:v>
                </c:pt>
                <c:pt idx="18">
                  <c:v>107.87659298965487</c:v>
                </c:pt>
                <c:pt idx="19">
                  <c:v>108.54117891582716</c:v>
                </c:pt>
                <c:pt idx="20">
                  <c:v>108.21637964325301</c:v>
                </c:pt>
                <c:pt idx="21">
                  <c:v>106.78573108391231</c:v>
                </c:pt>
                <c:pt idx="22">
                  <c:v>107.01639121464214</c:v>
                </c:pt>
                <c:pt idx="23">
                  <c:v>99.255005392473976</c:v>
                </c:pt>
                <c:pt idx="24">
                  <c:v>110.53822691946951</c:v>
                </c:pt>
                <c:pt idx="25">
                  <c:v>108.34481131094039</c:v>
                </c:pt>
                <c:pt idx="26">
                  <c:v>112.68747421272954</c:v>
                </c:pt>
                <c:pt idx="27">
                  <c:v>113.9943733997346</c:v>
                </c:pt>
                <c:pt idx="28">
                  <c:v>116.54098471036039</c:v>
                </c:pt>
                <c:pt idx="29">
                  <c:v>120.36267910429905</c:v>
                </c:pt>
                <c:pt idx="30">
                  <c:v>124.66304061472849</c:v>
                </c:pt>
                <c:pt idx="31">
                  <c:v>129.35377888661878</c:v>
                </c:pt>
                <c:pt idx="32">
                  <c:v>133.23574109522025</c:v>
                </c:pt>
                <c:pt idx="33">
                  <c:v>136.67147707743592</c:v>
                </c:pt>
                <c:pt idx="34">
                  <c:v>135.81595361709932</c:v>
                </c:pt>
                <c:pt idx="35">
                  <c:v>136.01082780896175</c:v>
                </c:pt>
                <c:pt idx="36">
                  <c:v>139.11717107147291</c:v>
                </c:pt>
                <c:pt idx="37">
                  <c:v>136.04881127027315</c:v>
                </c:pt>
                <c:pt idx="38">
                  <c:v>134.43369875604085</c:v>
                </c:pt>
                <c:pt idx="39">
                  <c:v>135.01337487904189</c:v>
                </c:pt>
                <c:pt idx="40">
                  <c:v>133.14716900532079</c:v>
                </c:pt>
                <c:pt idx="41">
                  <c:v>132.29182746054019</c:v>
                </c:pt>
                <c:pt idx="42">
                  <c:v>133.68126134573211</c:v>
                </c:pt>
                <c:pt idx="43">
                  <c:v>133.06885979041456</c:v>
                </c:pt>
                <c:pt idx="44">
                  <c:v>131.95437994653</c:v>
                </c:pt>
                <c:pt idx="45">
                  <c:v>132.56442417475719</c:v>
                </c:pt>
                <c:pt idx="46">
                  <c:v>134.07449374859434</c:v>
                </c:pt>
                <c:pt idx="47">
                  <c:v>134.3924641584008</c:v>
                </c:pt>
                <c:pt idx="48">
                  <c:v>134.07263228002131</c:v>
                </c:pt>
                <c:pt idx="49">
                  <c:v>133.02689499617682</c:v>
                </c:pt>
                <c:pt idx="50">
                  <c:v>133.58432128794598</c:v>
                </c:pt>
                <c:pt idx="51">
                  <c:v>131.60974907973647</c:v>
                </c:pt>
                <c:pt idx="52">
                  <c:v>130.93519648057395</c:v>
                </c:pt>
                <c:pt idx="53">
                  <c:v>130.75591598199156</c:v>
                </c:pt>
                <c:pt idx="54">
                  <c:v>129.97128692322772</c:v>
                </c:pt>
                <c:pt idx="55">
                  <c:v>132.74261503457626</c:v>
                </c:pt>
                <c:pt idx="56">
                  <c:v>135.27675235304582</c:v>
                </c:pt>
                <c:pt idx="57">
                  <c:v>136.33576912076072</c:v>
                </c:pt>
                <c:pt idx="58">
                  <c:v>138.07556426918578</c:v>
                </c:pt>
                <c:pt idx="59">
                  <c:v>139.00551812009019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A11-4FC8-8057-61E71AAD6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85904"/>
        <c:axId val="408698416"/>
      </c:scatterChart>
      <c:valAx>
        <c:axId val="40868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Поголовье птицы, тыс. голов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98416"/>
        <c:crosses val="autoZero"/>
        <c:crossBetween val="midCat"/>
      </c:valAx>
      <c:valAx>
        <c:axId val="408698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Средние потребительские цены на куры охлаждённые и мороженные, руб./кг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68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Средняя цена на приобретённые с/х организациями автомобильный бензин и дизельное топливо, руб./т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лист'!$F$14:$F$73</c:f>
              <c:numCache>
                <c:formatCode>General</c:formatCode>
                <c:ptCount val="60"/>
                <c:pt idx="0">
                  <c:v>30693.27</c:v>
                </c:pt>
                <c:pt idx="1">
                  <c:v>30330.845000000001</c:v>
                </c:pt>
                <c:pt idx="2">
                  <c:v>29117.575000000001</c:v>
                </c:pt>
                <c:pt idx="3">
                  <c:v>26374.77</c:v>
                </c:pt>
                <c:pt idx="4">
                  <c:v>27921.035</c:v>
                </c:pt>
                <c:pt idx="5">
                  <c:v>26684.254999999997</c:v>
                </c:pt>
                <c:pt idx="6">
                  <c:v>27998.165000000001</c:v>
                </c:pt>
                <c:pt idx="7">
                  <c:v>26800.445</c:v>
                </c:pt>
                <c:pt idx="8">
                  <c:v>28104.639999999999</c:v>
                </c:pt>
                <c:pt idx="9">
                  <c:v>29187.01</c:v>
                </c:pt>
                <c:pt idx="10">
                  <c:v>31053.75</c:v>
                </c:pt>
                <c:pt idx="11">
                  <c:v>32834.595000000001</c:v>
                </c:pt>
                <c:pt idx="12">
                  <c:v>33410.415000000001</c:v>
                </c:pt>
                <c:pt idx="13">
                  <c:v>33158.774999999994</c:v>
                </c:pt>
                <c:pt idx="14">
                  <c:v>32302.74</c:v>
                </c:pt>
                <c:pt idx="15">
                  <c:v>31546.885000000002</c:v>
                </c:pt>
                <c:pt idx="16">
                  <c:v>31470.025000000001</c:v>
                </c:pt>
                <c:pt idx="17">
                  <c:v>31161.184999999998</c:v>
                </c:pt>
                <c:pt idx="18">
                  <c:v>31784.445</c:v>
                </c:pt>
                <c:pt idx="19">
                  <c:v>32330.63</c:v>
                </c:pt>
                <c:pt idx="20">
                  <c:v>33370.205000000002</c:v>
                </c:pt>
                <c:pt idx="21">
                  <c:v>33649.68</c:v>
                </c:pt>
                <c:pt idx="22">
                  <c:v>34390.550000000003</c:v>
                </c:pt>
                <c:pt idx="23">
                  <c:v>35060.425000000003</c:v>
                </c:pt>
                <c:pt idx="24">
                  <c:v>35321.544999999998</c:v>
                </c:pt>
                <c:pt idx="25">
                  <c:v>34869.084999999999</c:v>
                </c:pt>
                <c:pt idx="26">
                  <c:v>34749.365000000005</c:v>
                </c:pt>
                <c:pt idx="27">
                  <c:v>34217.119999999995</c:v>
                </c:pt>
                <c:pt idx="28">
                  <c:v>34651.399999999994</c:v>
                </c:pt>
                <c:pt idx="29">
                  <c:v>34633.524999999994</c:v>
                </c:pt>
                <c:pt idx="30">
                  <c:v>35402.485000000001</c:v>
                </c:pt>
                <c:pt idx="31">
                  <c:v>35556.824999999997</c:v>
                </c:pt>
                <c:pt idx="32">
                  <c:v>36010.71</c:v>
                </c:pt>
                <c:pt idx="33">
                  <c:v>36435.434999999998</c:v>
                </c:pt>
                <c:pt idx="34">
                  <c:v>37231.79</c:v>
                </c:pt>
                <c:pt idx="35">
                  <c:v>37307.69</c:v>
                </c:pt>
                <c:pt idx="36">
                  <c:v>36741.72</c:v>
                </c:pt>
                <c:pt idx="37">
                  <c:v>36150.604999999996</c:v>
                </c:pt>
                <c:pt idx="38">
                  <c:v>38026.050000000003</c:v>
                </c:pt>
                <c:pt idx="39">
                  <c:v>36228.885000000002</c:v>
                </c:pt>
                <c:pt idx="40">
                  <c:v>37326.339999999997</c:v>
                </c:pt>
                <c:pt idx="41">
                  <c:v>36578.83</c:v>
                </c:pt>
                <c:pt idx="42">
                  <c:v>37371.214999999997</c:v>
                </c:pt>
                <c:pt idx="43">
                  <c:v>37812.94</c:v>
                </c:pt>
                <c:pt idx="44">
                  <c:v>38081.755000000005</c:v>
                </c:pt>
                <c:pt idx="45">
                  <c:v>38537.42</c:v>
                </c:pt>
                <c:pt idx="46">
                  <c:v>38555.22</c:v>
                </c:pt>
                <c:pt idx="47">
                  <c:v>37939.195</c:v>
                </c:pt>
                <c:pt idx="48">
                  <c:v>37000.61</c:v>
                </c:pt>
                <c:pt idx="49">
                  <c:v>36885.69</c:v>
                </c:pt>
                <c:pt idx="50">
                  <c:v>36631.455000000002</c:v>
                </c:pt>
                <c:pt idx="51">
                  <c:v>36881.425000000003</c:v>
                </c:pt>
                <c:pt idx="52">
                  <c:v>36675.324999999997</c:v>
                </c:pt>
                <c:pt idx="53">
                  <c:v>37859.599999999999</c:v>
                </c:pt>
                <c:pt idx="54">
                  <c:v>38639.339999999997</c:v>
                </c:pt>
                <c:pt idx="55">
                  <c:v>38118.095000000001</c:v>
                </c:pt>
                <c:pt idx="56">
                  <c:v>38031.785000000003</c:v>
                </c:pt>
                <c:pt idx="57">
                  <c:v>38303.055</c:v>
                </c:pt>
                <c:pt idx="58">
                  <c:v>39416.955000000002</c:v>
                </c:pt>
                <c:pt idx="59">
                  <c:v>40166.119999999995</c:v>
                </c:pt>
              </c:numCache>
            </c:numRef>
          </c:xVal>
          <c:yVal>
            <c:numRef>
              <c:f>'Тит лист'!$C$14:$C$73</c:f>
              <c:numCache>
                <c:formatCode>0.00</c:formatCode>
                <c:ptCount val="60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  <c:pt idx="58">
                  <c:v>137.97</c:v>
                </c:pt>
                <c:pt idx="59">
                  <c:v>138.49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DA8-4EFA-8092-764C905C9C6D}"/>
            </c:ext>
          </c:extLst>
        </c:ser>
        <c:ser>
          <c:idx val="1"/>
          <c:order val="1"/>
          <c:tx>
            <c:v>Предсказанное 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лист'!$F$14:$F$73</c:f>
              <c:numCache>
                <c:formatCode>General</c:formatCode>
                <c:ptCount val="60"/>
                <c:pt idx="0">
                  <c:v>30693.27</c:v>
                </c:pt>
                <c:pt idx="1">
                  <c:v>30330.845000000001</c:v>
                </c:pt>
                <c:pt idx="2">
                  <c:v>29117.575000000001</c:v>
                </c:pt>
                <c:pt idx="3">
                  <c:v>26374.77</c:v>
                </c:pt>
                <c:pt idx="4">
                  <c:v>27921.035</c:v>
                </c:pt>
                <c:pt idx="5">
                  <c:v>26684.254999999997</c:v>
                </c:pt>
                <c:pt idx="6">
                  <c:v>27998.165000000001</c:v>
                </c:pt>
                <c:pt idx="7">
                  <c:v>26800.445</c:v>
                </c:pt>
                <c:pt idx="8">
                  <c:v>28104.639999999999</c:v>
                </c:pt>
                <c:pt idx="9">
                  <c:v>29187.01</c:v>
                </c:pt>
                <c:pt idx="10">
                  <c:v>31053.75</c:v>
                </c:pt>
                <c:pt idx="11">
                  <c:v>32834.595000000001</c:v>
                </c:pt>
                <c:pt idx="12">
                  <c:v>33410.415000000001</c:v>
                </c:pt>
                <c:pt idx="13">
                  <c:v>33158.774999999994</c:v>
                </c:pt>
                <c:pt idx="14">
                  <c:v>32302.74</c:v>
                </c:pt>
                <c:pt idx="15">
                  <c:v>31546.885000000002</c:v>
                </c:pt>
                <c:pt idx="16">
                  <c:v>31470.025000000001</c:v>
                </c:pt>
                <c:pt idx="17">
                  <c:v>31161.184999999998</c:v>
                </c:pt>
                <c:pt idx="18">
                  <c:v>31784.445</c:v>
                </c:pt>
                <c:pt idx="19">
                  <c:v>32330.63</c:v>
                </c:pt>
                <c:pt idx="20">
                  <c:v>33370.205000000002</c:v>
                </c:pt>
                <c:pt idx="21">
                  <c:v>33649.68</c:v>
                </c:pt>
                <c:pt idx="22">
                  <c:v>34390.550000000003</c:v>
                </c:pt>
                <c:pt idx="23">
                  <c:v>35060.425000000003</c:v>
                </c:pt>
                <c:pt idx="24">
                  <c:v>35321.544999999998</c:v>
                </c:pt>
                <c:pt idx="25">
                  <c:v>34869.084999999999</c:v>
                </c:pt>
                <c:pt idx="26">
                  <c:v>34749.365000000005</c:v>
                </c:pt>
                <c:pt idx="27">
                  <c:v>34217.119999999995</c:v>
                </c:pt>
                <c:pt idx="28">
                  <c:v>34651.399999999994</c:v>
                </c:pt>
                <c:pt idx="29">
                  <c:v>34633.524999999994</c:v>
                </c:pt>
                <c:pt idx="30">
                  <c:v>35402.485000000001</c:v>
                </c:pt>
                <c:pt idx="31">
                  <c:v>35556.824999999997</c:v>
                </c:pt>
                <c:pt idx="32">
                  <c:v>36010.71</c:v>
                </c:pt>
                <c:pt idx="33">
                  <c:v>36435.434999999998</c:v>
                </c:pt>
                <c:pt idx="34">
                  <c:v>37231.79</c:v>
                </c:pt>
                <c:pt idx="35">
                  <c:v>37307.69</c:v>
                </c:pt>
                <c:pt idx="36">
                  <c:v>36741.72</c:v>
                </c:pt>
                <c:pt idx="37">
                  <c:v>36150.604999999996</c:v>
                </c:pt>
                <c:pt idx="38">
                  <c:v>38026.050000000003</c:v>
                </c:pt>
                <c:pt idx="39">
                  <c:v>36228.885000000002</c:v>
                </c:pt>
                <c:pt idx="40">
                  <c:v>37326.339999999997</c:v>
                </c:pt>
                <c:pt idx="41">
                  <c:v>36578.83</c:v>
                </c:pt>
                <c:pt idx="42">
                  <c:v>37371.214999999997</c:v>
                </c:pt>
                <c:pt idx="43">
                  <c:v>37812.94</c:v>
                </c:pt>
                <c:pt idx="44">
                  <c:v>38081.755000000005</c:v>
                </c:pt>
                <c:pt idx="45">
                  <c:v>38537.42</c:v>
                </c:pt>
                <c:pt idx="46">
                  <c:v>38555.22</c:v>
                </c:pt>
                <c:pt idx="47">
                  <c:v>37939.195</c:v>
                </c:pt>
                <c:pt idx="48">
                  <c:v>37000.61</c:v>
                </c:pt>
                <c:pt idx="49">
                  <c:v>36885.69</c:v>
                </c:pt>
                <c:pt idx="50">
                  <c:v>36631.455000000002</c:v>
                </c:pt>
                <c:pt idx="51">
                  <c:v>36881.425000000003</c:v>
                </c:pt>
                <c:pt idx="52">
                  <c:v>36675.324999999997</c:v>
                </c:pt>
                <c:pt idx="53">
                  <c:v>37859.599999999999</c:v>
                </c:pt>
                <c:pt idx="54">
                  <c:v>38639.339999999997</c:v>
                </c:pt>
                <c:pt idx="55">
                  <c:v>38118.095000000001</c:v>
                </c:pt>
                <c:pt idx="56">
                  <c:v>38031.785000000003</c:v>
                </c:pt>
                <c:pt idx="57">
                  <c:v>38303.055</c:v>
                </c:pt>
                <c:pt idx="58">
                  <c:v>39416.955000000002</c:v>
                </c:pt>
                <c:pt idx="59">
                  <c:v>40166.119999999995</c:v>
                </c:pt>
              </c:numCache>
            </c:numRef>
          </c:xVal>
          <c:yVal>
            <c:numRef>
              <c:f>'АД исход данных'!$B$30:$B$89</c:f>
              <c:numCache>
                <c:formatCode>General</c:formatCode>
                <c:ptCount val="60"/>
                <c:pt idx="0">
                  <c:v>104.20115386005612</c:v>
                </c:pt>
                <c:pt idx="1">
                  <c:v>103.27686066152033</c:v>
                </c:pt>
                <c:pt idx="2">
                  <c:v>104.19712886800028</c:v>
                </c:pt>
                <c:pt idx="3">
                  <c:v>102.52349498628281</c:v>
                </c:pt>
                <c:pt idx="4">
                  <c:v>105.01370597712634</c:v>
                </c:pt>
                <c:pt idx="5">
                  <c:v>104.98432229988224</c:v>
                </c:pt>
                <c:pt idx="6">
                  <c:v>108.25478609911184</c:v>
                </c:pt>
                <c:pt idx="7">
                  <c:v>110.43618390304874</c:v>
                </c:pt>
                <c:pt idx="8">
                  <c:v>113.17387340254449</c:v>
                </c:pt>
                <c:pt idx="9">
                  <c:v>114.26120938287215</c:v>
                </c:pt>
                <c:pt idx="10">
                  <c:v>116.85421389305777</c:v>
                </c:pt>
                <c:pt idx="11">
                  <c:v>117.09901221790329</c:v>
                </c:pt>
                <c:pt idx="12">
                  <c:v>113.85024726645227</c:v>
                </c:pt>
                <c:pt idx="13">
                  <c:v>109.21524298464495</c:v>
                </c:pt>
                <c:pt idx="14">
                  <c:v>106.52667973091779</c:v>
                </c:pt>
                <c:pt idx="15">
                  <c:v>109.00434208920088</c:v>
                </c:pt>
                <c:pt idx="16">
                  <c:v>107.3109967736638</c:v>
                </c:pt>
                <c:pt idx="17">
                  <c:v>108.31574607190237</c:v>
                </c:pt>
                <c:pt idx="18">
                  <c:v>107.87659298965487</c:v>
                </c:pt>
                <c:pt idx="19">
                  <c:v>108.54117891582716</c:v>
                </c:pt>
                <c:pt idx="20">
                  <c:v>108.21637964325301</c:v>
                </c:pt>
                <c:pt idx="21">
                  <c:v>106.78573108391231</c:v>
                </c:pt>
                <c:pt idx="22">
                  <c:v>107.01639121464214</c:v>
                </c:pt>
                <c:pt idx="23">
                  <c:v>99.255005392473976</c:v>
                </c:pt>
                <c:pt idx="24">
                  <c:v>110.53822691946951</c:v>
                </c:pt>
                <c:pt idx="25">
                  <c:v>108.34481131094039</c:v>
                </c:pt>
                <c:pt idx="26">
                  <c:v>112.68747421272954</c:v>
                </c:pt>
                <c:pt idx="27">
                  <c:v>113.9943733997346</c:v>
                </c:pt>
                <c:pt idx="28">
                  <c:v>116.54098471036039</c:v>
                </c:pt>
                <c:pt idx="29">
                  <c:v>120.36267910429905</c:v>
                </c:pt>
                <c:pt idx="30">
                  <c:v>124.66304061472849</c:v>
                </c:pt>
                <c:pt idx="31">
                  <c:v>129.35377888661878</c:v>
                </c:pt>
                <c:pt idx="32">
                  <c:v>133.23574109522025</c:v>
                </c:pt>
                <c:pt idx="33">
                  <c:v>136.67147707743592</c:v>
                </c:pt>
                <c:pt idx="34">
                  <c:v>135.81595361709932</c:v>
                </c:pt>
                <c:pt idx="35">
                  <c:v>136.01082780896175</c:v>
                </c:pt>
                <c:pt idx="36">
                  <c:v>139.11717107147291</c:v>
                </c:pt>
                <c:pt idx="37">
                  <c:v>136.04881127027315</c:v>
                </c:pt>
                <c:pt idx="38">
                  <c:v>134.43369875604085</c:v>
                </c:pt>
                <c:pt idx="39">
                  <c:v>135.01337487904189</c:v>
                </c:pt>
                <c:pt idx="40">
                  <c:v>133.14716900532079</c:v>
                </c:pt>
                <c:pt idx="41">
                  <c:v>132.29182746054019</c:v>
                </c:pt>
                <c:pt idx="42">
                  <c:v>133.68126134573211</c:v>
                </c:pt>
                <c:pt idx="43">
                  <c:v>133.06885979041456</c:v>
                </c:pt>
                <c:pt idx="44">
                  <c:v>131.95437994653</c:v>
                </c:pt>
                <c:pt idx="45">
                  <c:v>132.56442417475719</c:v>
                </c:pt>
                <c:pt idx="46">
                  <c:v>134.07449374859434</c:v>
                </c:pt>
                <c:pt idx="47">
                  <c:v>134.3924641584008</c:v>
                </c:pt>
                <c:pt idx="48">
                  <c:v>134.07263228002131</c:v>
                </c:pt>
                <c:pt idx="49">
                  <c:v>133.02689499617682</c:v>
                </c:pt>
                <c:pt idx="50">
                  <c:v>133.58432128794598</c:v>
                </c:pt>
                <c:pt idx="51">
                  <c:v>131.60974907973647</c:v>
                </c:pt>
                <c:pt idx="52">
                  <c:v>130.93519648057395</c:v>
                </c:pt>
                <c:pt idx="53">
                  <c:v>130.75591598199156</c:v>
                </c:pt>
                <c:pt idx="54">
                  <c:v>129.97128692322772</c:v>
                </c:pt>
                <c:pt idx="55">
                  <c:v>132.74261503457626</c:v>
                </c:pt>
                <c:pt idx="56">
                  <c:v>135.27675235304582</c:v>
                </c:pt>
                <c:pt idx="57">
                  <c:v>136.33576912076072</c:v>
                </c:pt>
                <c:pt idx="58">
                  <c:v>138.07556426918578</c:v>
                </c:pt>
                <c:pt idx="59">
                  <c:v>139.00551812009019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DA8-4EFA-8092-764C905C9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96240"/>
        <c:axId val="408688624"/>
      </c:scatterChart>
      <c:valAx>
        <c:axId val="40869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Средняя цена на приобретённые с/х организациями автомобильный бензин и дизельное топливо, руб./т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88624"/>
        <c:crosses val="autoZero"/>
        <c:crossBetween val="midCat"/>
      </c:valAx>
      <c:valAx>
        <c:axId val="408688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Средние потребительские цены на куры охлаждённые и мороженные, руб./кг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696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Средняя цена на приобретённую с/х организациями электроэнергию, руб./МВт.ч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лист'!$G$14:$G$73</c:f>
              <c:numCache>
                <c:formatCode>0.00</c:formatCode>
                <c:ptCount val="60"/>
                <c:pt idx="0">
                  <c:v>2710.03</c:v>
                </c:pt>
                <c:pt idx="1">
                  <c:v>2802.63</c:v>
                </c:pt>
                <c:pt idx="2">
                  <c:v>2739.21</c:v>
                </c:pt>
                <c:pt idx="3">
                  <c:v>3487.76</c:v>
                </c:pt>
                <c:pt idx="4">
                  <c:v>2649.2</c:v>
                </c:pt>
                <c:pt idx="5">
                  <c:v>2645.58</c:v>
                </c:pt>
                <c:pt idx="6">
                  <c:v>3077.61</c:v>
                </c:pt>
                <c:pt idx="7">
                  <c:v>3099.03</c:v>
                </c:pt>
                <c:pt idx="8">
                  <c:v>3279.89</c:v>
                </c:pt>
                <c:pt idx="9">
                  <c:v>3087.95</c:v>
                </c:pt>
                <c:pt idx="10">
                  <c:v>3004.93</c:v>
                </c:pt>
                <c:pt idx="11">
                  <c:v>2833.66</c:v>
                </c:pt>
                <c:pt idx="12">
                  <c:v>3534.59</c:v>
                </c:pt>
                <c:pt idx="13">
                  <c:v>3518.38</c:v>
                </c:pt>
                <c:pt idx="14">
                  <c:v>3585.83</c:v>
                </c:pt>
                <c:pt idx="15">
                  <c:v>3185.23</c:v>
                </c:pt>
                <c:pt idx="16">
                  <c:v>3405.33</c:v>
                </c:pt>
                <c:pt idx="17">
                  <c:v>3370.77</c:v>
                </c:pt>
                <c:pt idx="18">
                  <c:v>3789.67</c:v>
                </c:pt>
                <c:pt idx="19">
                  <c:v>3843.62</c:v>
                </c:pt>
                <c:pt idx="20" formatCode="General">
                  <c:v>3837</c:v>
                </c:pt>
                <c:pt idx="21">
                  <c:v>3673.56</c:v>
                </c:pt>
                <c:pt idx="22">
                  <c:v>3495.5</c:v>
                </c:pt>
                <c:pt idx="23">
                  <c:v>3518.73</c:v>
                </c:pt>
                <c:pt idx="24">
                  <c:v>3664.96</c:v>
                </c:pt>
                <c:pt idx="25">
                  <c:v>3675.08</c:v>
                </c:pt>
                <c:pt idx="26">
                  <c:v>3610.9</c:v>
                </c:pt>
                <c:pt idx="27">
                  <c:v>3918.14</c:v>
                </c:pt>
                <c:pt idx="28">
                  <c:v>3896.81</c:v>
                </c:pt>
                <c:pt idx="29">
                  <c:v>3995.53</c:v>
                </c:pt>
                <c:pt idx="30">
                  <c:v>4005.55</c:v>
                </c:pt>
                <c:pt idx="31">
                  <c:v>4088.28</c:v>
                </c:pt>
                <c:pt idx="32">
                  <c:v>3942.97</c:v>
                </c:pt>
                <c:pt idx="33">
                  <c:v>3667.51</c:v>
                </c:pt>
                <c:pt idx="34">
                  <c:v>3931.27</c:v>
                </c:pt>
                <c:pt idx="35">
                  <c:v>3877.77</c:v>
                </c:pt>
                <c:pt idx="36">
                  <c:v>3963.93</c:v>
                </c:pt>
                <c:pt idx="37">
                  <c:v>4197.93</c:v>
                </c:pt>
                <c:pt idx="38">
                  <c:v>4405.04</c:v>
                </c:pt>
                <c:pt idx="39">
                  <c:v>4407.75</c:v>
                </c:pt>
                <c:pt idx="40">
                  <c:v>4450.25</c:v>
                </c:pt>
                <c:pt idx="41">
                  <c:v>4434.34</c:v>
                </c:pt>
                <c:pt idx="42">
                  <c:v>4768.6099999999997</c:v>
                </c:pt>
                <c:pt idx="43">
                  <c:v>4761.05</c:v>
                </c:pt>
                <c:pt idx="44">
                  <c:v>4728.13</c:v>
                </c:pt>
                <c:pt idx="45">
                  <c:v>4789.46</c:v>
                </c:pt>
                <c:pt idx="46">
                  <c:v>4849.1000000000004</c:v>
                </c:pt>
                <c:pt idx="47">
                  <c:v>4694.05</c:v>
                </c:pt>
                <c:pt idx="48">
                  <c:v>4493.75</c:v>
                </c:pt>
                <c:pt idx="49">
                  <c:v>4625.6400000000003</c:v>
                </c:pt>
                <c:pt idx="50">
                  <c:v>4615.66</c:v>
                </c:pt>
                <c:pt idx="51">
                  <c:v>4951.17</c:v>
                </c:pt>
                <c:pt idx="52">
                  <c:v>4934.33</c:v>
                </c:pt>
                <c:pt idx="53">
                  <c:v>5018.21</c:v>
                </c:pt>
                <c:pt idx="54">
                  <c:v>5337.03</c:v>
                </c:pt>
                <c:pt idx="55">
                  <c:v>4828.42</c:v>
                </c:pt>
                <c:pt idx="56">
                  <c:v>4839.95</c:v>
                </c:pt>
                <c:pt idx="57">
                  <c:v>4872.42</c:v>
                </c:pt>
                <c:pt idx="58">
                  <c:v>4729.82</c:v>
                </c:pt>
                <c:pt idx="59">
                  <c:v>4676.71</c:v>
                </c:pt>
              </c:numCache>
            </c:numRef>
          </c:xVal>
          <c:yVal>
            <c:numRef>
              <c:f>'Тит лист'!$C$14:$C$73</c:f>
              <c:numCache>
                <c:formatCode>0.00</c:formatCode>
                <c:ptCount val="60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  <c:pt idx="58">
                  <c:v>137.97</c:v>
                </c:pt>
                <c:pt idx="59">
                  <c:v>138.49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EED-441B-BFD0-C086FF61C8FD}"/>
            </c:ext>
          </c:extLst>
        </c:ser>
        <c:ser>
          <c:idx val="1"/>
          <c:order val="1"/>
          <c:tx>
            <c:v>Предсказанное 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лист'!$G$14:$G$73</c:f>
              <c:numCache>
                <c:formatCode>0.00</c:formatCode>
                <c:ptCount val="60"/>
                <c:pt idx="0">
                  <c:v>2710.03</c:v>
                </c:pt>
                <c:pt idx="1">
                  <c:v>2802.63</c:v>
                </c:pt>
                <c:pt idx="2">
                  <c:v>2739.21</c:v>
                </c:pt>
                <c:pt idx="3">
                  <c:v>3487.76</c:v>
                </c:pt>
                <c:pt idx="4">
                  <c:v>2649.2</c:v>
                </c:pt>
                <c:pt idx="5">
                  <c:v>2645.58</c:v>
                </c:pt>
                <c:pt idx="6">
                  <c:v>3077.61</c:v>
                </c:pt>
                <c:pt idx="7">
                  <c:v>3099.03</c:v>
                </c:pt>
                <c:pt idx="8">
                  <c:v>3279.89</c:v>
                </c:pt>
                <c:pt idx="9">
                  <c:v>3087.95</c:v>
                </c:pt>
                <c:pt idx="10">
                  <c:v>3004.93</c:v>
                </c:pt>
                <c:pt idx="11">
                  <c:v>2833.66</c:v>
                </c:pt>
                <c:pt idx="12">
                  <c:v>3534.59</c:v>
                </c:pt>
                <c:pt idx="13">
                  <c:v>3518.38</c:v>
                </c:pt>
                <c:pt idx="14">
                  <c:v>3585.83</c:v>
                </c:pt>
                <c:pt idx="15">
                  <c:v>3185.23</c:v>
                </c:pt>
                <c:pt idx="16">
                  <c:v>3405.33</c:v>
                </c:pt>
                <c:pt idx="17">
                  <c:v>3370.77</c:v>
                </c:pt>
                <c:pt idx="18">
                  <c:v>3789.67</c:v>
                </c:pt>
                <c:pt idx="19">
                  <c:v>3843.62</c:v>
                </c:pt>
                <c:pt idx="20" formatCode="General">
                  <c:v>3837</c:v>
                </c:pt>
                <c:pt idx="21">
                  <c:v>3673.56</c:v>
                </c:pt>
                <c:pt idx="22">
                  <c:v>3495.5</c:v>
                </c:pt>
                <c:pt idx="23">
                  <c:v>3518.73</c:v>
                </c:pt>
                <c:pt idx="24">
                  <c:v>3664.96</c:v>
                </c:pt>
                <c:pt idx="25">
                  <c:v>3675.08</c:v>
                </c:pt>
                <c:pt idx="26">
                  <c:v>3610.9</c:v>
                </c:pt>
                <c:pt idx="27">
                  <c:v>3918.14</c:v>
                </c:pt>
                <c:pt idx="28">
                  <c:v>3896.81</c:v>
                </c:pt>
                <c:pt idx="29">
                  <c:v>3995.53</c:v>
                </c:pt>
                <c:pt idx="30">
                  <c:v>4005.55</c:v>
                </c:pt>
                <c:pt idx="31">
                  <c:v>4088.28</c:v>
                </c:pt>
                <c:pt idx="32">
                  <c:v>3942.97</c:v>
                </c:pt>
                <c:pt idx="33">
                  <c:v>3667.51</c:v>
                </c:pt>
                <c:pt idx="34">
                  <c:v>3931.27</c:v>
                </c:pt>
                <c:pt idx="35">
                  <c:v>3877.77</c:v>
                </c:pt>
                <c:pt idx="36">
                  <c:v>3963.93</c:v>
                </c:pt>
                <c:pt idx="37">
                  <c:v>4197.93</c:v>
                </c:pt>
                <c:pt idx="38">
                  <c:v>4405.04</c:v>
                </c:pt>
                <c:pt idx="39">
                  <c:v>4407.75</c:v>
                </c:pt>
                <c:pt idx="40">
                  <c:v>4450.25</c:v>
                </c:pt>
                <c:pt idx="41">
                  <c:v>4434.34</c:v>
                </c:pt>
                <c:pt idx="42">
                  <c:v>4768.6099999999997</c:v>
                </c:pt>
                <c:pt idx="43">
                  <c:v>4761.05</c:v>
                </c:pt>
                <c:pt idx="44">
                  <c:v>4728.13</c:v>
                </c:pt>
                <c:pt idx="45">
                  <c:v>4789.46</c:v>
                </c:pt>
                <c:pt idx="46">
                  <c:v>4849.1000000000004</c:v>
                </c:pt>
                <c:pt idx="47">
                  <c:v>4694.05</c:v>
                </c:pt>
                <c:pt idx="48">
                  <c:v>4493.75</c:v>
                </c:pt>
                <c:pt idx="49">
                  <c:v>4625.6400000000003</c:v>
                </c:pt>
                <c:pt idx="50">
                  <c:v>4615.66</c:v>
                </c:pt>
                <c:pt idx="51">
                  <c:v>4951.17</c:v>
                </c:pt>
                <c:pt idx="52">
                  <c:v>4934.33</c:v>
                </c:pt>
                <c:pt idx="53">
                  <c:v>5018.21</c:v>
                </c:pt>
                <c:pt idx="54">
                  <c:v>5337.03</c:v>
                </c:pt>
                <c:pt idx="55">
                  <c:v>4828.42</c:v>
                </c:pt>
                <c:pt idx="56">
                  <c:v>4839.95</c:v>
                </c:pt>
                <c:pt idx="57">
                  <c:v>4872.42</c:v>
                </c:pt>
                <c:pt idx="58">
                  <c:v>4729.82</c:v>
                </c:pt>
                <c:pt idx="59">
                  <c:v>4676.71</c:v>
                </c:pt>
              </c:numCache>
            </c:numRef>
          </c:xVal>
          <c:yVal>
            <c:numRef>
              <c:f>'АД исход данных'!$B$30:$B$89</c:f>
              <c:numCache>
                <c:formatCode>General</c:formatCode>
                <c:ptCount val="60"/>
                <c:pt idx="0">
                  <c:v>104.20115386005612</c:v>
                </c:pt>
                <c:pt idx="1">
                  <c:v>103.27686066152033</c:v>
                </c:pt>
                <c:pt idx="2">
                  <c:v>104.19712886800028</c:v>
                </c:pt>
                <c:pt idx="3">
                  <c:v>102.52349498628281</c:v>
                </c:pt>
                <c:pt idx="4">
                  <c:v>105.01370597712634</c:v>
                </c:pt>
                <c:pt idx="5">
                  <c:v>104.98432229988224</c:v>
                </c:pt>
                <c:pt idx="6">
                  <c:v>108.25478609911184</c:v>
                </c:pt>
                <c:pt idx="7">
                  <c:v>110.43618390304874</c:v>
                </c:pt>
                <c:pt idx="8">
                  <c:v>113.17387340254449</c:v>
                </c:pt>
                <c:pt idx="9">
                  <c:v>114.26120938287215</c:v>
                </c:pt>
                <c:pt idx="10">
                  <c:v>116.85421389305777</c:v>
                </c:pt>
                <c:pt idx="11">
                  <c:v>117.09901221790329</c:v>
                </c:pt>
                <c:pt idx="12">
                  <c:v>113.85024726645227</c:v>
                </c:pt>
                <c:pt idx="13">
                  <c:v>109.21524298464495</c:v>
                </c:pt>
                <c:pt idx="14">
                  <c:v>106.52667973091779</c:v>
                </c:pt>
                <c:pt idx="15">
                  <c:v>109.00434208920088</c:v>
                </c:pt>
                <c:pt idx="16">
                  <c:v>107.3109967736638</c:v>
                </c:pt>
                <c:pt idx="17">
                  <c:v>108.31574607190237</c:v>
                </c:pt>
                <c:pt idx="18">
                  <c:v>107.87659298965487</c:v>
                </c:pt>
                <c:pt idx="19">
                  <c:v>108.54117891582716</c:v>
                </c:pt>
                <c:pt idx="20">
                  <c:v>108.21637964325301</c:v>
                </c:pt>
                <c:pt idx="21">
                  <c:v>106.78573108391231</c:v>
                </c:pt>
                <c:pt idx="22">
                  <c:v>107.01639121464214</c:v>
                </c:pt>
                <c:pt idx="23">
                  <c:v>99.255005392473976</c:v>
                </c:pt>
                <c:pt idx="24">
                  <c:v>110.53822691946951</c:v>
                </c:pt>
                <c:pt idx="25">
                  <c:v>108.34481131094039</c:v>
                </c:pt>
                <c:pt idx="26">
                  <c:v>112.68747421272954</c:v>
                </c:pt>
                <c:pt idx="27">
                  <c:v>113.9943733997346</c:v>
                </c:pt>
                <c:pt idx="28">
                  <c:v>116.54098471036039</c:v>
                </c:pt>
                <c:pt idx="29">
                  <c:v>120.36267910429905</c:v>
                </c:pt>
                <c:pt idx="30">
                  <c:v>124.66304061472849</c:v>
                </c:pt>
                <c:pt idx="31">
                  <c:v>129.35377888661878</c:v>
                </c:pt>
                <c:pt idx="32">
                  <c:v>133.23574109522025</c:v>
                </c:pt>
                <c:pt idx="33">
                  <c:v>136.67147707743592</c:v>
                </c:pt>
                <c:pt idx="34">
                  <c:v>135.81595361709932</c:v>
                </c:pt>
                <c:pt idx="35">
                  <c:v>136.01082780896175</c:v>
                </c:pt>
                <c:pt idx="36">
                  <c:v>139.11717107147291</c:v>
                </c:pt>
                <c:pt idx="37">
                  <c:v>136.04881127027315</c:v>
                </c:pt>
                <c:pt idx="38">
                  <c:v>134.43369875604085</c:v>
                </c:pt>
                <c:pt idx="39">
                  <c:v>135.01337487904189</c:v>
                </c:pt>
                <c:pt idx="40">
                  <c:v>133.14716900532079</c:v>
                </c:pt>
                <c:pt idx="41">
                  <c:v>132.29182746054019</c:v>
                </c:pt>
                <c:pt idx="42">
                  <c:v>133.68126134573211</c:v>
                </c:pt>
                <c:pt idx="43">
                  <c:v>133.06885979041456</c:v>
                </c:pt>
                <c:pt idx="44">
                  <c:v>131.95437994653</c:v>
                </c:pt>
                <c:pt idx="45">
                  <c:v>132.56442417475719</c:v>
                </c:pt>
                <c:pt idx="46">
                  <c:v>134.07449374859434</c:v>
                </c:pt>
                <c:pt idx="47">
                  <c:v>134.3924641584008</c:v>
                </c:pt>
                <c:pt idx="48">
                  <c:v>134.07263228002131</c:v>
                </c:pt>
                <c:pt idx="49">
                  <c:v>133.02689499617682</c:v>
                </c:pt>
                <c:pt idx="50">
                  <c:v>133.58432128794598</c:v>
                </c:pt>
                <c:pt idx="51">
                  <c:v>131.60974907973647</c:v>
                </c:pt>
                <c:pt idx="52">
                  <c:v>130.93519648057395</c:v>
                </c:pt>
                <c:pt idx="53">
                  <c:v>130.75591598199156</c:v>
                </c:pt>
                <c:pt idx="54">
                  <c:v>129.97128692322772</c:v>
                </c:pt>
                <c:pt idx="55">
                  <c:v>132.74261503457626</c:v>
                </c:pt>
                <c:pt idx="56">
                  <c:v>135.27675235304582</c:v>
                </c:pt>
                <c:pt idx="57">
                  <c:v>136.33576912076072</c:v>
                </c:pt>
                <c:pt idx="58">
                  <c:v>138.07556426918578</c:v>
                </c:pt>
                <c:pt idx="59">
                  <c:v>139.00551812009019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EED-441B-BFD0-C086FF61C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89168"/>
        <c:axId val="408700592"/>
      </c:scatterChart>
      <c:valAx>
        <c:axId val="40868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Средняя цена на приобретённую с/х организациями электроэнергию, руб./МВт.ч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700592"/>
        <c:crosses val="autoZero"/>
        <c:crossBetween val="midCat"/>
      </c:valAx>
      <c:valAx>
        <c:axId val="408700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Средние потребительские цены на куры охлаждённые и мороженные, руб./кг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689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Индекс уверенности потребителя, %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лист'!$H$14:$H$73</c:f>
              <c:numCache>
                <c:formatCode>0.00</c:formatCode>
                <c:ptCount val="60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  <c:pt idx="58">
                  <c:v>-16.3</c:v>
                </c:pt>
                <c:pt idx="59">
                  <c:v>-18.100000000000001</c:v>
                </c:pt>
              </c:numCache>
            </c:numRef>
          </c:xVal>
          <c:yVal>
            <c:numRef>
              <c:f>'Тит лист'!$C$14:$C$73</c:f>
              <c:numCache>
                <c:formatCode>0.00</c:formatCode>
                <c:ptCount val="60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  <c:pt idx="58">
                  <c:v>137.97</c:v>
                </c:pt>
                <c:pt idx="59">
                  <c:v>138.49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FE3-427D-B679-B43516D1D379}"/>
            </c:ext>
          </c:extLst>
        </c:ser>
        <c:ser>
          <c:idx val="1"/>
          <c:order val="1"/>
          <c:tx>
            <c:v>Предсказанное 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лист'!$H$14:$H$73</c:f>
              <c:numCache>
                <c:formatCode>0.00</c:formatCode>
                <c:ptCount val="60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  <c:pt idx="58">
                  <c:v>-16.3</c:v>
                </c:pt>
                <c:pt idx="59">
                  <c:v>-18.100000000000001</c:v>
                </c:pt>
              </c:numCache>
            </c:numRef>
          </c:xVal>
          <c:yVal>
            <c:numRef>
              <c:f>'АД исход данных'!$B$30:$B$89</c:f>
              <c:numCache>
                <c:formatCode>General</c:formatCode>
                <c:ptCount val="60"/>
                <c:pt idx="0">
                  <c:v>104.20115386005612</c:v>
                </c:pt>
                <c:pt idx="1">
                  <c:v>103.27686066152033</c:v>
                </c:pt>
                <c:pt idx="2">
                  <c:v>104.19712886800028</c:v>
                </c:pt>
                <c:pt idx="3">
                  <c:v>102.52349498628281</c:v>
                </c:pt>
                <c:pt idx="4">
                  <c:v>105.01370597712634</c:v>
                </c:pt>
                <c:pt idx="5">
                  <c:v>104.98432229988224</c:v>
                </c:pt>
                <c:pt idx="6">
                  <c:v>108.25478609911184</c:v>
                </c:pt>
                <c:pt idx="7">
                  <c:v>110.43618390304874</c:v>
                </c:pt>
                <c:pt idx="8">
                  <c:v>113.17387340254449</c:v>
                </c:pt>
                <c:pt idx="9">
                  <c:v>114.26120938287215</c:v>
                </c:pt>
                <c:pt idx="10">
                  <c:v>116.85421389305777</c:v>
                </c:pt>
                <c:pt idx="11">
                  <c:v>117.09901221790329</c:v>
                </c:pt>
                <c:pt idx="12">
                  <c:v>113.85024726645227</c:v>
                </c:pt>
                <c:pt idx="13">
                  <c:v>109.21524298464495</c:v>
                </c:pt>
                <c:pt idx="14">
                  <c:v>106.52667973091779</c:v>
                </c:pt>
                <c:pt idx="15">
                  <c:v>109.00434208920088</c:v>
                </c:pt>
                <c:pt idx="16">
                  <c:v>107.3109967736638</c:v>
                </c:pt>
                <c:pt idx="17">
                  <c:v>108.31574607190237</c:v>
                </c:pt>
                <c:pt idx="18">
                  <c:v>107.87659298965487</c:v>
                </c:pt>
                <c:pt idx="19">
                  <c:v>108.54117891582716</c:v>
                </c:pt>
                <c:pt idx="20">
                  <c:v>108.21637964325301</c:v>
                </c:pt>
                <c:pt idx="21">
                  <c:v>106.78573108391231</c:v>
                </c:pt>
                <c:pt idx="22">
                  <c:v>107.01639121464214</c:v>
                </c:pt>
                <c:pt idx="23">
                  <c:v>99.255005392473976</c:v>
                </c:pt>
                <c:pt idx="24">
                  <c:v>110.53822691946951</c:v>
                </c:pt>
                <c:pt idx="25">
                  <c:v>108.34481131094039</c:v>
                </c:pt>
                <c:pt idx="26">
                  <c:v>112.68747421272954</c:v>
                </c:pt>
                <c:pt idx="27">
                  <c:v>113.9943733997346</c:v>
                </c:pt>
                <c:pt idx="28">
                  <c:v>116.54098471036039</c:v>
                </c:pt>
                <c:pt idx="29">
                  <c:v>120.36267910429905</c:v>
                </c:pt>
                <c:pt idx="30">
                  <c:v>124.66304061472849</c:v>
                </c:pt>
                <c:pt idx="31">
                  <c:v>129.35377888661878</c:v>
                </c:pt>
                <c:pt idx="32">
                  <c:v>133.23574109522025</c:v>
                </c:pt>
                <c:pt idx="33">
                  <c:v>136.67147707743592</c:v>
                </c:pt>
                <c:pt idx="34">
                  <c:v>135.81595361709932</c:v>
                </c:pt>
                <c:pt idx="35">
                  <c:v>136.01082780896175</c:v>
                </c:pt>
                <c:pt idx="36">
                  <c:v>139.11717107147291</c:v>
                </c:pt>
                <c:pt idx="37">
                  <c:v>136.04881127027315</c:v>
                </c:pt>
                <c:pt idx="38">
                  <c:v>134.43369875604085</c:v>
                </c:pt>
                <c:pt idx="39">
                  <c:v>135.01337487904189</c:v>
                </c:pt>
                <c:pt idx="40">
                  <c:v>133.14716900532079</c:v>
                </c:pt>
                <c:pt idx="41">
                  <c:v>132.29182746054019</c:v>
                </c:pt>
                <c:pt idx="42">
                  <c:v>133.68126134573211</c:v>
                </c:pt>
                <c:pt idx="43">
                  <c:v>133.06885979041456</c:v>
                </c:pt>
                <c:pt idx="44">
                  <c:v>131.95437994653</c:v>
                </c:pt>
                <c:pt idx="45">
                  <c:v>132.56442417475719</c:v>
                </c:pt>
                <c:pt idx="46">
                  <c:v>134.07449374859434</c:v>
                </c:pt>
                <c:pt idx="47">
                  <c:v>134.3924641584008</c:v>
                </c:pt>
                <c:pt idx="48">
                  <c:v>134.07263228002131</c:v>
                </c:pt>
                <c:pt idx="49">
                  <c:v>133.02689499617682</c:v>
                </c:pt>
                <c:pt idx="50">
                  <c:v>133.58432128794598</c:v>
                </c:pt>
                <c:pt idx="51">
                  <c:v>131.60974907973647</c:v>
                </c:pt>
                <c:pt idx="52">
                  <c:v>130.93519648057395</c:v>
                </c:pt>
                <c:pt idx="53">
                  <c:v>130.75591598199156</c:v>
                </c:pt>
                <c:pt idx="54">
                  <c:v>129.97128692322772</c:v>
                </c:pt>
                <c:pt idx="55">
                  <c:v>132.74261503457626</c:v>
                </c:pt>
                <c:pt idx="56">
                  <c:v>135.27675235304582</c:v>
                </c:pt>
                <c:pt idx="57">
                  <c:v>136.33576912076072</c:v>
                </c:pt>
                <c:pt idx="58">
                  <c:v>138.07556426918578</c:v>
                </c:pt>
                <c:pt idx="59">
                  <c:v>139.00551812009019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FE3-427D-B679-B43516D1D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708752"/>
        <c:axId val="408692976"/>
      </c:scatterChart>
      <c:valAx>
        <c:axId val="40870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Индекс уверенности потребителя, %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692976"/>
        <c:crosses val="autoZero"/>
        <c:crossBetween val="midCat"/>
      </c:valAx>
      <c:valAx>
        <c:axId val="408692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Средние потребительские цены на куры охлаждённые и мороженные, руб./кг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708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Число торговых мест на рынке по продаже продуктов питания,тыс. мест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лист'!$I$14:$I$73</c:f>
              <c:numCache>
                <c:formatCode>0.00</c:formatCode>
                <c:ptCount val="60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  <c:pt idx="58">
                  <c:v>12384</c:v>
                </c:pt>
                <c:pt idx="59">
                  <c:v>12297</c:v>
                </c:pt>
              </c:numCache>
            </c:numRef>
          </c:xVal>
          <c:yVal>
            <c:numRef>
              <c:f>'Тит лист'!$C$14:$C$73</c:f>
              <c:numCache>
                <c:formatCode>0.00</c:formatCode>
                <c:ptCount val="60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  <c:pt idx="58">
                  <c:v>137.97</c:v>
                </c:pt>
                <c:pt idx="59">
                  <c:v>138.49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A13-4BD2-BE0B-32DBAE6A3D52}"/>
            </c:ext>
          </c:extLst>
        </c:ser>
        <c:ser>
          <c:idx val="1"/>
          <c:order val="1"/>
          <c:tx>
            <c:v>Предсказанное Средние потребительские цены на куры охлаждённые и мороженные, руб./кг</c:v>
          </c:tx>
          <c:spPr>
            <a:ln w="19050">
              <a:noFill/>
            </a:ln>
          </c:spPr>
          <c:xVal>
            <c:numRef>
              <c:f>'Тит лист'!$I$14:$I$73</c:f>
              <c:numCache>
                <c:formatCode>0.00</c:formatCode>
                <c:ptCount val="60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  <c:pt idx="58">
                  <c:v>12384</c:v>
                </c:pt>
                <c:pt idx="59">
                  <c:v>12297</c:v>
                </c:pt>
              </c:numCache>
            </c:numRef>
          </c:xVal>
          <c:yVal>
            <c:numRef>
              <c:f>'АД исход данных'!$B$30:$B$89</c:f>
              <c:numCache>
                <c:formatCode>General</c:formatCode>
                <c:ptCount val="60"/>
                <c:pt idx="0">
                  <c:v>104.20115386005612</c:v>
                </c:pt>
                <c:pt idx="1">
                  <c:v>103.27686066152033</c:v>
                </c:pt>
                <c:pt idx="2">
                  <c:v>104.19712886800028</c:v>
                </c:pt>
                <c:pt idx="3">
                  <c:v>102.52349498628281</c:v>
                </c:pt>
                <c:pt idx="4">
                  <c:v>105.01370597712634</c:v>
                </c:pt>
                <c:pt idx="5">
                  <c:v>104.98432229988224</c:v>
                </c:pt>
                <c:pt idx="6">
                  <c:v>108.25478609911184</c:v>
                </c:pt>
                <c:pt idx="7">
                  <c:v>110.43618390304874</c:v>
                </c:pt>
                <c:pt idx="8">
                  <c:v>113.17387340254449</c:v>
                </c:pt>
                <c:pt idx="9">
                  <c:v>114.26120938287215</c:v>
                </c:pt>
                <c:pt idx="10">
                  <c:v>116.85421389305777</c:v>
                </c:pt>
                <c:pt idx="11">
                  <c:v>117.09901221790329</c:v>
                </c:pt>
                <c:pt idx="12">
                  <c:v>113.85024726645227</c:v>
                </c:pt>
                <c:pt idx="13">
                  <c:v>109.21524298464495</c:v>
                </c:pt>
                <c:pt idx="14">
                  <c:v>106.52667973091779</c:v>
                </c:pt>
                <c:pt idx="15">
                  <c:v>109.00434208920088</c:v>
                </c:pt>
                <c:pt idx="16">
                  <c:v>107.3109967736638</c:v>
                </c:pt>
                <c:pt idx="17">
                  <c:v>108.31574607190237</c:v>
                </c:pt>
                <c:pt idx="18">
                  <c:v>107.87659298965487</c:v>
                </c:pt>
                <c:pt idx="19">
                  <c:v>108.54117891582716</c:v>
                </c:pt>
                <c:pt idx="20">
                  <c:v>108.21637964325301</c:v>
                </c:pt>
                <c:pt idx="21">
                  <c:v>106.78573108391231</c:v>
                </c:pt>
                <c:pt idx="22">
                  <c:v>107.01639121464214</c:v>
                </c:pt>
                <c:pt idx="23">
                  <c:v>99.255005392473976</c:v>
                </c:pt>
                <c:pt idx="24">
                  <c:v>110.53822691946951</c:v>
                </c:pt>
                <c:pt idx="25">
                  <c:v>108.34481131094039</c:v>
                </c:pt>
                <c:pt idx="26">
                  <c:v>112.68747421272954</c:v>
                </c:pt>
                <c:pt idx="27">
                  <c:v>113.9943733997346</c:v>
                </c:pt>
                <c:pt idx="28">
                  <c:v>116.54098471036039</c:v>
                </c:pt>
                <c:pt idx="29">
                  <c:v>120.36267910429905</c:v>
                </c:pt>
                <c:pt idx="30">
                  <c:v>124.66304061472849</c:v>
                </c:pt>
                <c:pt idx="31">
                  <c:v>129.35377888661878</c:v>
                </c:pt>
                <c:pt idx="32">
                  <c:v>133.23574109522025</c:v>
                </c:pt>
                <c:pt idx="33">
                  <c:v>136.67147707743592</c:v>
                </c:pt>
                <c:pt idx="34">
                  <c:v>135.81595361709932</c:v>
                </c:pt>
                <c:pt idx="35">
                  <c:v>136.01082780896175</c:v>
                </c:pt>
                <c:pt idx="36">
                  <c:v>139.11717107147291</c:v>
                </c:pt>
                <c:pt idx="37">
                  <c:v>136.04881127027315</c:v>
                </c:pt>
                <c:pt idx="38">
                  <c:v>134.43369875604085</c:v>
                </c:pt>
                <c:pt idx="39">
                  <c:v>135.01337487904189</c:v>
                </c:pt>
                <c:pt idx="40">
                  <c:v>133.14716900532079</c:v>
                </c:pt>
                <c:pt idx="41">
                  <c:v>132.29182746054019</c:v>
                </c:pt>
                <c:pt idx="42">
                  <c:v>133.68126134573211</c:v>
                </c:pt>
                <c:pt idx="43">
                  <c:v>133.06885979041456</c:v>
                </c:pt>
                <c:pt idx="44">
                  <c:v>131.95437994653</c:v>
                </c:pt>
                <c:pt idx="45">
                  <c:v>132.56442417475719</c:v>
                </c:pt>
                <c:pt idx="46">
                  <c:v>134.07449374859434</c:v>
                </c:pt>
                <c:pt idx="47">
                  <c:v>134.3924641584008</c:v>
                </c:pt>
                <c:pt idx="48">
                  <c:v>134.07263228002131</c:v>
                </c:pt>
                <c:pt idx="49">
                  <c:v>133.02689499617682</c:v>
                </c:pt>
                <c:pt idx="50">
                  <c:v>133.58432128794598</c:v>
                </c:pt>
                <c:pt idx="51">
                  <c:v>131.60974907973647</c:v>
                </c:pt>
                <c:pt idx="52">
                  <c:v>130.93519648057395</c:v>
                </c:pt>
                <c:pt idx="53">
                  <c:v>130.75591598199156</c:v>
                </c:pt>
                <c:pt idx="54">
                  <c:v>129.97128692322772</c:v>
                </c:pt>
                <c:pt idx="55">
                  <c:v>132.74261503457626</c:v>
                </c:pt>
                <c:pt idx="56">
                  <c:v>135.27675235304582</c:v>
                </c:pt>
                <c:pt idx="57">
                  <c:v>136.33576912076072</c:v>
                </c:pt>
                <c:pt idx="58">
                  <c:v>138.07556426918578</c:v>
                </c:pt>
                <c:pt idx="59">
                  <c:v>139.00551812009019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A13-4BD2-BE0B-32DBAE6A3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84272"/>
        <c:axId val="408701136"/>
      </c:scatterChart>
      <c:valAx>
        <c:axId val="40868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Число торговых мест на рынке по продаже продуктов питания,тыс. мест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701136"/>
        <c:crosses val="autoZero"/>
        <c:crossBetween val="midCat"/>
      </c:valAx>
      <c:valAx>
        <c:axId val="408701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Средние потребительские цены на куры охлаждённые и мороженные, руб./кг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08684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исход данных'!$F$30:$F$89</c:f>
              <c:numCache>
                <c:formatCode>General</c:formatCode>
                <c:ptCount val="60"/>
                <c:pt idx="0">
                  <c:v>0.83333333333333337</c:v>
                </c:pt>
                <c:pt idx="1">
                  <c:v>2.5</c:v>
                </c:pt>
                <c:pt idx="2">
                  <c:v>4.166666666666667</c:v>
                </c:pt>
                <c:pt idx="3">
                  <c:v>5.833333333333333</c:v>
                </c:pt>
                <c:pt idx="4">
                  <c:v>7.5</c:v>
                </c:pt>
                <c:pt idx="5">
                  <c:v>9.1666666666666679</c:v>
                </c:pt>
                <c:pt idx="6">
                  <c:v>10.833333333333334</c:v>
                </c:pt>
                <c:pt idx="7">
                  <c:v>12.500000000000002</c:v>
                </c:pt>
                <c:pt idx="8">
                  <c:v>14.166666666666668</c:v>
                </c:pt>
                <c:pt idx="9">
                  <c:v>15.833333333333334</c:v>
                </c:pt>
                <c:pt idx="10">
                  <c:v>17.5</c:v>
                </c:pt>
                <c:pt idx="11">
                  <c:v>19.166666666666668</c:v>
                </c:pt>
                <c:pt idx="12">
                  <c:v>20.833333333333332</c:v>
                </c:pt>
                <c:pt idx="13">
                  <c:v>22.5</c:v>
                </c:pt>
                <c:pt idx="14">
                  <c:v>24.166666666666668</c:v>
                </c:pt>
                <c:pt idx="15">
                  <c:v>25.833333333333332</c:v>
                </c:pt>
                <c:pt idx="16">
                  <c:v>27.5</c:v>
                </c:pt>
                <c:pt idx="17">
                  <c:v>29.166666666666668</c:v>
                </c:pt>
                <c:pt idx="18">
                  <c:v>30.833333333333332</c:v>
                </c:pt>
                <c:pt idx="19">
                  <c:v>32.5</c:v>
                </c:pt>
                <c:pt idx="20">
                  <c:v>34.166666666666671</c:v>
                </c:pt>
                <c:pt idx="21">
                  <c:v>35.833333333333336</c:v>
                </c:pt>
                <c:pt idx="22">
                  <c:v>37.500000000000007</c:v>
                </c:pt>
                <c:pt idx="23">
                  <c:v>39.166666666666671</c:v>
                </c:pt>
                <c:pt idx="24">
                  <c:v>40.833333333333336</c:v>
                </c:pt>
                <c:pt idx="25">
                  <c:v>42.500000000000007</c:v>
                </c:pt>
                <c:pt idx="26">
                  <c:v>44.166666666666671</c:v>
                </c:pt>
                <c:pt idx="27">
                  <c:v>45.833333333333336</c:v>
                </c:pt>
                <c:pt idx="28">
                  <c:v>47.500000000000007</c:v>
                </c:pt>
                <c:pt idx="29">
                  <c:v>49.166666666666671</c:v>
                </c:pt>
                <c:pt idx="30">
                  <c:v>50.833333333333336</c:v>
                </c:pt>
                <c:pt idx="31">
                  <c:v>52.500000000000007</c:v>
                </c:pt>
                <c:pt idx="32">
                  <c:v>54.166666666666671</c:v>
                </c:pt>
                <c:pt idx="33">
                  <c:v>55.833333333333336</c:v>
                </c:pt>
                <c:pt idx="34">
                  <c:v>57.500000000000007</c:v>
                </c:pt>
                <c:pt idx="35">
                  <c:v>59.166666666666671</c:v>
                </c:pt>
                <c:pt idx="36">
                  <c:v>60.833333333333336</c:v>
                </c:pt>
                <c:pt idx="37">
                  <c:v>62.500000000000007</c:v>
                </c:pt>
                <c:pt idx="38">
                  <c:v>64.166666666666671</c:v>
                </c:pt>
                <c:pt idx="39">
                  <c:v>65.833333333333329</c:v>
                </c:pt>
                <c:pt idx="40">
                  <c:v>67.5</c:v>
                </c:pt>
                <c:pt idx="41">
                  <c:v>69.166666666666671</c:v>
                </c:pt>
                <c:pt idx="42">
                  <c:v>70.833333333333329</c:v>
                </c:pt>
                <c:pt idx="43">
                  <c:v>72.5</c:v>
                </c:pt>
                <c:pt idx="44">
                  <c:v>74.166666666666671</c:v>
                </c:pt>
                <c:pt idx="45">
                  <c:v>75.833333333333329</c:v>
                </c:pt>
                <c:pt idx="46">
                  <c:v>77.5</c:v>
                </c:pt>
                <c:pt idx="47">
                  <c:v>79.166666666666671</c:v>
                </c:pt>
                <c:pt idx="48">
                  <c:v>80.833333333333329</c:v>
                </c:pt>
                <c:pt idx="49">
                  <c:v>82.5</c:v>
                </c:pt>
                <c:pt idx="50">
                  <c:v>84.166666666666671</c:v>
                </c:pt>
                <c:pt idx="51">
                  <c:v>85.833333333333329</c:v>
                </c:pt>
                <c:pt idx="52">
                  <c:v>87.5</c:v>
                </c:pt>
                <c:pt idx="53">
                  <c:v>89.166666666666671</c:v>
                </c:pt>
                <c:pt idx="54">
                  <c:v>90.833333333333329</c:v>
                </c:pt>
                <c:pt idx="55">
                  <c:v>92.5</c:v>
                </c:pt>
                <c:pt idx="56">
                  <c:v>94.166666666666671</c:v>
                </c:pt>
                <c:pt idx="57">
                  <c:v>95.833333333333329</c:v>
                </c:pt>
                <c:pt idx="58">
                  <c:v>97.5</c:v>
                </c:pt>
                <c:pt idx="59">
                  <c:v>99.166666666666671</c:v>
                </c:pt>
              </c:numCache>
            </c:numRef>
          </c:xVal>
          <c:yVal>
            <c:numRef>
              <c:f>'АД исход данных'!$G$30:$G$89</c:f>
              <c:numCache>
                <c:formatCode>General</c:formatCode>
                <c:ptCount val="60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102.32</c:v>
                </c:pt>
                <c:pt idx="4">
                  <c:v>102.55</c:v>
                </c:pt>
                <c:pt idx="5">
                  <c:v>104.35</c:v>
                </c:pt>
                <c:pt idx="6">
                  <c:v>106.49</c:v>
                </c:pt>
                <c:pt idx="7">
                  <c:v>106.57</c:v>
                </c:pt>
                <c:pt idx="8">
                  <c:v>106.61</c:v>
                </c:pt>
                <c:pt idx="9">
                  <c:v>107.03</c:v>
                </c:pt>
                <c:pt idx="10">
                  <c:v>107.04</c:v>
                </c:pt>
                <c:pt idx="11">
                  <c:v>107.47</c:v>
                </c:pt>
                <c:pt idx="12">
                  <c:v>107.57</c:v>
                </c:pt>
                <c:pt idx="13">
                  <c:v>107.8</c:v>
                </c:pt>
                <c:pt idx="14">
                  <c:v>108.19</c:v>
                </c:pt>
                <c:pt idx="15">
                  <c:v>108.36</c:v>
                </c:pt>
                <c:pt idx="16">
                  <c:v>108.49</c:v>
                </c:pt>
                <c:pt idx="17">
                  <c:v>108.86</c:v>
                </c:pt>
                <c:pt idx="18">
                  <c:v>109.5</c:v>
                </c:pt>
                <c:pt idx="19">
                  <c:v>109.76</c:v>
                </c:pt>
                <c:pt idx="20">
                  <c:v>111.35</c:v>
                </c:pt>
                <c:pt idx="21">
                  <c:v>111.39</c:v>
                </c:pt>
                <c:pt idx="22">
                  <c:v>111.96</c:v>
                </c:pt>
                <c:pt idx="23">
                  <c:v>113.35</c:v>
                </c:pt>
                <c:pt idx="24">
                  <c:v>115.27</c:v>
                </c:pt>
                <c:pt idx="25">
                  <c:v>115.88</c:v>
                </c:pt>
                <c:pt idx="26">
                  <c:v>117.17</c:v>
                </c:pt>
                <c:pt idx="27">
                  <c:v>117.26</c:v>
                </c:pt>
                <c:pt idx="28">
                  <c:v>117.54</c:v>
                </c:pt>
                <c:pt idx="29">
                  <c:v>117.61</c:v>
                </c:pt>
                <c:pt idx="30">
                  <c:v>122.58</c:v>
                </c:pt>
                <c:pt idx="31">
                  <c:v>128.16</c:v>
                </c:pt>
                <c:pt idx="32">
                  <c:v>128.94</c:v>
                </c:pt>
                <c:pt idx="33">
                  <c:v>129.16</c:v>
                </c:pt>
                <c:pt idx="34">
                  <c:v>129.30000000000001</c:v>
                </c:pt>
                <c:pt idx="35">
                  <c:v>130.28</c:v>
                </c:pt>
                <c:pt idx="36">
                  <c:v>130.59</c:v>
                </c:pt>
                <c:pt idx="37">
                  <c:v>131.22</c:v>
                </c:pt>
                <c:pt idx="38">
                  <c:v>132.01</c:v>
                </c:pt>
                <c:pt idx="39">
                  <c:v>132.52000000000001</c:v>
                </c:pt>
                <c:pt idx="40">
                  <c:v>132.86000000000001</c:v>
                </c:pt>
                <c:pt idx="41">
                  <c:v>133.72999999999999</c:v>
                </c:pt>
                <c:pt idx="42">
                  <c:v>134.25</c:v>
                </c:pt>
                <c:pt idx="43">
                  <c:v>134.27000000000001</c:v>
                </c:pt>
                <c:pt idx="44">
                  <c:v>134.38999999999999</c:v>
                </c:pt>
                <c:pt idx="45">
                  <c:v>134.46</c:v>
                </c:pt>
                <c:pt idx="46">
                  <c:v>134.51</c:v>
                </c:pt>
                <c:pt idx="47">
                  <c:v>134.72999999999999</c:v>
                </c:pt>
                <c:pt idx="48">
                  <c:v>134.91999999999999</c:v>
                </c:pt>
                <c:pt idx="49">
                  <c:v>135.22</c:v>
                </c:pt>
                <c:pt idx="50">
                  <c:v>135.69999999999999</c:v>
                </c:pt>
                <c:pt idx="51">
                  <c:v>136.06</c:v>
                </c:pt>
                <c:pt idx="52">
                  <c:v>136.12</c:v>
                </c:pt>
                <c:pt idx="53">
                  <c:v>136.13999999999999</c:v>
                </c:pt>
                <c:pt idx="54">
                  <c:v>137.5</c:v>
                </c:pt>
                <c:pt idx="55">
                  <c:v>137.97</c:v>
                </c:pt>
                <c:pt idx="56">
                  <c:v>138.49</c:v>
                </c:pt>
                <c:pt idx="57">
                  <c:v>139.1</c:v>
                </c:pt>
                <c:pt idx="58">
                  <c:v>140.09</c:v>
                </c:pt>
                <c:pt idx="59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CA-45FD-B1DA-FCB689E1E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703312"/>
        <c:axId val="408699504"/>
      </c:scatterChart>
      <c:valAx>
        <c:axId val="40870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99504"/>
        <c:crosses val="autoZero"/>
        <c:crossBetween val="midCat"/>
      </c:valAx>
      <c:valAx>
        <c:axId val="408699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Средние потребительские цены на куры охлаждённые и мороженные, руб./кг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703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График исходных уровней временного ряда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'Тит лист'!$B$14:$B$71</c:f>
              <c:strCache>
                <c:ptCount val="58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  <c:pt idx="12">
                  <c:v>Январь</c:v>
                </c:pt>
                <c:pt idx="13">
                  <c:v>Февраль</c:v>
                </c:pt>
                <c:pt idx="14">
                  <c:v>Март</c:v>
                </c:pt>
                <c:pt idx="15">
                  <c:v>Апрель</c:v>
                </c:pt>
                <c:pt idx="16">
                  <c:v>Май</c:v>
                </c:pt>
                <c:pt idx="17">
                  <c:v>Июнь</c:v>
                </c:pt>
                <c:pt idx="18">
                  <c:v>Июль</c:v>
                </c:pt>
                <c:pt idx="19">
                  <c:v>Август</c:v>
                </c:pt>
                <c:pt idx="20">
                  <c:v>Сентябрь</c:v>
                </c:pt>
                <c:pt idx="21">
                  <c:v>Октябрь</c:v>
                </c:pt>
                <c:pt idx="22">
                  <c:v>Ноябрь</c:v>
                </c:pt>
                <c:pt idx="23">
                  <c:v>Декабрь</c:v>
                </c:pt>
                <c:pt idx="24">
                  <c:v>Январь</c:v>
                </c:pt>
                <c:pt idx="25">
                  <c:v>Февраль</c:v>
                </c:pt>
                <c:pt idx="26">
                  <c:v>Март</c:v>
                </c:pt>
                <c:pt idx="27">
                  <c:v>Апрель</c:v>
                </c:pt>
                <c:pt idx="28">
                  <c:v>Май</c:v>
                </c:pt>
                <c:pt idx="29">
                  <c:v>Июнь</c:v>
                </c:pt>
                <c:pt idx="30">
                  <c:v>Июль</c:v>
                </c:pt>
                <c:pt idx="31">
                  <c:v>Август</c:v>
                </c:pt>
                <c:pt idx="32">
                  <c:v>Сентябрь</c:v>
                </c:pt>
                <c:pt idx="33">
                  <c:v>Октябрь</c:v>
                </c:pt>
                <c:pt idx="34">
                  <c:v>Ноябрь</c:v>
                </c:pt>
                <c:pt idx="35">
                  <c:v>Декабрь</c:v>
                </c:pt>
                <c:pt idx="36">
                  <c:v>Январь</c:v>
                </c:pt>
                <c:pt idx="37">
                  <c:v>Февраль</c:v>
                </c:pt>
                <c:pt idx="38">
                  <c:v>Март</c:v>
                </c:pt>
                <c:pt idx="39">
                  <c:v>Апрель</c:v>
                </c:pt>
                <c:pt idx="40">
                  <c:v>Май</c:v>
                </c:pt>
                <c:pt idx="41">
                  <c:v>Июнь</c:v>
                </c:pt>
                <c:pt idx="42">
                  <c:v>Июль</c:v>
                </c:pt>
                <c:pt idx="43">
                  <c:v>Август</c:v>
                </c:pt>
                <c:pt idx="44">
                  <c:v>Сентябрь</c:v>
                </c:pt>
                <c:pt idx="45">
                  <c:v>Октябрь</c:v>
                </c:pt>
                <c:pt idx="46">
                  <c:v>Ноябрь</c:v>
                </c:pt>
                <c:pt idx="47">
                  <c:v>Декабрь</c:v>
                </c:pt>
                <c:pt idx="48">
                  <c:v>Январь</c:v>
                </c:pt>
                <c:pt idx="49">
                  <c:v>Февраль</c:v>
                </c:pt>
                <c:pt idx="50">
                  <c:v>Март</c:v>
                </c:pt>
                <c:pt idx="51">
                  <c:v>Апрель</c:v>
                </c:pt>
                <c:pt idx="52">
                  <c:v>Май</c:v>
                </c:pt>
                <c:pt idx="53">
                  <c:v>Июнь</c:v>
                </c:pt>
                <c:pt idx="54">
                  <c:v>Июль</c:v>
                </c:pt>
                <c:pt idx="55">
                  <c:v>Август</c:v>
                </c:pt>
                <c:pt idx="56">
                  <c:v>Сентябрь</c:v>
                </c:pt>
                <c:pt idx="57">
                  <c:v>Октябрь</c:v>
                </c:pt>
              </c:strCache>
            </c:strRef>
          </c:xVal>
          <c:yVal>
            <c:numRef>
              <c:f>'Тит лист'!$C$14:$C$71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7B-46EC-BFD8-EB6414A7C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91344"/>
        <c:axId val="408693520"/>
      </c:scatterChart>
      <c:valAx>
        <c:axId val="40869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93520"/>
        <c:crosses val="autoZero"/>
        <c:crossBetween val="midCat"/>
      </c:valAx>
      <c:valAx>
        <c:axId val="4086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9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Коррелограмма</a:t>
            </a:r>
          </a:p>
        </c:rich>
      </c:tx>
      <c:layout>
        <c:manualLayout>
          <c:xMode val="edge"/>
          <c:yMode val="edge"/>
          <c:x val="0.43065406121893623"/>
          <c:y val="7.51173708920187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3193713211884021E-2"/>
          <c:y val="7.9638528639802378E-2"/>
          <c:w val="0.91217117830685368"/>
          <c:h val="0.882132352941176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'Исслед сезон'!$B$16:$B$18</c:f>
              <c:strCache>
                <c:ptCount val="3"/>
                <c:pt idx="0">
                  <c:v>Можно заметить, что значения образуют 
волнообразную фигуру.</c:v>
                </c:pt>
                <c:pt idx="1">
                  <c:v>Рассчитаем коэффициенты автокорреляции.</c:v>
                </c:pt>
                <c:pt idx="2">
                  <c:v>Коэффициент автокорреляции уровней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'Исслед сезон'!$A$19:$A$72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</c:numCache>
            </c:numRef>
          </c:xVal>
          <c:yVal>
            <c:numRef>
              <c:f>'Исслед сезон'!$B$19:$B$72</c:f>
              <c:numCache>
                <c:formatCode>General</c:formatCode>
                <c:ptCount val="54"/>
                <c:pt idx="0">
                  <c:v>0.98801162861510772</c:v>
                </c:pt>
                <c:pt idx="1">
                  <c:v>0.95547973349917636</c:v>
                </c:pt>
                <c:pt idx="2">
                  <c:v>0.90678500733444478</c:v>
                </c:pt>
                <c:pt idx="3">
                  <c:v>0.84664526639164617</c:v>
                </c:pt>
                <c:pt idx="4">
                  <c:v>0.78028781519878776</c:v>
                </c:pt>
                <c:pt idx="5">
                  <c:v>0.71177668880820888</c:v>
                </c:pt>
                <c:pt idx="6">
                  <c:v>0.64556699895329883</c:v>
                </c:pt>
                <c:pt idx="7">
                  <c:v>0.58467931409654794</c:v>
                </c:pt>
                <c:pt idx="8">
                  <c:v>0.53161619122699022</c:v>
                </c:pt>
                <c:pt idx="9">
                  <c:v>0.48549722226763931</c:v>
                </c:pt>
                <c:pt idx="10">
                  <c:v>0.44364636942936164</c:v>
                </c:pt>
                <c:pt idx="11">
                  <c:v>0.40534401124404007</c:v>
                </c:pt>
                <c:pt idx="12">
                  <c:v>0.36930751425314706</c:v>
                </c:pt>
                <c:pt idx="13">
                  <c:v>0.33430310594522977</c:v>
                </c:pt>
                <c:pt idx="14">
                  <c:v>0.30297277110364984</c:v>
                </c:pt>
                <c:pt idx="15">
                  <c:v>0.27868901474031649</c:v>
                </c:pt>
                <c:pt idx="16">
                  <c:v>0.26586129752486465</c:v>
                </c:pt>
                <c:pt idx="17">
                  <c:v>0.26566136678709262</c:v>
                </c:pt>
                <c:pt idx="18">
                  <c:v>0.27870121888360666</c:v>
                </c:pt>
                <c:pt idx="19">
                  <c:v>0.30668814758644003</c:v>
                </c:pt>
                <c:pt idx="20">
                  <c:v>0.34860627990520621</c:v>
                </c:pt>
                <c:pt idx="21">
                  <c:v>0.40259159760607838</c:v>
                </c:pt>
                <c:pt idx="22">
                  <c:v>0.46230411429035512</c:v>
                </c:pt>
                <c:pt idx="23">
                  <c:v>0.52786849484454179</c:v>
                </c:pt>
                <c:pt idx="24">
                  <c:v>0.59965574823803447</c:v>
                </c:pt>
                <c:pt idx="25">
                  <c:v>0.67587899980955302</c:v>
                </c:pt>
                <c:pt idx="26">
                  <c:v>0.73463725299109128</c:v>
                </c:pt>
                <c:pt idx="27">
                  <c:v>0.74741398773009327</c:v>
                </c:pt>
                <c:pt idx="28">
                  <c:v>0.67096815724193304</c:v>
                </c:pt>
                <c:pt idx="29">
                  <c:v>0.47275120004372773</c:v>
                </c:pt>
                <c:pt idx="30">
                  <c:v>0.19214131249336247</c:v>
                </c:pt>
                <c:pt idx="31">
                  <c:v>-9.1777546185930856E-2</c:v>
                </c:pt>
                <c:pt idx="32">
                  <c:v>-0.27604908207666873</c:v>
                </c:pt>
                <c:pt idx="33">
                  <c:v>-0.38659697331235243</c:v>
                </c:pt>
                <c:pt idx="34">
                  <c:v>-0.46518197883224244</c:v>
                </c:pt>
                <c:pt idx="35">
                  <c:v>-0.53306368275308957</c:v>
                </c:pt>
                <c:pt idx="36">
                  <c:v>-0.57594441194291157</c:v>
                </c:pt>
                <c:pt idx="37">
                  <c:v>-0.64680011178740748</c:v>
                </c:pt>
                <c:pt idx="38">
                  <c:v>-0.74903817362802849</c:v>
                </c:pt>
                <c:pt idx="39">
                  <c:v>-0.84412980085298728</c:v>
                </c:pt>
                <c:pt idx="40">
                  <c:v>-0.88199969401474609</c:v>
                </c:pt>
                <c:pt idx="41">
                  <c:v>-0.82041374980600201</c:v>
                </c:pt>
                <c:pt idx="42">
                  <c:v>-0.63224331753554963</c:v>
                </c:pt>
                <c:pt idx="43">
                  <c:v>-0.35687410072957032</c:v>
                </c:pt>
                <c:pt idx="44">
                  <c:v>-2.107722576766561E-2</c:v>
                </c:pt>
                <c:pt idx="45">
                  <c:v>0.31570909341951309</c:v>
                </c:pt>
                <c:pt idx="46">
                  <c:v>0.63554384201308667</c:v>
                </c:pt>
                <c:pt idx="47">
                  <c:v>0.88972176559468608</c:v>
                </c:pt>
                <c:pt idx="48">
                  <c:v>0.97491609627428688</c:v>
                </c:pt>
                <c:pt idx="49">
                  <c:v>0.94684138625077685</c:v>
                </c:pt>
                <c:pt idx="50">
                  <c:v>0.87042171505282351</c:v>
                </c:pt>
                <c:pt idx="51">
                  <c:v>0.8750014221363801</c:v>
                </c:pt>
                <c:pt idx="52">
                  <c:v>0.2814797596041535</c:v>
                </c:pt>
                <c:pt idx="53">
                  <c:v>-0.98362945733469231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7C-43E8-A25D-EA81FB9BF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706576"/>
        <c:axId val="408710384"/>
      </c:scatterChart>
      <c:valAx>
        <c:axId val="40870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710384"/>
        <c:crosses val="autoZero"/>
        <c:crossBetween val="midCat"/>
      </c:valAx>
      <c:valAx>
        <c:axId val="40871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70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Аналитическое выравнивание ряда (Т+Е) с помощью линейного тренда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75503062117235E-3"/>
                  <c:y val="-4.12007874015748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'Тренд (лин)'!$A$4:$A$61</c:f>
              <c:numCache>
                <c:formatCode>General</c:formatCode>
                <c:ptCount val="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</c:numCache>
            </c:numRef>
          </c:xVal>
          <c:yVal>
            <c:numRef>
              <c:f>'Тренд (лин)'!$B$4:$B$61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80-4E82-815D-58E30EF8A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710928"/>
        <c:axId val="408682096"/>
      </c:scatterChart>
      <c:valAx>
        <c:axId val="40871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82096"/>
        <c:crosses val="autoZero"/>
        <c:crossBetween val="midCat"/>
      </c:valAx>
      <c:valAx>
        <c:axId val="40868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71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'Тренд (лин)'!$C$4:$C$61</c:f>
              <c:numCache>
                <c:formatCode>General</c:formatCode>
                <c:ptCount val="58"/>
                <c:pt idx="0">
                  <c:v>102.68526592635888</c:v>
                </c:pt>
                <c:pt idx="1">
                  <c:v>103.32494201605711</c:v>
                </c:pt>
                <c:pt idx="2">
                  <c:v>103.96461810575535</c:v>
                </c:pt>
                <c:pt idx="3">
                  <c:v>104.60429419545359</c:v>
                </c:pt>
                <c:pt idx="4">
                  <c:v>105.24397028515183</c:v>
                </c:pt>
                <c:pt idx="5">
                  <c:v>105.88364637485006</c:v>
                </c:pt>
                <c:pt idx="6">
                  <c:v>106.5233224645483</c:v>
                </c:pt>
                <c:pt idx="7">
                  <c:v>107.16299855424654</c:v>
                </c:pt>
                <c:pt idx="8">
                  <c:v>107.80267464394477</c:v>
                </c:pt>
                <c:pt idx="9">
                  <c:v>108.44235073364301</c:v>
                </c:pt>
                <c:pt idx="10">
                  <c:v>109.08202682334125</c:v>
                </c:pt>
                <c:pt idx="11">
                  <c:v>109.72170291303948</c:v>
                </c:pt>
                <c:pt idx="12">
                  <c:v>110.36137900273772</c:v>
                </c:pt>
                <c:pt idx="13">
                  <c:v>111.00105509243596</c:v>
                </c:pt>
                <c:pt idx="14">
                  <c:v>111.6407311821342</c:v>
                </c:pt>
                <c:pt idx="15">
                  <c:v>112.28040727183243</c:v>
                </c:pt>
                <c:pt idx="16">
                  <c:v>112.92008336153067</c:v>
                </c:pt>
                <c:pt idx="17">
                  <c:v>113.55975945122891</c:v>
                </c:pt>
                <c:pt idx="18">
                  <c:v>114.19943554092714</c:v>
                </c:pt>
                <c:pt idx="19">
                  <c:v>114.83911163062538</c:v>
                </c:pt>
                <c:pt idx="20">
                  <c:v>115.47878772032362</c:v>
                </c:pt>
                <c:pt idx="21">
                  <c:v>116.11846381002186</c:v>
                </c:pt>
                <c:pt idx="22">
                  <c:v>116.75813989972009</c:v>
                </c:pt>
                <c:pt idx="23">
                  <c:v>117.39781598941833</c:v>
                </c:pt>
                <c:pt idx="24">
                  <c:v>118.03749207911657</c:v>
                </c:pt>
                <c:pt idx="25">
                  <c:v>118.6771681688148</c:v>
                </c:pt>
                <c:pt idx="26">
                  <c:v>119.31684425851304</c:v>
                </c:pt>
                <c:pt idx="27">
                  <c:v>119.95652034821128</c:v>
                </c:pt>
                <c:pt idx="28">
                  <c:v>120.59619643790953</c:v>
                </c:pt>
                <c:pt idx="29">
                  <c:v>121.23587252760775</c:v>
                </c:pt>
                <c:pt idx="30">
                  <c:v>121.87554861730599</c:v>
                </c:pt>
                <c:pt idx="31">
                  <c:v>122.51522470700424</c:v>
                </c:pt>
                <c:pt idx="32">
                  <c:v>123.15490079670246</c:v>
                </c:pt>
                <c:pt idx="33">
                  <c:v>123.79457688640071</c:v>
                </c:pt>
                <c:pt idx="34">
                  <c:v>124.43425297609895</c:v>
                </c:pt>
                <c:pt idx="35">
                  <c:v>125.07392906579719</c:v>
                </c:pt>
                <c:pt idx="36">
                  <c:v>125.71360515549542</c:v>
                </c:pt>
                <c:pt idx="37">
                  <c:v>126.35328124519366</c:v>
                </c:pt>
                <c:pt idx="38">
                  <c:v>126.9929573348919</c:v>
                </c:pt>
                <c:pt idx="39">
                  <c:v>127.63263342459013</c:v>
                </c:pt>
                <c:pt idx="40">
                  <c:v>128.27230951428837</c:v>
                </c:pt>
                <c:pt idx="41">
                  <c:v>128.91198560398661</c:v>
                </c:pt>
                <c:pt idx="42">
                  <c:v>129.55166169368485</c:v>
                </c:pt>
                <c:pt idx="43">
                  <c:v>130.19133778338309</c:v>
                </c:pt>
                <c:pt idx="44">
                  <c:v>130.8310138730813</c:v>
                </c:pt>
                <c:pt idx="45">
                  <c:v>131.47068996277955</c:v>
                </c:pt>
                <c:pt idx="46">
                  <c:v>132.11036605247779</c:v>
                </c:pt>
                <c:pt idx="47">
                  <c:v>132.75004214217603</c:v>
                </c:pt>
                <c:pt idx="48">
                  <c:v>133.38971823187427</c:v>
                </c:pt>
                <c:pt idx="49">
                  <c:v>134.02939432157251</c:v>
                </c:pt>
                <c:pt idx="50">
                  <c:v>134.66907041127075</c:v>
                </c:pt>
                <c:pt idx="51">
                  <c:v>135.30874650096899</c:v>
                </c:pt>
                <c:pt idx="52">
                  <c:v>135.94842259066721</c:v>
                </c:pt>
                <c:pt idx="53">
                  <c:v>136.58809868036545</c:v>
                </c:pt>
                <c:pt idx="54">
                  <c:v>137.22777477006369</c:v>
                </c:pt>
                <c:pt idx="55">
                  <c:v>137.86745085976193</c:v>
                </c:pt>
                <c:pt idx="56">
                  <c:v>138.50712694946017</c:v>
                </c:pt>
                <c:pt idx="57">
                  <c:v>139.14680303915839</c:v>
                </c:pt>
              </c:numCache>
            </c:numRef>
          </c:xVal>
          <c:yVal>
            <c:numRef>
              <c:f>'Тренд (лин)'!$D$4:$D$61</c:f>
              <c:numCache>
                <c:formatCode>0.00</c:formatCode>
                <c:ptCount val="58"/>
                <c:pt idx="0">
                  <c:v>-0.36526592635888733</c:v>
                </c:pt>
                <c:pt idx="1">
                  <c:v>-1.114942016057114</c:v>
                </c:pt>
                <c:pt idx="2">
                  <c:v>-1.8046181057553525</c:v>
                </c:pt>
                <c:pt idx="3">
                  <c:v>-2.5442941954535883</c:v>
                </c:pt>
                <c:pt idx="4">
                  <c:v>-2.6939702851518348</c:v>
                </c:pt>
                <c:pt idx="5">
                  <c:v>-1.5336463748500648</c:v>
                </c:pt>
                <c:pt idx="6">
                  <c:v>1.0466775354516926</c:v>
                </c:pt>
                <c:pt idx="7">
                  <c:v>4.7970014457534518</c:v>
                </c:pt>
                <c:pt idx="8">
                  <c:v>7.4673253560552268</c:v>
                </c:pt>
                <c:pt idx="9">
                  <c:v>8.7276492663569911</c:v>
                </c:pt>
                <c:pt idx="10">
                  <c:v>8.5279731766587474</c:v>
                </c:pt>
                <c:pt idx="11">
                  <c:v>7.5382970869605259</c:v>
                </c:pt>
                <c:pt idx="12">
                  <c:v>5.5186209972622748</c:v>
                </c:pt>
                <c:pt idx="13">
                  <c:v>2.3489449075640323</c:v>
                </c:pt>
                <c:pt idx="14">
                  <c:v>-0.25073118213420287</c:v>
                </c:pt>
                <c:pt idx="15">
                  <c:v>-2.5204072718324255</c:v>
                </c:pt>
                <c:pt idx="16">
                  <c:v>-3.4200833615306721</c:v>
                </c:pt>
                <c:pt idx="17">
                  <c:v>-4.699759451228914</c:v>
                </c:pt>
                <c:pt idx="18">
                  <c:v>-5.7094355409271458</c:v>
                </c:pt>
                <c:pt idx="19">
                  <c:v>-6.4791116306253826</c:v>
                </c:pt>
                <c:pt idx="20">
                  <c:v>-7.2887877203236258</c:v>
                </c:pt>
                <c:pt idx="21">
                  <c:v>-8.3184638100218677</c:v>
                </c:pt>
                <c:pt idx="22">
                  <c:v>-9.2881398997200932</c:v>
                </c:pt>
                <c:pt idx="23">
                  <c:v>-10.367815989418332</c:v>
                </c:pt>
                <c:pt idx="24">
                  <c:v>-11.427492079116575</c:v>
                </c:pt>
                <c:pt idx="25">
                  <c:v>-12.107168168814809</c:v>
                </c:pt>
                <c:pt idx="26">
                  <c:v>-12.826844258513049</c:v>
                </c:pt>
                <c:pt idx="27">
                  <c:v>-12.916520348211279</c:v>
                </c:pt>
                <c:pt idx="28">
                  <c:v>-9.2461964379095321</c:v>
                </c:pt>
                <c:pt idx="29">
                  <c:v>-3.6958725276077473</c:v>
                </c:pt>
                <c:pt idx="30">
                  <c:v>0.70445138269400331</c:v>
                </c:pt>
                <c:pt idx="31">
                  <c:v>5.6447752929957602</c:v>
                </c:pt>
                <c:pt idx="32">
                  <c:v>9.70509920329755</c:v>
                </c:pt>
                <c:pt idx="33">
                  <c:v>11.125423113599282</c:v>
                </c:pt>
                <c:pt idx="34">
                  <c:v>11.265747023901042</c:v>
                </c:pt>
                <c:pt idx="35">
                  <c:v>11.066070934202799</c:v>
                </c:pt>
                <c:pt idx="36">
                  <c:v>14.436394844504591</c:v>
                </c:pt>
                <c:pt idx="37">
                  <c:v>13.736718754806347</c:v>
                </c:pt>
                <c:pt idx="38">
                  <c:v>12.107042665108096</c:v>
                </c:pt>
                <c:pt idx="39">
                  <c:v>9.8673665754098749</c:v>
                </c:pt>
                <c:pt idx="40">
                  <c:v>7.8476904857116381</c:v>
                </c:pt>
                <c:pt idx="41">
                  <c:v>6.308014396013391</c:v>
                </c:pt>
                <c:pt idx="42">
                  <c:v>5.1783383063151405</c:v>
                </c:pt>
                <c:pt idx="43">
                  <c:v>4.1986622166168956</c:v>
                </c:pt>
                <c:pt idx="44">
                  <c:v>3.6789861269186872</c:v>
                </c:pt>
                <c:pt idx="45">
                  <c:v>2.9893100372204628</c:v>
                </c:pt>
                <c:pt idx="46">
                  <c:v>2.1596339475222237</c:v>
                </c:pt>
                <c:pt idx="47">
                  <c:v>0.97995785782396183</c:v>
                </c:pt>
                <c:pt idx="48">
                  <c:v>-1.3797182318742784</c:v>
                </c:pt>
                <c:pt idx="49">
                  <c:v>-3.4393943215725074</c:v>
                </c:pt>
                <c:pt idx="50">
                  <c:v>-4.389070411270751</c:v>
                </c:pt>
                <c:pt idx="51">
                  <c:v>-6.148746500968997</c:v>
                </c:pt>
                <c:pt idx="52">
                  <c:v>-7.0084225906672089</c:v>
                </c:pt>
                <c:pt idx="53">
                  <c:v>-7.2880986803654366</c:v>
                </c:pt>
                <c:pt idx="54">
                  <c:v>-6.0077747700636905</c:v>
                </c:pt>
                <c:pt idx="55">
                  <c:v>-5.3474508597619206</c:v>
                </c:pt>
                <c:pt idx="56">
                  <c:v>-4.2571269494601722</c:v>
                </c:pt>
                <c:pt idx="57">
                  <c:v>-3.0868030391583829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4C7-4CD7-B53A-F35586548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90800"/>
        <c:axId val="408694608"/>
      </c:scatterChart>
      <c:valAx>
        <c:axId val="40869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94608"/>
        <c:crosses val="autoZero"/>
        <c:crossBetween val="midCat"/>
      </c:valAx>
      <c:valAx>
        <c:axId val="40869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9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'Тренд (лин)'!$G$4:$G$61</c:f>
              <c:numCache>
                <c:formatCode>0.00</c:formatCode>
                <c:ptCount val="58"/>
                <c:pt idx="0">
                  <c:v>-12.916520348211279</c:v>
                </c:pt>
                <c:pt idx="1">
                  <c:v>-12.826844258513049</c:v>
                </c:pt>
                <c:pt idx="2">
                  <c:v>-12.107168168814809</c:v>
                </c:pt>
                <c:pt idx="3">
                  <c:v>-11.427492079116575</c:v>
                </c:pt>
                <c:pt idx="4">
                  <c:v>-10.367815989418332</c:v>
                </c:pt>
                <c:pt idx="5">
                  <c:v>-9.2881398997200932</c:v>
                </c:pt>
                <c:pt idx="6">
                  <c:v>-9.2461964379095321</c:v>
                </c:pt>
                <c:pt idx="7">
                  <c:v>-8.3184638100218677</c:v>
                </c:pt>
                <c:pt idx="8">
                  <c:v>-7.2887877203236258</c:v>
                </c:pt>
                <c:pt idx="9">
                  <c:v>-7.2880986803654366</c:v>
                </c:pt>
                <c:pt idx="10">
                  <c:v>-7.0084225906672089</c:v>
                </c:pt>
                <c:pt idx="11">
                  <c:v>-6.4791116306253826</c:v>
                </c:pt>
                <c:pt idx="12">
                  <c:v>-6.148746500968997</c:v>
                </c:pt>
                <c:pt idx="13">
                  <c:v>-6.0077747700636905</c:v>
                </c:pt>
                <c:pt idx="14">
                  <c:v>-5.7094355409271458</c:v>
                </c:pt>
                <c:pt idx="15">
                  <c:v>-5.3474508597619206</c:v>
                </c:pt>
                <c:pt idx="16">
                  <c:v>-4.699759451228914</c:v>
                </c:pt>
                <c:pt idx="17">
                  <c:v>-4.389070411270751</c:v>
                </c:pt>
                <c:pt idx="18">
                  <c:v>-4.2571269494601722</c:v>
                </c:pt>
                <c:pt idx="19">
                  <c:v>-3.6958725276077473</c:v>
                </c:pt>
                <c:pt idx="20">
                  <c:v>-3.4393943215725074</c:v>
                </c:pt>
                <c:pt idx="21">
                  <c:v>-3.4200833615306721</c:v>
                </c:pt>
                <c:pt idx="22">
                  <c:v>-3.0868030391583829</c:v>
                </c:pt>
                <c:pt idx="23">
                  <c:v>-2.6939702851518348</c:v>
                </c:pt>
                <c:pt idx="24">
                  <c:v>-2.5442941954535883</c:v>
                </c:pt>
                <c:pt idx="25">
                  <c:v>-2.5204072718324255</c:v>
                </c:pt>
                <c:pt idx="26">
                  <c:v>-1.8046181057553525</c:v>
                </c:pt>
                <c:pt idx="27">
                  <c:v>-1.5336463748500648</c:v>
                </c:pt>
                <c:pt idx="28">
                  <c:v>-1.3797182318742784</c:v>
                </c:pt>
                <c:pt idx="29">
                  <c:v>-1.114942016057114</c:v>
                </c:pt>
                <c:pt idx="30">
                  <c:v>-0.36526592635888733</c:v>
                </c:pt>
                <c:pt idx="31">
                  <c:v>-0.25073118213420287</c:v>
                </c:pt>
                <c:pt idx="32">
                  <c:v>0.70445138269400331</c:v>
                </c:pt>
                <c:pt idx="33">
                  <c:v>0.97995785782396183</c:v>
                </c:pt>
                <c:pt idx="34">
                  <c:v>1.0466775354516926</c:v>
                </c:pt>
                <c:pt idx="35">
                  <c:v>2.1596339475222237</c:v>
                </c:pt>
                <c:pt idx="36">
                  <c:v>2.3489449075640323</c:v>
                </c:pt>
                <c:pt idx="37">
                  <c:v>2.9893100372204628</c:v>
                </c:pt>
                <c:pt idx="38">
                  <c:v>3.6789861269186872</c:v>
                </c:pt>
                <c:pt idx="39">
                  <c:v>4.1986622166168956</c:v>
                </c:pt>
                <c:pt idx="40">
                  <c:v>4.7970014457534518</c:v>
                </c:pt>
                <c:pt idx="41">
                  <c:v>5.1783383063151405</c:v>
                </c:pt>
                <c:pt idx="42">
                  <c:v>5.5186209972622748</c:v>
                </c:pt>
                <c:pt idx="43">
                  <c:v>5.6447752929957602</c:v>
                </c:pt>
                <c:pt idx="44">
                  <c:v>6.308014396013391</c:v>
                </c:pt>
                <c:pt idx="45">
                  <c:v>7.4673253560552268</c:v>
                </c:pt>
                <c:pt idx="46">
                  <c:v>7.5382970869605259</c:v>
                </c:pt>
                <c:pt idx="47">
                  <c:v>7.8476904857116381</c:v>
                </c:pt>
                <c:pt idx="48">
                  <c:v>8.5279731766587474</c:v>
                </c:pt>
                <c:pt idx="49">
                  <c:v>8.7276492663569911</c:v>
                </c:pt>
                <c:pt idx="50">
                  <c:v>9.70509920329755</c:v>
                </c:pt>
                <c:pt idx="51">
                  <c:v>9.8673665754098749</c:v>
                </c:pt>
                <c:pt idx="52">
                  <c:v>11.066070934202799</c:v>
                </c:pt>
                <c:pt idx="53">
                  <c:v>11.125423113599282</c:v>
                </c:pt>
                <c:pt idx="54">
                  <c:v>11.265747023901042</c:v>
                </c:pt>
                <c:pt idx="55">
                  <c:v>12.107042665108096</c:v>
                </c:pt>
                <c:pt idx="56">
                  <c:v>13.736718754806347</c:v>
                </c:pt>
                <c:pt idx="57">
                  <c:v>14.436394844504591</c:v>
                </c:pt>
              </c:numCache>
            </c:numRef>
          </c:xVal>
          <c:yVal>
            <c:numRef>
              <c:f>'Тренд (лин)'!$I$4:$I$61</c:f>
              <c:numCache>
                <c:formatCode>General</c:formatCode>
                <c:ptCount val="58"/>
                <c:pt idx="0">
                  <c:v>-2.1212793024540013</c:v>
                </c:pt>
                <c:pt idx="1">
                  <c:v>-1.8263562979439061</c:v>
                </c:pt>
                <c:pt idx="2">
                  <c:v>-1.6366916466733989</c:v>
                </c:pt>
                <c:pt idx="3">
                  <c:v>-1.492404178320359</c:v>
                </c:pt>
                <c:pt idx="4">
                  <c:v>-1.3738394673770855</c:v>
                </c:pt>
                <c:pt idx="5">
                  <c:v>-1.2719529676842081</c:v>
                </c:pt>
                <c:pt idx="6">
                  <c:v>-1.1817922703491182</c:v>
                </c:pt>
                <c:pt idx="7">
                  <c:v>-1.1003344194590818</c:v>
                </c:pt>
                <c:pt idx="8">
                  <c:v>-1.0255902911278738</c:v>
                </c:pt>
                <c:pt idx="9">
                  <c:v>-0.95617653892006238</c:v>
                </c:pt>
                <c:pt idx="10">
                  <c:v>-0.89108913003410894</c:v>
                </c:pt>
                <c:pt idx="11">
                  <c:v>-0.82957403698182763</c:v>
                </c:pt>
                <c:pt idx="12">
                  <c:v>-0.77104886863964417</c:v>
                </c:pt>
                <c:pt idx="13">
                  <c:v>-0.71505303754992222</c:v>
                </c:pt>
                <c:pt idx="14">
                  <c:v>-0.66121479220131485</c:v>
                </c:pt>
                <c:pt idx="15">
                  <c:v>-0.60922866701399825</c:v>
                </c:pt>
                <c:pt idx="16">
                  <c:v>-0.55883961079677569</c:v>
                </c:pt>
                <c:pt idx="17">
                  <c:v>-0.50983153383249025</c:v>
                </c:pt>
                <c:pt idx="18">
                  <c:v>-0.46201885864912079</c:v>
                </c:pt>
                <c:pt idx="19">
                  <c:v>-0.4152401608260714</c:v>
                </c:pt>
                <c:pt idx="20">
                  <c:v>-0.36935329360674307</c:v>
                </c:pt>
                <c:pt idx="21">
                  <c:v>-0.32423158413730258</c:v>
                </c:pt>
                <c:pt idx="22">
                  <c:v>-0.27976081477122972</c:v>
                </c:pt>
                <c:pt idx="23">
                  <c:v>-0.23583678601109134</c:v>
                </c:pt>
                <c:pt idx="24">
                  <c:v>-0.19236331372250978</c:v>
                </c:pt>
                <c:pt idx="25">
                  <c:v>-0.14925055165580312</c:v>
                </c:pt>
                <c:pt idx="26">
                  <c:v>-0.1064135569156504</c:v>
                </c:pt>
                <c:pt idx="27">
                  <c:v>-6.377103455763064E-2</c:v>
                </c:pt>
                <c:pt idx="28">
                  <c:v>-2.1244210365719055E-2</c:v>
                </c:pt>
                <c:pt idx="29">
                  <c:v>2.1244210365719055E-2</c:v>
                </c:pt>
                <c:pt idx="30">
                  <c:v>6.3771034557630793E-2</c:v>
                </c:pt>
                <c:pt idx="31">
                  <c:v>0.1064135569156504</c:v>
                </c:pt>
                <c:pt idx="32">
                  <c:v>0.14925055165580298</c:v>
                </c:pt>
                <c:pt idx="33">
                  <c:v>0.19236331372250978</c:v>
                </c:pt>
                <c:pt idx="34">
                  <c:v>0.23583678601109134</c:v>
                </c:pt>
                <c:pt idx="35">
                  <c:v>0.27976081477122983</c:v>
                </c:pt>
                <c:pt idx="36">
                  <c:v>0.32423158413730258</c:v>
                </c:pt>
                <c:pt idx="37">
                  <c:v>0.36935329360674291</c:v>
                </c:pt>
                <c:pt idx="38">
                  <c:v>0.4152401608260714</c:v>
                </c:pt>
                <c:pt idx="39">
                  <c:v>0.46201885864912062</c:v>
                </c:pt>
                <c:pt idx="40">
                  <c:v>0.50983153383249047</c:v>
                </c:pt>
                <c:pt idx="41">
                  <c:v>0.55883961079677569</c:v>
                </c:pt>
                <c:pt idx="42">
                  <c:v>0.60922866701399803</c:v>
                </c:pt>
                <c:pt idx="43">
                  <c:v>0.66121479220131485</c:v>
                </c:pt>
                <c:pt idx="44">
                  <c:v>0.71505303754992222</c:v>
                </c:pt>
                <c:pt idx="45">
                  <c:v>0.77104886863964417</c:v>
                </c:pt>
                <c:pt idx="46">
                  <c:v>0.82957403698182763</c:v>
                </c:pt>
                <c:pt idx="47">
                  <c:v>0.89108913003410994</c:v>
                </c:pt>
                <c:pt idx="48">
                  <c:v>0.95617653892006238</c:v>
                </c:pt>
                <c:pt idx="49">
                  <c:v>1.0255902911278738</c:v>
                </c:pt>
                <c:pt idx="50">
                  <c:v>1.1003344194590818</c:v>
                </c:pt>
                <c:pt idx="51">
                  <c:v>1.1817922703491182</c:v>
                </c:pt>
                <c:pt idx="52">
                  <c:v>1.2719529676842083</c:v>
                </c:pt>
                <c:pt idx="53">
                  <c:v>1.3738394673770855</c:v>
                </c:pt>
                <c:pt idx="54">
                  <c:v>1.4924041783203592</c:v>
                </c:pt>
                <c:pt idx="55">
                  <c:v>1.6366916466733989</c:v>
                </c:pt>
                <c:pt idx="56">
                  <c:v>1.8263562979439059</c:v>
                </c:pt>
                <c:pt idx="57">
                  <c:v>2.1212793024540031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99-435B-A59C-D185989C8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67408"/>
        <c:axId val="408654896"/>
      </c:scatterChart>
      <c:valAx>
        <c:axId val="40866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54896"/>
        <c:crosses val="autoZero"/>
        <c:crossBetween val="midCat"/>
      </c:valAx>
      <c:valAx>
        <c:axId val="4086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 от Х5 и Х6'!$E$3:$E$60</c:f>
              <c:numCache>
                <c:formatCode>General</c:formatCode>
                <c:ptCount val="58"/>
                <c:pt idx="0">
                  <c:v>102.41402759769284</c:v>
                </c:pt>
                <c:pt idx="1">
                  <c:v>101.39486478487933</c:v>
                </c:pt>
                <c:pt idx="2">
                  <c:v>103.96984981146643</c:v>
                </c:pt>
                <c:pt idx="3">
                  <c:v>103.40796344061422</c:v>
                </c:pt>
                <c:pt idx="4">
                  <c:v>105.72768995360201</c:v>
                </c:pt>
                <c:pt idx="5">
                  <c:v>106.50110490883202</c:v>
                </c:pt>
                <c:pt idx="6">
                  <c:v>108.17371305143041</c:v>
                </c:pt>
                <c:pt idx="7">
                  <c:v>108.9940011986572</c:v>
                </c:pt>
                <c:pt idx="8">
                  <c:v>109.59918001371875</c:v>
                </c:pt>
                <c:pt idx="9">
                  <c:v>109.61000312477108</c:v>
                </c:pt>
                <c:pt idx="10">
                  <c:v>110.83977911809301</c:v>
                </c:pt>
                <c:pt idx="11">
                  <c:v>110.33336119138404</c:v>
                </c:pt>
                <c:pt idx="12">
                  <c:v>111.49413985174731</c:v>
                </c:pt>
                <c:pt idx="13">
                  <c:v>110.89707836997499</c:v>
                </c:pt>
                <c:pt idx="14">
                  <c:v>111.01028355101238</c:v>
                </c:pt>
                <c:pt idx="15">
                  <c:v>112.66800991591383</c:v>
                </c:pt>
                <c:pt idx="16">
                  <c:v>114.28017554385499</c:v>
                </c:pt>
                <c:pt idx="17">
                  <c:v>112.99135035860243</c:v>
                </c:pt>
                <c:pt idx="18">
                  <c:v>114.49620027988959</c:v>
                </c:pt>
                <c:pt idx="19">
                  <c:v>116.276124129142</c:v>
                </c:pt>
                <c:pt idx="20">
                  <c:v>114.96923346957217</c:v>
                </c:pt>
                <c:pt idx="21">
                  <c:v>117.65694575833943</c:v>
                </c:pt>
                <c:pt idx="22">
                  <c:v>116.52549316835794</c:v>
                </c:pt>
                <c:pt idx="23">
                  <c:v>96.998178089092235</c:v>
                </c:pt>
                <c:pt idx="24">
                  <c:v>118.54308797574961</c:v>
                </c:pt>
                <c:pt idx="25">
                  <c:v>115.8779373129564</c:v>
                </c:pt>
                <c:pt idx="26">
                  <c:v>115.44728116361381</c:v>
                </c:pt>
                <c:pt idx="27">
                  <c:v>114.64458057184707</c:v>
                </c:pt>
                <c:pt idx="28">
                  <c:v>114.23465524073977</c:v>
                </c:pt>
                <c:pt idx="29">
                  <c:v>115.83285449485335</c:v>
                </c:pt>
                <c:pt idx="30">
                  <c:v>115.69621271781759</c:v>
                </c:pt>
                <c:pt idx="31">
                  <c:v>120.68514856024319</c:v>
                </c:pt>
                <c:pt idx="32">
                  <c:v>123.76834188743297</c:v>
                </c:pt>
                <c:pt idx="33">
                  <c:v>126.95300188073841</c:v>
                </c:pt>
                <c:pt idx="34">
                  <c:v>130.92429874985243</c:v>
                </c:pt>
                <c:pt idx="35">
                  <c:v>134.97362568908375</c:v>
                </c:pt>
                <c:pt idx="36">
                  <c:v>140.34352291039812</c:v>
                </c:pt>
                <c:pt idx="37">
                  <c:v>134.36907552657723</c:v>
                </c:pt>
                <c:pt idx="38">
                  <c:v>133.2999514089181</c:v>
                </c:pt>
                <c:pt idx="39">
                  <c:v>132.64534435779456</c:v>
                </c:pt>
                <c:pt idx="40">
                  <c:v>131.97684629969231</c:v>
                </c:pt>
                <c:pt idx="41">
                  <c:v>131.94788234747381</c:v>
                </c:pt>
                <c:pt idx="42">
                  <c:v>133.33414927800874</c:v>
                </c:pt>
                <c:pt idx="43">
                  <c:v>133.70753308042561</c:v>
                </c:pt>
                <c:pt idx="44">
                  <c:v>134.6015058798107</c:v>
                </c:pt>
                <c:pt idx="45">
                  <c:v>135.24014479874756</c:v>
                </c:pt>
                <c:pt idx="46">
                  <c:v>135.95210625167951</c:v>
                </c:pt>
                <c:pt idx="47">
                  <c:v>137.50285881116767</c:v>
                </c:pt>
                <c:pt idx="48">
                  <c:v>139.02051338494377</c:v>
                </c:pt>
                <c:pt idx="49">
                  <c:v>137.33357675035452</c:v>
                </c:pt>
                <c:pt idx="50">
                  <c:v>135.76622740612461</c:v>
                </c:pt>
                <c:pt idx="51">
                  <c:v>134.05718684749601</c:v>
                </c:pt>
                <c:pt idx="52">
                  <c:v>130.83312212600549</c:v>
                </c:pt>
                <c:pt idx="53">
                  <c:v>130.13261243668092</c:v>
                </c:pt>
                <c:pt idx="54">
                  <c:v>128.3229385609234</c:v>
                </c:pt>
                <c:pt idx="55">
                  <c:v>128.99620599310794</c:v>
                </c:pt>
                <c:pt idx="56">
                  <c:v>127.62231975893857</c:v>
                </c:pt>
                <c:pt idx="57">
                  <c:v>127.31459885916225</c:v>
                </c:pt>
              </c:numCache>
            </c:numRef>
          </c:xVal>
          <c:yVal>
            <c:numRef>
              <c:f>'Y от Х5 и Х6'!$F$3:$F$60</c:f>
              <c:numCache>
                <c:formatCode>0.00</c:formatCode>
                <c:ptCount val="58"/>
                <c:pt idx="0">
                  <c:v>-9.4027597692843301E-2</c:v>
                </c:pt>
                <c:pt idx="1">
                  <c:v>0.81513521512066234</c:v>
                </c:pt>
                <c:pt idx="2">
                  <c:v>-1.8098498114664352</c:v>
                </c:pt>
                <c:pt idx="3">
                  <c:v>-1.3479634406142225</c:v>
                </c:pt>
                <c:pt idx="4">
                  <c:v>-3.1776899536020125</c:v>
                </c:pt>
                <c:pt idx="5">
                  <c:v>-2.1511049088320249</c:v>
                </c:pt>
                <c:pt idx="6">
                  <c:v>-0.60371305143041809</c:v>
                </c:pt>
                <c:pt idx="7">
                  <c:v>2.965998801342792</c:v>
                </c:pt>
                <c:pt idx="8">
                  <c:v>5.670819986281245</c:v>
                </c:pt>
                <c:pt idx="9">
                  <c:v>7.5599968752289186</c:v>
                </c:pt>
                <c:pt idx="10">
                  <c:v>6.7702208819069938</c:v>
                </c:pt>
                <c:pt idx="11">
                  <c:v>6.9266388086159623</c:v>
                </c:pt>
                <c:pt idx="12">
                  <c:v>4.3858601482526893</c:v>
                </c:pt>
                <c:pt idx="13">
                  <c:v>2.4529216300250027</c:v>
                </c:pt>
                <c:pt idx="14">
                  <c:v>0.37971644898762236</c:v>
                </c:pt>
                <c:pt idx="15">
                  <c:v>-2.9080099159138229</c:v>
                </c:pt>
                <c:pt idx="16">
                  <c:v>-4.7801755438549947</c:v>
                </c:pt>
                <c:pt idx="17">
                  <c:v>-4.1313503586024325</c:v>
                </c:pt>
                <c:pt idx="18">
                  <c:v>-6.0062002798895975</c:v>
                </c:pt>
                <c:pt idx="19">
                  <c:v>-7.9161241291420055</c:v>
                </c:pt>
                <c:pt idx="20">
                  <c:v>-6.7792334695721763</c:v>
                </c:pt>
                <c:pt idx="21">
                  <c:v>-9.8569457583394353</c:v>
                </c:pt>
                <c:pt idx="22">
                  <c:v>-9.0554931683579412</c:v>
                </c:pt>
                <c:pt idx="23">
                  <c:v>10.031821910907766</c:v>
                </c:pt>
                <c:pt idx="24">
                  <c:v>-11.933087975749615</c:v>
                </c:pt>
                <c:pt idx="25">
                  <c:v>-9.3079373129564118</c:v>
                </c:pt>
                <c:pt idx="26">
                  <c:v>-8.9572811636138141</c:v>
                </c:pt>
                <c:pt idx="27">
                  <c:v>-7.604580571847066</c:v>
                </c:pt>
                <c:pt idx="28">
                  <c:v>-2.8846552407397752</c:v>
                </c:pt>
                <c:pt idx="29">
                  <c:v>1.7071455051466558</c:v>
                </c:pt>
                <c:pt idx="30">
                  <c:v>6.8837872821824106</c:v>
                </c:pt>
                <c:pt idx="31">
                  <c:v>7.4748514397568044</c:v>
                </c:pt>
                <c:pt idx="32">
                  <c:v>9.0916581125670461</c:v>
                </c:pt>
                <c:pt idx="33">
                  <c:v>7.9669981192615751</c:v>
                </c:pt>
                <c:pt idx="34">
                  <c:v>4.7757012501475629</c:v>
                </c:pt>
                <c:pt idx="35">
                  <c:v>1.1663743109162397</c:v>
                </c:pt>
                <c:pt idx="36">
                  <c:v>-0.19352291039811576</c:v>
                </c:pt>
                <c:pt idx="37">
                  <c:v>5.7209244734227696</c:v>
                </c:pt>
                <c:pt idx="38">
                  <c:v>5.8000485910818895</c:v>
                </c:pt>
                <c:pt idx="39">
                  <c:v>4.8546556422054437</c:v>
                </c:pt>
                <c:pt idx="40">
                  <c:v>4.1431537003076926</c:v>
                </c:pt>
                <c:pt idx="41">
                  <c:v>3.272117652526191</c:v>
                </c:pt>
                <c:pt idx="42">
                  <c:v>1.3958507219912519</c:v>
                </c:pt>
                <c:pt idx="43">
                  <c:v>0.68246691957438088</c:v>
                </c:pt>
                <c:pt idx="44">
                  <c:v>-9.1505879810711122E-2</c:v>
                </c:pt>
                <c:pt idx="45">
                  <c:v>-0.78014479874755693</c:v>
                </c:pt>
                <c:pt idx="46">
                  <c:v>-1.6821062516794996</c:v>
                </c:pt>
                <c:pt idx="47">
                  <c:v>-3.77285881116768</c:v>
                </c:pt>
                <c:pt idx="48">
                  <c:v>-7.0105133849437777</c:v>
                </c:pt>
                <c:pt idx="49">
                  <c:v>-6.7435767503545208</c:v>
                </c:pt>
                <c:pt idx="50">
                  <c:v>-5.4862274061246126</c:v>
                </c:pt>
                <c:pt idx="51">
                  <c:v>-4.8971868474960161</c:v>
                </c:pt>
                <c:pt idx="52">
                  <c:v>-1.893122126005494</c:v>
                </c:pt>
                <c:pt idx="53">
                  <c:v>-0.83261243668090401</c:v>
                </c:pt>
                <c:pt idx="54">
                  <c:v>2.8970614390765945</c:v>
                </c:pt>
                <c:pt idx="55">
                  <c:v>3.523794006892075</c:v>
                </c:pt>
                <c:pt idx="56">
                  <c:v>6.6276802410614266</c:v>
                </c:pt>
                <c:pt idx="57">
                  <c:v>8.7454011408377568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BF-43D8-BA96-D9290E6A7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70128"/>
        <c:axId val="408662512"/>
      </c:scatterChart>
      <c:valAx>
        <c:axId val="40867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2512"/>
        <c:crosses val="autoZero"/>
        <c:crossBetween val="midCat"/>
      </c:valAx>
      <c:valAx>
        <c:axId val="40866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strRef>
              <c:f>'Y от Х5 и Х6'!$K$3:$K$61</c:f>
              <c:strCache>
                <c:ptCount val="59"/>
                <c:pt idx="0">
                  <c:v>ɛ (сортировка)</c:v>
                </c:pt>
                <c:pt idx="1">
                  <c:v>-11,93</c:v>
                </c:pt>
                <c:pt idx="2">
                  <c:v>-9,86</c:v>
                </c:pt>
                <c:pt idx="3">
                  <c:v>-9,31</c:v>
                </c:pt>
                <c:pt idx="4">
                  <c:v>-9,06</c:v>
                </c:pt>
                <c:pt idx="5">
                  <c:v>-8,96</c:v>
                </c:pt>
                <c:pt idx="6">
                  <c:v>-7,92</c:v>
                </c:pt>
                <c:pt idx="7">
                  <c:v>-7,60</c:v>
                </c:pt>
                <c:pt idx="8">
                  <c:v>-7,01</c:v>
                </c:pt>
                <c:pt idx="9">
                  <c:v>-6,78</c:v>
                </c:pt>
                <c:pt idx="10">
                  <c:v>-6,74</c:v>
                </c:pt>
                <c:pt idx="11">
                  <c:v>-6,01</c:v>
                </c:pt>
                <c:pt idx="12">
                  <c:v>-5,49</c:v>
                </c:pt>
                <c:pt idx="13">
                  <c:v>-4,90</c:v>
                </c:pt>
                <c:pt idx="14">
                  <c:v>-4,78</c:v>
                </c:pt>
                <c:pt idx="15">
                  <c:v>-4,13</c:v>
                </c:pt>
                <c:pt idx="16">
                  <c:v>-3,77</c:v>
                </c:pt>
                <c:pt idx="17">
                  <c:v>-3,18</c:v>
                </c:pt>
                <c:pt idx="18">
                  <c:v>-2,91</c:v>
                </c:pt>
                <c:pt idx="19">
                  <c:v>-2,88</c:v>
                </c:pt>
                <c:pt idx="20">
                  <c:v>-2,15</c:v>
                </c:pt>
                <c:pt idx="21">
                  <c:v>-1,89</c:v>
                </c:pt>
                <c:pt idx="22">
                  <c:v>-1,81</c:v>
                </c:pt>
                <c:pt idx="23">
                  <c:v>-1,68</c:v>
                </c:pt>
                <c:pt idx="24">
                  <c:v>-1,35</c:v>
                </c:pt>
                <c:pt idx="25">
                  <c:v>-0,83</c:v>
                </c:pt>
                <c:pt idx="26">
                  <c:v>-0,78</c:v>
                </c:pt>
                <c:pt idx="27">
                  <c:v>-0,60</c:v>
                </c:pt>
                <c:pt idx="28">
                  <c:v>-0,19</c:v>
                </c:pt>
                <c:pt idx="29">
                  <c:v>-0,09</c:v>
                </c:pt>
                <c:pt idx="30">
                  <c:v>-0,09</c:v>
                </c:pt>
                <c:pt idx="31">
                  <c:v>0,38</c:v>
                </c:pt>
                <c:pt idx="32">
                  <c:v>0,68</c:v>
                </c:pt>
                <c:pt idx="33">
                  <c:v>0,82</c:v>
                </c:pt>
                <c:pt idx="34">
                  <c:v>1,17</c:v>
                </c:pt>
                <c:pt idx="35">
                  <c:v>1,40</c:v>
                </c:pt>
                <c:pt idx="36">
                  <c:v>1,71</c:v>
                </c:pt>
                <c:pt idx="37">
                  <c:v>2,45</c:v>
                </c:pt>
                <c:pt idx="38">
                  <c:v>2,90</c:v>
                </c:pt>
                <c:pt idx="39">
                  <c:v>2,97</c:v>
                </c:pt>
                <c:pt idx="40">
                  <c:v>3,27</c:v>
                </c:pt>
                <c:pt idx="41">
                  <c:v>3,52</c:v>
                </c:pt>
                <c:pt idx="42">
                  <c:v>4,14</c:v>
                </c:pt>
                <c:pt idx="43">
                  <c:v>4,39</c:v>
                </c:pt>
                <c:pt idx="44">
                  <c:v>4,78</c:v>
                </c:pt>
                <c:pt idx="45">
                  <c:v>4,85</c:v>
                </c:pt>
                <c:pt idx="46">
                  <c:v>5,67</c:v>
                </c:pt>
                <c:pt idx="47">
                  <c:v>5,72</c:v>
                </c:pt>
                <c:pt idx="48">
                  <c:v>5,80</c:v>
                </c:pt>
                <c:pt idx="49">
                  <c:v>6,63</c:v>
                </c:pt>
                <c:pt idx="50">
                  <c:v>6,77</c:v>
                </c:pt>
                <c:pt idx="51">
                  <c:v>6,88</c:v>
                </c:pt>
                <c:pt idx="52">
                  <c:v>6,93</c:v>
                </c:pt>
                <c:pt idx="53">
                  <c:v>7,47</c:v>
                </c:pt>
                <c:pt idx="54">
                  <c:v>7,56</c:v>
                </c:pt>
                <c:pt idx="55">
                  <c:v>7,97</c:v>
                </c:pt>
                <c:pt idx="56">
                  <c:v>8,75</c:v>
                </c:pt>
                <c:pt idx="57">
                  <c:v>9,09</c:v>
                </c:pt>
                <c:pt idx="58">
                  <c:v>10,03</c:v>
                </c:pt>
              </c:strCache>
            </c:strRef>
          </c:xVal>
          <c:yVal>
            <c:numRef>
              <c:f>'Y от Х5 и Х6'!$M$4:$M$61</c:f>
              <c:numCache>
                <c:formatCode>General</c:formatCode>
                <c:ptCount val="58"/>
                <c:pt idx="0">
                  <c:v>-2.1212793024540013</c:v>
                </c:pt>
                <c:pt idx="1">
                  <c:v>-1.8263562979439061</c:v>
                </c:pt>
                <c:pt idx="2">
                  <c:v>-1.6366916466733989</c:v>
                </c:pt>
                <c:pt idx="3">
                  <c:v>-1.492404178320359</c:v>
                </c:pt>
                <c:pt idx="4">
                  <c:v>-1.3738394673770855</c:v>
                </c:pt>
                <c:pt idx="5">
                  <c:v>-1.2719529676842081</c:v>
                </c:pt>
                <c:pt idx="6">
                  <c:v>-1.1817922703491182</c:v>
                </c:pt>
                <c:pt idx="7">
                  <c:v>-1.1003344194590818</c:v>
                </c:pt>
                <c:pt idx="8">
                  <c:v>-1.0255902911278738</c:v>
                </c:pt>
                <c:pt idx="9">
                  <c:v>-0.95617653892006238</c:v>
                </c:pt>
                <c:pt idx="10">
                  <c:v>-0.89108913003410894</c:v>
                </c:pt>
                <c:pt idx="11">
                  <c:v>-0.82957403698182763</c:v>
                </c:pt>
                <c:pt idx="12">
                  <c:v>-0.77104886863964417</c:v>
                </c:pt>
                <c:pt idx="13">
                  <c:v>-0.71505303754992222</c:v>
                </c:pt>
                <c:pt idx="14">
                  <c:v>-0.66121479220131485</c:v>
                </c:pt>
                <c:pt idx="15">
                  <c:v>-0.60922866701399825</c:v>
                </c:pt>
                <c:pt idx="16">
                  <c:v>-0.55883961079677569</c:v>
                </c:pt>
                <c:pt idx="17">
                  <c:v>-0.50983153383249025</c:v>
                </c:pt>
                <c:pt idx="18">
                  <c:v>-0.46201885864912079</c:v>
                </c:pt>
                <c:pt idx="19">
                  <c:v>-0.4152401608260714</c:v>
                </c:pt>
                <c:pt idx="20">
                  <c:v>-0.36935329360674307</c:v>
                </c:pt>
                <c:pt idx="21">
                  <c:v>-0.32423158413730258</c:v>
                </c:pt>
                <c:pt idx="22">
                  <c:v>-0.27976081477122972</c:v>
                </c:pt>
                <c:pt idx="23">
                  <c:v>-0.23583678601109134</c:v>
                </c:pt>
                <c:pt idx="24">
                  <c:v>-0.19236331372250978</c:v>
                </c:pt>
                <c:pt idx="25">
                  <c:v>-0.14925055165580312</c:v>
                </c:pt>
                <c:pt idx="26">
                  <c:v>-0.1064135569156504</c:v>
                </c:pt>
                <c:pt idx="27">
                  <c:v>-6.377103455763064E-2</c:v>
                </c:pt>
                <c:pt idx="28">
                  <c:v>-2.1244210365719055E-2</c:v>
                </c:pt>
                <c:pt idx="29">
                  <c:v>2.1244210365719055E-2</c:v>
                </c:pt>
                <c:pt idx="30">
                  <c:v>6.3771034557630793E-2</c:v>
                </c:pt>
                <c:pt idx="31">
                  <c:v>0.1064135569156504</c:v>
                </c:pt>
                <c:pt idx="32">
                  <c:v>0.14925055165580298</c:v>
                </c:pt>
                <c:pt idx="33">
                  <c:v>0.19236331372250978</c:v>
                </c:pt>
                <c:pt idx="34">
                  <c:v>0.23583678601109134</c:v>
                </c:pt>
                <c:pt idx="35">
                  <c:v>0.27976081477122983</c:v>
                </c:pt>
                <c:pt idx="36">
                  <c:v>0.32423158413730258</c:v>
                </c:pt>
                <c:pt idx="37">
                  <c:v>0.36935329360674291</c:v>
                </c:pt>
                <c:pt idx="38">
                  <c:v>0.4152401608260714</c:v>
                </c:pt>
                <c:pt idx="39">
                  <c:v>0.46201885864912062</c:v>
                </c:pt>
                <c:pt idx="40">
                  <c:v>0.50983153383249047</c:v>
                </c:pt>
                <c:pt idx="41">
                  <c:v>0.55883961079677569</c:v>
                </c:pt>
                <c:pt idx="42">
                  <c:v>0.60922866701399803</c:v>
                </c:pt>
                <c:pt idx="43">
                  <c:v>0.66121479220131485</c:v>
                </c:pt>
                <c:pt idx="44">
                  <c:v>0.71505303754992222</c:v>
                </c:pt>
                <c:pt idx="45">
                  <c:v>0.77104886863964417</c:v>
                </c:pt>
                <c:pt idx="46">
                  <c:v>0.82957403698182763</c:v>
                </c:pt>
                <c:pt idx="47">
                  <c:v>0.89108913003410994</c:v>
                </c:pt>
                <c:pt idx="48">
                  <c:v>0.95617653892006238</c:v>
                </c:pt>
                <c:pt idx="49">
                  <c:v>1.0255902911278738</c:v>
                </c:pt>
                <c:pt idx="50">
                  <c:v>1.1003344194590818</c:v>
                </c:pt>
                <c:pt idx="51">
                  <c:v>1.1817922703491182</c:v>
                </c:pt>
                <c:pt idx="52">
                  <c:v>1.2719529676842083</c:v>
                </c:pt>
                <c:pt idx="53">
                  <c:v>1.3738394673770855</c:v>
                </c:pt>
                <c:pt idx="54">
                  <c:v>1.4924041783203592</c:v>
                </c:pt>
                <c:pt idx="55">
                  <c:v>1.6366916466733989</c:v>
                </c:pt>
                <c:pt idx="56">
                  <c:v>1.8263562979439059</c:v>
                </c:pt>
                <c:pt idx="57">
                  <c:v>2.1212793024540031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D8-452B-9D0F-CAD7A368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64688"/>
        <c:axId val="408677744"/>
      </c:scatterChart>
      <c:valAx>
        <c:axId val="40866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7744"/>
        <c:crosses val="autoZero"/>
        <c:crossBetween val="midCat"/>
      </c:valAx>
      <c:valAx>
        <c:axId val="4086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effectLst/>
              </a:rPr>
              <a:t>Линия регрессии на поле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75503062117235E-3"/>
                  <c:y val="-4.12007874015748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Х6'!$C$3:$C$60</c:f>
              <c:numCache>
                <c:formatCode>0.00</c:formatCode>
                <c:ptCount val="58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</c:numCache>
            </c:numRef>
          </c:xVal>
          <c:yVal>
            <c:numRef>
              <c:f>'Y от Х6'!$B$3:$B$60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58-45E9-BCA3-BFBC6CC4A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54352"/>
        <c:axId val="408652176"/>
      </c:scatterChart>
      <c:valAx>
        <c:axId val="40865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52176"/>
        <c:crosses val="autoZero"/>
        <c:crossBetween val="midCat"/>
      </c:valAx>
      <c:valAx>
        <c:axId val="4086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5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 от Х6'!$D$3:$D$60</c:f>
              <c:numCache>
                <c:formatCode>General</c:formatCode>
                <c:ptCount val="58"/>
                <c:pt idx="0">
                  <c:v>95.719582160445484</c:v>
                </c:pt>
                <c:pt idx="1">
                  <c:v>95.556118833137617</c:v>
                </c:pt>
                <c:pt idx="2">
                  <c:v>99.806165343142069</c:v>
                </c:pt>
                <c:pt idx="3">
                  <c:v>100.84380211648764</c:v>
                </c:pt>
                <c:pt idx="4">
                  <c:v>101.90986729458241</c:v>
                </c:pt>
                <c:pt idx="5">
                  <c:v>106.45485850385975</c:v>
                </c:pt>
                <c:pt idx="6">
                  <c:v>108.33468676790019</c:v>
                </c:pt>
                <c:pt idx="7">
                  <c:v>107.97577815794162</c:v>
                </c:pt>
                <c:pt idx="8">
                  <c:v>107.05185500359282</c:v>
                </c:pt>
                <c:pt idx="9">
                  <c:v>107.08028340834201</c:v>
                </c:pt>
                <c:pt idx="10">
                  <c:v>110.31046089796915</c:v>
                </c:pt>
                <c:pt idx="11">
                  <c:v>111.49379324565433</c:v>
                </c:pt>
                <c:pt idx="12">
                  <c:v>114.54273965500536</c:v>
                </c:pt>
                <c:pt idx="13">
                  <c:v>115.48798411291605</c:v>
                </c:pt>
                <c:pt idx="14">
                  <c:v>118.29884263249258</c:v>
                </c:pt>
                <c:pt idx="15">
                  <c:v>120.13958184000288</c:v>
                </c:pt>
                <c:pt idx="16">
                  <c:v>119.3471400576191</c:v>
                </c:pt>
                <c:pt idx="17">
                  <c:v>120.98888043188504</c:v>
                </c:pt>
                <c:pt idx="18">
                  <c:v>122.42806842231298</c:v>
                </c:pt>
                <c:pt idx="19">
                  <c:v>122.0762669135417</c:v>
                </c:pt>
                <c:pt idx="20">
                  <c:v>118.64353704007655</c:v>
                </c:pt>
                <c:pt idx="21">
                  <c:v>120.67616797964391</c:v>
                </c:pt>
                <c:pt idx="22">
                  <c:v>120.21775995306317</c:v>
                </c:pt>
                <c:pt idx="23">
                  <c:v>121.71025120239582</c:v>
                </c:pt>
                <c:pt idx="24">
                  <c:v>123.00374361848415</c:v>
                </c:pt>
                <c:pt idx="25">
                  <c:v>123.54388330871882</c:v>
                </c:pt>
                <c:pt idx="26">
                  <c:v>124.92621448964837</c:v>
                </c:pt>
                <c:pt idx="27">
                  <c:v>125.33131925732438</c:v>
                </c:pt>
                <c:pt idx="28">
                  <c:v>124.25459342744867</c:v>
                </c:pt>
                <c:pt idx="29">
                  <c:v>125.9389764088384</c:v>
                </c:pt>
                <c:pt idx="30">
                  <c:v>125.58006779887984</c:v>
                </c:pt>
                <c:pt idx="31">
                  <c:v>126.11665393852087</c:v>
                </c:pt>
                <c:pt idx="32">
                  <c:v>126.67456138172378</c:v>
                </c:pt>
                <c:pt idx="33">
                  <c:v>127.4989851194504</c:v>
                </c:pt>
                <c:pt idx="34">
                  <c:v>126.11665393852087</c:v>
                </c:pt>
                <c:pt idx="35">
                  <c:v>127.45278896173296</c:v>
                </c:pt>
                <c:pt idx="36">
                  <c:v>126.72786464062852</c:v>
                </c:pt>
                <c:pt idx="37">
                  <c:v>127.87566148237721</c:v>
                </c:pt>
                <c:pt idx="38">
                  <c:v>128.58637160110706</c:v>
                </c:pt>
                <c:pt idx="39">
                  <c:v>128.87776274978631</c:v>
                </c:pt>
                <c:pt idx="40">
                  <c:v>128.88131630037995</c:v>
                </c:pt>
                <c:pt idx="41">
                  <c:v>126.54308000975877</c:v>
                </c:pt>
                <c:pt idx="42">
                  <c:v>128.92754799360333</c:v>
                </c:pt>
                <c:pt idx="43">
                  <c:v>129.90829242194457</c:v>
                </c:pt>
                <c:pt idx="44">
                  <c:v>129.24022491033853</c:v>
                </c:pt>
                <c:pt idx="45">
                  <c:v>128.15283842868186</c:v>
                </c:pt>
                <c:pt idx="46">
                  <c:v>126.50399095322862</c:v>
                </c:pt>
                <c:pt idx="47">
                  <c:v>127.05834484583789</c:v>
                </c:pt>
                <c:pt idx="48">
                  <c:v>128.02846415790412</c:v>
                </c:pt>
                <c:pt idx="49">
                  <c:v>128.3731585654881</c:v>
                </c:pt>
                <c:pt idx="50">
                  <c:v>127.52385997360595</c:v>
                </c:pt>
                <c:pt idx="51">
                  <c:v>126.55374066153971</c:v>
                </c:pt>
                <c:pt idx="52">
                  <c:v>127.38527150045363</c:v>
                </c:pt>
                <c:pt idx="53">
                  <c:v>128.56149674695152</c:v>
                </c:pt>
                <c:pt idx="54">
                  <c:v>128.83515567816846</c:v>
                </c:pt>
                <c:pt idx="55">
                  <c:v>129.34683142814799</c:v>
                </c:pt>
                <c:pt idx="56">
                  <c:v>129.00569057115769</c:v>
                </c:pt>
                <c:pt idx="57">
                  <c:v>128.70012075560976</c:v>
                </c:pt>
              </c:numCache>
            </c:numRef>
          </c:xVal>
          <c:yVal>
            <c:numRef>
              <c:f>'Y от Х6'!$E$3:$E$60</c:f>
              <c:numCache>
                <c:formatCode>0.00</c:formatCode>
                <c:ptCount val="58"/>
                <c:pt idx="0">
                  <c:v>6.6004178395545097</c:v>
                </c:pt>
                <c:pt idx="1">
                  <c:v>6.6538811668623765</c:v>
                </c:pt>
                <c:pt idx="2">
                  <c:v>2.3538346568579271</c:v>
                </c:pt>
                <c:pt idx="3">
                  <c:v>1.2161978835123648</c:v>
                </c:pt>
                <c:pt idx="4">
                  <c:v>0.64013270541758516</c:v>
                </c:pt>
                <c:pt idx="5">
                  <c:v>-2.1048585038597594</c:v>
                </c:pt>
                <c:pt idx="6">
                  <c:v>-0.7646867679002014</c:v>
                </c:pt>
                <c:pt idx="7">
                  <c:v>3.9842218420583748</c:v>
                </c:pt>
                <c:pt idx="8">
                  <c:v>8.218144996407176</c:v>
                </c:pt>
                <c:pt idx="9">
                  <c:v>10.089716591657989</c:v>
                </c:pt>
                <c:pt idx="10">
                  <c:v>7.2995391020308489</c:v>
                </c:pt>
                <c:pt idx="11">
                  <c:v>5.7662067543456743</c:v>
                </c:pt>
                <c:pt idx="12">
                  <c:v>1.3372603449946325</c:v>
                </c:pt>
                <c:pt idx="13">
                  <c:v>-2.1379841129160582</c:v>
                </c:pt>
                <c:pt idx="14">
                  <c:v>-6.9088426324925791</c:v>
                </c:pt>
                <c:pt idx="15">
                  <c:v>-10.379581840002871</c:v>
                </c:pt>
                <c:pt idx="16">
                  <c:v>-9.8471400576191002</c:v>
                </c:pt>
                <c:pt idx="17">
                  <c:v>-12.128880431885037</c:v>
                </c:pt>
                <c:pt idx="18">
                  <c:v>-13.93806842231298</c:v>
                </c:pt>
                <c:pt idx="19">
                  <c:v>-13.716266913541702</c:v>
                </c:pt>
                <c:pt idx="20">
                  <c:v>-10.453537040076554</c:v>
                </c:pt>
                <c:pt idx="21">
                  <c:v>-12.87616797964391</c:v>
                </c:pt>
                <c:pt idx="22">
                  <c:v>-12.747759953063166</c:v>
                </c:pt>
                <c:pt idx="23">
                  <c:v>-14.680251202395823</c:v>
                </c:pt>
                <c:pt idx="24">
                  <c:v>-16.393743618484152</c:v>
                </c:pt>
                <c:pt idx="25">
                  <c:v>-16.973883308718825</c:v>
                </c:pt>
                <c:pt idx="26">
                  <c:v>-18.436214489648378</c:v>
                </c:pt>
                <c:pt idx="27">
                  <c:v>-18.291319257324375</c:v>
                </c:pt>
                <c:pt idx="28">
                  <c:v>-12.904593427448674</c:v>
                </c:pt>
                <c:pt idx="29">
                  <c:v>-8.3989764088383936</c:v>
                </c:pt>
                <c:pt idx="30">
                  <c:v>-3.0000677988798401</c:v>
                </c:pt>
                <c:pt idx="31">
                  <c:v>2.0433460614791272</c:v>
                </c:pt>
                <c:pt idx="32">
                  <c:v>6.1854386182762369</c:v>
                </c:pt>
                <c:pt idx="33">
                  <c:v>7.4210148805495919</c:v>
                </c:pt>
                <c:pt idx="34">
                  <c:v>9.5833460614791193</c:v>
                </c:pt>
                <c:pt idx="35">
                  <c:v>8.6872110382670229</c:v>
                </c:pt>
                <c:pt idx="36">
                  <c:v>13.422135359371481</c:v>
                </c:pt>
                <c:pt idx="37">
                  <c:v>12.214338517622792</c:v>
                </c:pt>
                <c:pt idx="38">
                  <c:v>10.513628398892934</c:v>
                </c:pt>
                <c:pt idx="39">
                  <c:v>8.6222372502136864</c:v>
                </c:pt>
                <c:pt idx="40">
                  <c:v>7.2386836996200543</c:v>
                </c:pt>
                <c:pt idx="41">
                  <c:v>8.6769199902412311</c:v>
                </c:pt>
                <c:pt idx="42">
                  <c:v>5.8024520063966634</c:v>
                </c:pt>
                <c:pt idx="43">
                  <c:v>4.4817075780554205</c:v>
                </c:pt>
                <c:pt idx="44">
                  <c:v>5.269775089661465</c:v>
                </c:pt>
                <c:pt idx="45">
                  <c:v>6.3071615713181473</c:v>
                </c:pt>
                <c:pt idx="46">
                  <c:v>7.7660090467713871</c:v>
                </c:pt>
                <c:pt idx="47">
                  <c:v>6.6716551541620959</c:v>
                </c:pt>
                <c:pt idx="48">
                  <c:v>3.981535842095866</c:v>
                </c:pt>
                <c:pt idx="49">
                  <c:v>2.2168414345119061</c:v>
                </c:pt>
                <c:pt idx="50">
                  <c:v>2.7561400263940499</c:v>
                </c:pt>
                <c:pt idx="51">
                  <c:v>2.6062593384602906</c:v>
                </c:pt>
                <c:pt idx="52">
                  <c:v>1.5547284995463713</c:v>
                </c:pt>
                <c:pt idx="53">
                  <c:v>0.73850325304849207</c:v>
                </c:pt>
                <c:pt idx="54">
                  <c:v>2.3848443218315367</c:v>
                </c:pt>
                <c:pt idx="55">
                  <c:v>3.1731685718520168</c:v>
                </c:pt>
                <c:pt idx="56">
                  <c:v>5.244309428842314</c:v>
                </c:pt>
                <c:pt idx="57">
                  <c:v>7.3598792443902425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6F-4B41-842B-A6837EE90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71216"/>
        <c:axId val="408667952"/>
      </c:scatterChart>
      <c:valAx>
        <c:axId val="40867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7952"/>
        <c:crosses val="autoZero"/>
        <c:crossBetween val="midCat"/>
      </c:valAx>
      <c:valAx>
        <c:axId val="40866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Х6'!$J$4:$J$61</c:f>
              <c:numCache>
                <c:formatCode>0.00</c:formatCode>
                <c:ptCount val="58"/>
                <c:pt idx="0">
                  <c:v>-18.436214489648378</c:v>
                </c:pt>
                <c:pt idx="1">
                  <c:v>-18.291319257324375</c:v>
                </c:pt>
                <c:pt idx="2">
                  <c:v>-16.973883308718825</c:v>
                </c:pt>
                <c:pt idx="3">
                  <c:v>-16.393743618484152</c:v>
                </c:pt>
                <c:pt idx="4">
                  <c:v>-14.680251202395823</c:v>
                </c:pt>
                <c:pt idx="5">
                  <c:v>-13.93806842231298</c:v>
                </c:pt>
                <c:pt idx="6">
                  <c:v>-13.716266913541702</c:v>
                </c:pt>
                <c:pt idx="7">
                  <c:v>-12.904593427448674</c:v>
                </c:pt>
                <c:pt idx="8">
                  <c:v>-12.87616797964391</c:v>
                </c:pt>
                <c:pt idx="9">
                  <c:v>-12.747759953063166</c:v>
                </c:pt>
                <c:pt idx="10">
                  <c:v>-12.128880431885037</c:v>
                </c:pt>
                <c:pt idx="11">
                  <c:v>-10.453537040076554</c:v>
                </c:pt>
                <c:pt idx="12">
                  <c:v>-10.379581840002871</c:v>
                </c:pt>
                <c:pt idx="13">
                  <c:v>-9.8471400576191002</c:v>
                </c:pt>
                <c:pt idx="14">
                  <c:v>-8.3989764088383936</c:v>
                </c:pt>
                <c:pt idx="15">
                  <c:v>-6.9088426324925791</c:v>
                </c:pt>
                <c:pt idx="16">
                  <c:v>-3.0000677988798401</c:v>
                </c:pt>
                <c:pt idx="17">
                  <c:v>-2.1379841129160582</c:v>
                </c:pt>
                <c:pt idx="18">
                  <c:v>-2.1048585038597594</c:v>
                </c:pt>
                <c:pt idx="19">
                  <c:v>-0.7646867679002014</c:v>
                </c:pt>
                <c:pt idx="20">
                  <c:v>0.64013270541758516</c:v>
                </c:pt>
                <c:pt idx="21">
                  <c:v>0.73850325304849207</c:v>
                </c:pt>
                <c:pt idx="22">
                  <c:v>1.2161978835123648</c:v>
                </c:pt>
                <c:pt idx="23">
                  <c:v>1.3372603449946325</c:v>
                </c:pt>
                <c:pt idx="24">
                  <c:v>1.5547284995463713</c:v>
                </c:pt>
                <c:pt idx="25">
                  <c:v>2.0433460614791272</c:v>
                </c:pt>
                <c:pt idx="26">
                  <c:v>2.2168414345119061</c:v>
                </c:pt>
                <c:pt idx="27">
                  <c:v>2.3538346568579271</c:v>
                </c:pt>
                <c:pt idx="28">
                  <c:v>2.3848443218315367</c:v>
                </c:pt>
                <c:pt idx="29">
                  <c:v>2.6062593384602906</c:v>
                </c:pt>
                <c:pt idx="30">
                  <c:v>2.7561400263940499</c:v>
                </c:pt>
                <c:pt idx="31">
                  <c:v>3.1731685718520168</c:v>
                </c:pt>
                <c:pt idx="32">
                  <c:v>3.981535842095866</c:v>
                </c:pt>
                <c:pt idx="33">
                  <c:v>3.9842218420583748</c:v>
                </c:pt>
                <c:pt idx="34">
                  <c:v>4.4817075780554205</c:v>
                </c:pt>
                <c:pt idx="35">
                  <c:v>5.244309428842314</c:v>
                </c:pt>
                <c:pt idx="36">
                  <c:v>5.269775089661465</c:v>
                </c:pt>
                <c:pt idx="37">
                  <c:v>5.7662067543456743</c:v>
                </c:pt>
                <c:pt idx="38">
                  <c:v>5.8024520063966634</c:v>
                </c:pt>
                <c:pt idx="39">
                  <c:v>6.1854386182762369</c:v>
                </c:pt>
                <c:pt idx="40">
                  <c:v>6.3071615713181473</c:v>
                </c:pt>
                <c:pt idx="41">
                  <c:v>6.6004178395545097</c:v>
                </c:pt>
                <c:pt idx="42">
                  <c:v>6.6538811668623765</c:v>
                </c:pt>
                <c:pt idx="43">
                  <c:v>6.6716551541620959</c:v>
                </c:pt>
                <c:pt idx="44">
                  <c:v>7.2386836996200543</c:v>
                </c:pt>
                <c:pt idx="45">
                  <c:v>7.2995391020308489</c:v>
                </c:pt>
                <c:pt idx="46">
                  <c:v>7.3598792443902425</c:v>
                </c:pt>
                <c:pt idx="47">
                  <c:v>7.4210148805495919</c:v>
                </c:pt>
                <c:pt idx="48">
                  <c:v>7.7660090467713871</c:v>
                </c:pt>
                <c:pt idx="49">
                  <c:v>8.218144996407176</c:v>
                </c:pt>
                <c:pt idx="50">
                  <c:v>8.6222372502136864</c:v>
                </c:pt>
                <c:pt idx="51">
                  <c:v>8.6769199902412311</c:v>
                </c:pt>
                <c:pt idx="52">
                  <c:v>8.6872110382670229</c:v>
                </c:pt>
                <c:pt idx="53">
                  <c:v>9.5833460614791193</c:v>
                </c:pt>
                <c:pt idx="54">
                  <c:v>10.089716591657989</c:v>
                </c:pt>
                <c:pt idx="55">
                  <c:v>10.513628398892934</c:v>
                </c:pt>
                <c:pt idx="56">
                  <c:v>12.214338517622792</c:v>
                </c:pt>
                <c:pt idx="57">
                  <c:v>13.422135359371481</c:v>
                </c:pt>
              </c:numCache>
            </c:numRef>
          </c:xVal>
          <c:yVal>
            <c:numRef>
              <c:f>'Y от Х6'!$L$4:$L$61</c:f>
              <c:numCache>
                <c:formatCode>General</c:formatCode>
                <c:ptCount val="58"/>
                <c:pt idx="0">
                  <c:v>-2.1212793024540013</c:v>
                </c:pt>
                <c:pt idx="1">
                  <c:v>-1.8263562979439061</c:v>
                </c:pt>
                <c:pt idx="2">
                  <c:v>-1.6366916466733989</c:v>
                </c:pt>
                <c:pt idx="3">
                  <c:v>-1.492404178320359</c:v>
                </c:pt>
                <c:pt idx="4">
                  <c:v>-1.3738394673770855</c:v>
                </c:pt>
                <c:pt idx="5">
                  <c:v>-1.2719529676842081</c:v>
                </c:pt>
                <c:pt idx="6">
                  <c:v>-1.1817922703491182</c:v>
                </c:pt>
                <c:pt idx="7">
                  <c:v>-1.1003344194590818</c:v>
                </c:pt>
                <c:pt idx="8">
                  <c:v>-1.0255902911278738</c:v>
                </c:pt>
                <c:pt idx="9">
                  <c:v>-0.95617653892006238</c:v>
                </c:pt>
                <c:pt idx="10">
                  <c:v>-0.89108913003410894</c:v>
                </c:pt>
                <c:pt idx="11">
                  <c:v>-0.82957403698182763</c:v>
                </c:pt>
                <c:pt idx="12">
                  <c:v>-0.77104886863964417</c:v>
                </c:pt>
                <c:pt idx="13">
                  <c:v>-0.71505303754992222</c:v>
                </c:pt>
                <c:pt idx="14">
                  <c:v>-0.66121479220131485</c:v>
                </c:pt>
                <c:pt idx="15">
                  <c:v>-0.60922866701399825</c:v>
                </c:pt>
                <c:pt idx="16">
                  <c:v>-0.55883961079677569</c:v>
                </c:pt>
                <c:pt idx="17">
                  <c:v>-0.50983153383249025</c:v>
                </c:pt>
                <c:pt idx="18">
                  <c:v>-0.46201885864912079</c:v>
                </c:pt>
                <c:pt idx="19">
                  <c:v>-0.4152401608260714</c:v>
                </c:pt>
                <c:pt idx="20">
                  <c:v>-0.36935329360674307</c:v>
                </c:pt>
                <c:pt idx="21">
                  <c:v>-0.32423158413730258</c:v>
                </c:pt>
                <c:pt idx="22">
                  <c:v>-0.27976081477122972</c:v>
                </c:pt>
                <c:pt idx="23">
                  <c:v>-0.23583678601109134</c:v>
                </c:pt>
                <c:pt idx="24">
                  <c:v>-0.19236331372250978</c:v>
                </c:pt>
                <c:pt idx="25">
                  <c:v>-0.14925055165580312</c:v>
                </c:pt>
                <c:pt idx="26">
                  <c:v>-0.1064135569156504</c:v>
                </c:pt>
                <c:pt idx="27">
                  <c:v>-6.377103455763064E-2</c:v>
                </c:pt>
                <c:pt idx="28">
                  <c:v>-2.1244210365719055E-2</c:v>
                </c:pt>
                <c:pt idx="29">
                  <c:v>2.1244210365719055E-2</c:v>
                </c:pt>
                <c:pt idx="30">
                  <c:v>6.3771034557630793E-2</c:v>
                </c:pt>
                <c:pt idx="31">
                  <c:v>0.1064135569156504</c:v>
                </c:pt>
                <c:pt idx="32">
                  <c:v>0.14925055165580298</c:v>
                </c:pt>
                <c:pt idx="33">
                  <c:v>0.19236331372250978</c:v>
                </c:pt>
                <c:pt idx="34">
                  <c:v>0.23583678601109134</c:v>
                </c:pt>
                <c:pt idx="35">
                  <c:v>0.27976081477122983</c:v>
                </c:pt>
                <c:pt idx="36">
                  <c:v>0.32423158413730258</c:v>
                </c:pt>
                <c:pt idx="37">
                  <c:v>0.36935329360674291</c:v>
                </c:pt>
                <c:pt idx="38">
                  <c:v>0.4152401608260714</c:v>
                </c:pt>
                <c:pt idx="39">
                  <c:v>0.46201885864912062</c:v>
                </c:pt>
                <c:pt idx="40">
                  <c:v>0.50983153383249047</c:v>
                </c:pt>
                <c:pt idx="41">
                  <c:v>0.55883961079677569</c:v>
                </c:pt>
                <c:pt idx="42">
                  <c:v>0.60922866701399803</c:v>
                </c:pt>
                <c:pt idx="43">
                  <c:v>0.66121479220131485</c:v>
                </c:pt>
                <c:pt idx="44">
                  <c:v>0.71505303754992222</c:v>
                </c:pt>
                <c:pt idx="45">
                  <c:v>0.77104886863964417</c:v>
                </c:pt>
                <c:pt idx="46">
                  <c:v>0.82957403698182763</c:v>
                </c:pt>
                <c:pt idx="47">
                  <c:v>0.89108913003410994</c:v>
                </c:pt>
                <c:pt idx="48">
                  <c:v>0.95617653892006238</c:v>
                </c:pt>
                <c:pt idx="49">
                  <c:v>1.0255902911278738</c:v>
                </c:pt>
                <c:pt idx="50">
                  <c:v>1.1003344194590818</c:v>
                </c:pt>
                <c:pt idx="51">
                  <c:v>1.1817922703491182</c:v>
                </c:pt>
                <c:pt idx="52">
                  <c:v>1.2719529676842083</c:v>
                </c:pt>
                <c:pt idx="53">
                  <c:v>1.3738394673770855</c:v>
                </c:pt>
                <c:pt idx="54">
                  <c:v>1.4924041783203592</c:v>
                </c:pt>
                <c:pt idx="55">
                  <c:v>1.6366916466733989</c:v>
                </c:pt>
                <c:pt idx="56">
                  <c:v>1.8263562979439059</c:v>
                </c:pt>
                <c:pt idx="57">
                  <c:v>2.1212793024540031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88-4408-8A8E-91E7613C9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72848"/>
        <c:axId val="408656528"/>
      </c:scatterChart>
      <c:valAx>
        <c:axId val="40867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56528"/>
        <c:crosses val="autoZero"/>
        <c:crossBetween val="midCat"/>
      </c:valAx>
      <c:valAx>
        <c:axId val="4086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effectLst/>
              </a:rPr>
              <a:t>Линия регрессии на поле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75503062117235E-3"/>
                  <c:y val="-4.12007874015748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Х5'!$C$3:$C$60</c:f>
              <c:numCache>
                <c:formatCode>0.00</c:formatCode>
                <c:ptCount val="58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</c:numCache>
            </c:numRef>
          </c:xVal>
          <c:yVal>
            <c:numRef>
              <c:f>'Y от Х5'!$B$3:$B$60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B1-4EBD-B343-D17AA97E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63600"/>
        <c:axId val="408649456"/>
      </c:scatterChart>
      <c:valAx>
        <c:axId val="40866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49456"/>
        <c:crosses val="autoZero"/>
        <c:crossBetween val="midCat"/>
      </c:valAx>
      <c:valAx>
        <c:axId val="4086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 от Х5'!$D$3:$D$60</c:f>
              <c:numCache>
                <c:formatCode>General</c:formatCode>
                <c:ptCount val="58"/>
                <c:pt idx="0">
                  <c:v>109.7233532571552</c:v>
                </c:pt>
                <c:pt idx="1">
                  <c:v>108.52117638477557</c:v>
                </c:pt>
                <c:pt idx="2">
                  <c:v>109.7233532571552</c:v>
                </c:pt>
                <c:pt idx="3">
                  <c:v>108.52117638477557</c:v>
                </c:pt>
                <c:pt idx="4">
                  <c:v>110.92553012953483</c:v>
                </c:pt>
                <c:pt idx="5">
                  <c:v>109.7233532571552</c:v>
                </c:pt>
                <c:pt idx="6">
                  <c:v>110.92553012953483</c:v>
                </c:pt>
                <c:pt idx="7">
                  <c:v>112.12770700191446</c:v>
                </c:pt>
                <c:pt idx="8">
                  <c:v>113.32988387429408</c:v>
                </c:pt>
                <c:pt idx="9">
                  <c:v>113.32988387429408</c:v>
                </c:pt>
                <c:pt idx="10">
                  <c:v>113.32988387429408</c:v>
                </c:pt>
                <c:pt idx="11">
                  <c:v>112.12770700191446</c:v>
                </c:pt>
                <c:pt idx="12">
                  <c:v>112.12770700191446</c:v>
                </c:pt>
                <c:pt idx="13">
                  <c:v>110.92553012953483</c:v>
                </c:pt>
                <c:pt idx="14">
                  <c:v>109.7233532571552</c:v>
                </c:pt>
                <c:pt idx="15">
                  <c:v>110.92553012953483</c:v>
                </c:pt>
                <c:pt idx="16">
                  <c:v>113.32988387429408</c:v>
                </c:pt>
                <c:pt idx="17">
                  <c:v>110.92553012953483</c:v>
                </c:pt>
                <c:pt idx="18">
                  <c:v>112.12770700191446</c:v>
                </c:pt>
                <c:pt idx="19">
                  <c:v>114.53206074667372</c:v>
                </c:pt>
                <c:pt idx="20">
                  <c:v>114.53206074667372</c:v>
                </c:pt>
                <c:pt idx="21">
                  <c:v>116.93641449143297</c:v>
                </c:pt>
                <c:pt idx="22">
                  <c:v>115.73423761905335</c:v>
                </c:pt>
                <c:pt idx="23">
                  <c:v>90.488523299081152</c:v>
                </c:pt>
                <c:pt idx="24">
                  <c:v>116.93641449143297</c:v>
                </c:pt>
                <c:pt idx="25">
                  <c:v>113.32988387429408</c:v>
                </c:pt>
                <c:pt idx="26">
                  <c:v>112.12770700191446</c:v>
                </c:pt>
                <c:pt idx="27">
                  <c:v>110.92553012953483</c:v>
                </c:pt>
                <c:pt idx="28">
                  <c:v>110.92553012953483</c:v>
                </c:pt>
                <c:pt idx="29">
                  <c:v>112.12770700191446</c:v>
                </c:pt>
                <c:pt idx="30">
                  <c:v>112.12770700191446</c:v>
                </c:pt>
                <c:pt idx="31">
                  <c:v>118.13859136381259</c:v>
                </c:pt>
                <c:pt idx="32">
                  <c:v>121.74512198095148</c:v>
                </c:pt>
                <c:pt idx="33">
                  <c:v>125.35165259809037</c:v>
                </c:pt>
                <c:pt idx="34">
                  <c:v>131.00188389827463</c:v>
                </c:pt>
                <c:pt idx="35">
                  <c:v>135.44993832607923</c:v>
                </c:pt>
                <c:pt idx="36">
                  <c:v>142.54278187311905</c:v>
                </c:pt>
                <c:pt idx="37">
                  <c:v>134.48819682817555</c:v>
                </c:pt>
                <c:pt idx="38">
                  <c:v>132.80514920684408</c:v>
                </c:pt>
                <c:pt idx="39">
                  <c:v>131.84340770894036</c:v>
                </c:pt>
                <c:pt idx="40">
                  <c:v>131.00188389827463</c:v>
                </c:pt>
                <c:pt idx="41">
                  <c:v>132.0838430834163</c:v>
                </c:pt>
                <c:pt idx="42">
                  <c:v>132.6849315196061</c:v>
                </c:pt>
                <c:pt idx="43">
                  <c:v>132.6849315196061</c:v>
                </c:pt>
                <c:pt idx="44">
                  <c:v>134.12754376646166</c:v>
                </c:pt>
                <c:pt idx="45">
                  <c:v>135.44993832607923</c:v>
                </c:pt>
                <c:pt idx="46">
                  <c:v>137.13298594741073</c:v>
                </c:pt>
                <c:pt idx="47">
                  <c:v>138.8160335687422</c:v>
                </c:pt>
                <c:pt idx="48">
                  <c:v>140.25864581559776</c:v>
                </c:pt>
                <c:pt idx="49">
                  <c:v>137.97450975807647</c:v>
                </c:pt>
                <c:pt idx="50">
                  <c:v>136.41167982398295</c:v>
                </c:pt>
                <c:pt idx="51">
                  <c:v>134.72863220265145</c:v>
                </c:pt>
                <c:pt idx="52">
                  <c:v>130.28057777484685</c:v>
                </c:pt>
                <c:pt idx="53">
                  <c:v>128.83796552799129</c:v>
                </c:pt>
                <c:pt idx="54">
                  <c:v>126.43361178323204</c:v>
                </c:pt>
                <c:pt idx="55">
                  <c:v>127.03470021942185</c:v>
                </c:pt>
                <c:pt idx="56">
                  <c:v>125.47187028532834</c:v>
                </c:pt>
                <c:pt idx="57">
                  <c:v>125.2314349108524</c:v>
                </c:pt>
              </c:numCache>
            </c:numRef>
          </c:xVal>
          <c:yVal>
            <c:numRef>
              <c:f>'Y от Х5'!$E$3:$E$60</c:f>
              <c:numCache>
                <c:formatCode>0.00</c:formatCode>
                <c:ptCount val="58"/>
                <c:pt idx="0">
                  <c:v>-7.403353257155203</c:v>
                </c:pt>
                <c:pt idx="1">
                  <c:v>-6.3111763847755782</c:v>
                </c:pt>
                <c:pt idx="2">
                  <c:v>-7.5633532571551996</c:v>
                </c:pt>
                <c:pt idx="3">
                  <c:v>-6.4611763847755697</c:v>
                </c:pt>
                <c:pt idx="4">
                  <c:v>-8.3755301295348374</c:v>
                </c:pt>
                <c:pt idx="5">
                  <c:v>-5.3733532571552018</c:v>
                </c:pt>
                <c:pt idx="6">
                  <c:v>-3.3555301295348414</c:v>
                </c:pt>
                <c:pt idx="7">
                  <c:v>-0.16770700191446508</c:v>
                </c:pt>
                <c:pt idx="8">
                  <c:v>1.940116125705913</c:v>
                </c:pt>
                <c:pt idx="9">
                  <c:v>3.8401161257059186</c:v>
                </c:pt>
                <c:pt idx="10">
                  <c:v>4.2801161257059164</c:v>
                </c:pt>
                <c:pt idx="11">
                  <c:v>5.1322929980855463</c:v>
                </c:pt>
                <c:pt idx="12">
                  <c:v>3.7522929980855366</c:v>
                </c:pt>
                <c:pt idx="13">
                  <c:v>2.4244698704651597</c:v>
                </c:pt>
                <c:pt idx="14">
                  <c:v>1.6666467428448044</c:v>
                </c:pt>
                <c:pt idx="15">
                  <c:v>-1.1655301295348295</c:v>
                </c:pt>
                <c:pt idx="16">
                  <c:v>-3.8298838742940831</c:v>
                </c:pt>
                <c:pt idx="17">
                  <c:v>-2.0655301295348352</c:v>
                </c:pt>
                <c:pt idx="18">
                  <c:v>-3.6377070019144639</c:v>
                </c:pt>
                <c:pt idx="19">
                  <c:v>-6.1720607466737221</c:v>
                </c:pt>
                <c:pt idx="20">
                  <c:v>-6.3420607466737238</c:v>
                </c:pt>
                <c:pt idx="21">
                  <c:v>-9.1364144914329728</c:v>
                </c:pt>
                <c:pt idx="22">
                  <c:v>-8.2642376190533469</c:v>
                </c:pt>
                <c:pt idx="23">
                  <c:v>16.541476700918849</c:v>
                </c:pt>
                <c:pt idx="24">
                  <c:v>-10.326414491432971</c:v>
                </c:pt>
                <c:pt idx="25">
                  <c:v>-6.7598838742940899</c:v>
                </c:pt>
                <c:pt idx="26">
                  <c:v>-5.6377070019144639</c:v>
                </c:pt>
                <c:pt idx="27">
                  <c:v>-3.8855301295348283</c:v>
                </c:pt>
                <c:pt idx="28">
                  <c:v>0.42446987046515972</c:v>
                </c:pt>
                <c:pt idx="29">
                  <c:v>5.4122929980855474</c:v>
                </c:pt>
                <c:pt idx="30">
                  <c:v>10.452292998085539</c:v>
                </c:pt>
                <c:pt idx="31">
                  <c:v>10.021408636187402</c:v>
                </c:pt>
                <c:pt idx="32">
                  <c:v>11.114878019048533</c:v>
                </c:pt>
                <c:pt idx="33">
                  <c:v>9.5683474019096195</c:v>
                </c:pt>
                <c:pt idx="34">
                  <c:v>4.6981161017253612</c:v>
                </c:pt>
                <c:pt idx="35">
                  <c:v>0.69006167392075213</c:v>
                </c:pt>
                <c:pt idx="36">
                  <c:v>-2.3927818731190484</c:v>
                </c:pt>
                <c:pt idx="37">
                  <c:v>5.6018031718244572</c:v>
                </c:pt>
                <c:pt idx="38">
                  <c:v>6.2948507931559163</c:v>
                </c:pt>
                <c:pt idx="39">
                  <c:v>5.6565922910596385</c:v>
                </c:pt>
                <c:pt idx="40">
                  <c:v>5.1181161017253771</c:v>
                </c:pt>
                <c:pt idx="41">
                  <c:v>3.1361569165837011</c:v>
                </c:pt>
                <c:pt idx="42">
                  <c:v>2.0450684803938941</c:v>
                </c:pt>
                <c:pt idx="43">
                  <c:v>1.7050684803938907</c:v>
                </c:pt>
                <c:pt idx="44">
                  <c:v>0.3824562335383348</c:v>
                </c:pt>
                <c:pt idx="45">
                  <c:v>-0.98993832607922627</c:v>
                </c:pt>
                <c:pt idx="46">
                  <c:v>-2.8629859474107207</c:v>
                </c:pt>
                <c:pt idx="47">
                  <c:v>-5.0860335687422094</c:v>
                </c:pt>
                <c:pt idx="48">
                  <c:v>-8.2486458155977687</c:v>
                </c:pt>
                <c:pt idx="49">
                  <c:v>-7.3845097580764616</c:v>
                </c:pt>
                <c:pt idx="50">
                  <c:v>-6.1316798239829495</c:v>
                </c:pt>
                <c:pt idx="51">
                  <c:v>-5.5686322026514574</c:v>
                </c:pt>
                <c:pt idx="52">
                  <c:v>-1.3405777748468495</c:v>
                </c:pt>
                <c:pt idx="53">
                  <c:v>0.46203447200872461</c:v>
                </c:pt>
                <c:pt idx="54">
                  <c:v>4.7863882167679606</c:v>
                </c:pt>
                <c:pt idx="55">
                  <c:v>5.4852997805781598</c:v>
                </c:pt>
                <c:pt idx="56">
                  <c:v>8.7781297146716639</c:v>
                </c:pt>
                <c:pt idx="57">
                  <c:v>10.828565089147602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D0-47B9-9B86-B83F472D2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52720"/>
        <c:axId val="408653264"/>
      </c:scatterChart>
      <c:valAx>
        <c:axId val="40865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53264"/>
        <c:crosses val="autoZero"/>
        <c:crossBetween val="midCat"/>
      </c:valAx>
      <c:valAx>
        <c:axId val="4086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5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Х5'!$J$4:$J$61</c:f>
              <c:numCache>
                <c:formatCode>0.00</c:formatCode>
                <c:ptCount val="58"/>
                <c:pt idx="0">
                  <c:v>-10.326414491432971</c:v>
                </c:pt>
                <c:pt idx="1">
                  <c:v>-9.1364144914329728</c:v>
                </c:pt>
                <c:pt idx="2">
                  <c:v>-8.3755301295348374</c:v>
                </c:pt>
                <c:pt idx="3">
                  <c:v>-8.2642376190533469</c:v>
                </c:pt>
                <c:pt idx="4">
                  <c:v>-8.2486458155977687</c:v>
                </c:pt>
                <c:pt idx="5">
                  <c:v>-7.5633532571551996</c:v>
                </c:pt>
                <c:pt idx="6">
                  <c:v>-7.403353257155203</c:v>
                </c:pt>
                <c:pt idx="7">
                  <c:v>-7.3845097580764616</c:v>
                </c:pt>
                <c:pt idx="8">
                  <c:v>-6.7598838742940899</c:v>
                </c:pt>
                <c:pt idx="9">
                  <c:v>-6.4611763847755697</c:v>
                </c:pt>
                <c:pt idx="10">
                  <c:v>-6.3420607466737238</c:v>
                </c:pt>
                <c:pt idx="11">
                  <c:v>-6.3111763847755782</c:v>
                </c:pt>
                <c:pt idx="12">
                  <c:v>-6.1720607466737221</c:v>
                </c:pt>
                <c:pt idx="13">
                  <c:v>-6.1316798239829495</c:v>
                </c:pt>
                <c:pt idx="14">
                  <c:v>-5.6377070019144639</c:v>
                </c:pt>
                <c:pt idx="15">
                  <c:v>-5.5686322026514574</c:v>
                </c:pt>
                <c:pt idx="16">
                  <c:v>-5.3733532571552018</c:v>
                </c:pt>
                <c:pt idx="17">
                  <c:v>-5.0860335687422094</c:v>
                </c:pt>
                <c:pt idx="18">
                  <c:v>-3.8855301295348283</c:v>
                </c:pt>
                <c:pt idx="19">
                  <c:v>-3.8298838742940831</c:v>
                </c:pt>
                <c:pt idx="20">
                  <c:v>-3.6377070019144639</c:v>
                </c:pt>
                <c:pt idx="21">
                  <c:v>-3.3555301295348414</c:v>
                </c:pt>
                <c:pt idx="22">
                  <c:v>-2.8629859474107207</c:v>
                </c:pt>
                <c:pt idx="23">
                  <c:v>-2.3927818731190484</c:v>
                </c:pt>
                <c:pt idx="24">
                  <c:v>-2.0655301295348352</c:v>
                </c:pt>
                <c:pt idx="25">
                  <c:v>-1.3405777748468495</c:v>
                </c:pt>
                <c:pt idx="26">
                  <c:v>-1.1655301295348295</c:v>
                </c:pt>
                <c:pt idx="27">
                  <c:v>-0.98993832607922627</c:v>
                </c:pt>
                <c:pt idx="28">
                  <c:v>-0.16770700191446508</c:v>
                </c:pt>
                <c:pt idx="29">
                  <c:v>0.3824562335383348</c:v>
                </c:pt>
                <c:pt idx="30">
                  <c:v>0.42446987046515972</c:v>
                </c:pt>
                <c:pt idx="31">
                  <c:v>0.46203447200872461</c:v>
                </c:pt>
                <c:pt idx="32">
                  <c:v>0.69006167392075213</c:v>
                </c:pt>
                <c:pt idx="33">
                  <c:v>1.6666467428448044</c:v>
                </c:pt>
                <c:pt idx="34">
                  <c:v>1.7050684803938907</c:v>
                </c:pt>
                <c:pt idx="35">
                  <c:v>1.940116125705913</c:v>
                </c:pt>
                <c:pt idx="36">
                  <c:v>2.0450684803938941</c:v>
                </c:pt>
                <c:pt idx="37">
                  <c:v>2.4244698704651597</c:v>
                </c:pt>
                <c:pt idx="38">
                  <c:v>3.1361569165837011</c:v>
                </c:pt>
                <c:pt idx="39">
                  <c:v>3.7522929980855366</c:v>
                </c:pt>
                <c:pt idx="40">
                  <c:v>3.8401161257059186</c:v>
                </c:pt>
                <c:pt idx="41">
                  <c:v>4.2801161257059164</c:v>
                </c:pt>
                <c:pt idx="42">
                  <c:v>4.6981161017253612</c:v>
                </c:pt>
                <c:pt idx="43">
                  <c:v>4.7863882167679606</c:v>
                </c:pt>
                <c:pt idx="44">
                  <c:v>5.1181161017253771</c:v>
                </c:pt>
                <c:pt idx="45">
                  <c:v>5.1322929980855463</c:v>
                </c:pt>
                <c:pt idx="46">
                  <c:v>5.4122929980855474</c:v>
                </c:pt>
                <c:pt idx="47">
                  <c:v>5.4852997805781598</c:v>
                </c:pt>
                <c:pt idx="48">
                  <c:v>5.6018031718244572</c:v>
                </c:pt>
                <c:pt idx="49">
                  <c:v>5.6565922910596385</c:v>
                </c:pt>
                <c:pt idx="50">
                  <c:v>6.2948507931559163</c:v>
                </c:pt>
                <c:pt idx="51">
                  <c:v>8.7781297146716639</c:v>
                </c:pt>
                <c:pt idx="52">
                  <c:v>9.5683474019096195</c:v>
                </c:pt>
                <c:pt idx="53">
                  <c:v>10.021408636187402</c:v>
                </c:pt>
                <c:pt idx="54">
                  <c:v>10.452292998085539</c:v>
                </c:pt>
                <c:pt idx="55">
                  <c:v>10.828565089147602</c:v>
                </c:pt>
                <c:pt idx="56">
                  <c:v>11.114878019048533</c:v>
                </c:pt>
                <c:pt idx="57">
                  <c:v>16.541476700918849</c:v>
                </c:pt>
              </c:numCache>
            </c:numRef>
          </c:xVal>
          <c:yVal>
            <c:numRef>
              <c:f>'Y от Х5'!$L$4:$L$61</c:f>
              <c:numCache>
                <c:formatCode>General</c:formatCode>
                <c:ptCount val="58"/>
                <c:pt idx="0">
                  <c:v>-2.1212793024540013</c:v>
                </c:pt>
                <c:pt idx="1">
                  <c:v>-1.8263562979439061</c:v>
                </c:pt>
                <c:pt idx="2">
                  <c:v>-1.6366916466733989</c:v>
                </c:pt>
                <c:pt idx="3">
                  <c:v>-1.492404178320359</c:v>
                </c:pt>
                <c:pt idx="4">
                  <c:v>-1.3738394673770855</c:v>
                </c:pt>
                <c:pt idx="5">
                  <c:v>-1.2719529676842081</c:v>
                </c:pt>
                <c:pt idx="6">
                  <c:v>-1.1817922703491182</c:v>
                </c:pt>
                <c:pt idx="7">
                  <c:v>-1.1003344194590818</c:v>
                </c:pt>
                <c:pt idx="8">
                  <c:v>-1.0255902911278738</c:v>
                </c:pt>
                <c:pt idx="9">
                  <c:v>-0.95617653892006238</c:v>
                </c:pt>
                <c:pt idx="10">
                  <c:v>-0.89108913003410894</c:v>
                </c:pt>
                <c:pt idx="11">
                  <c:v>-0.82957403698182763</c:v>
                </c:pt>
                <c:pt idx="12">
                  <c:v>-0.77104886863964417</c:v>
                </c:pt>
                <c:pt idx="13">
                  <c:v>-0.71505303754992222</c:v>
                </c:pt>
                <c:pt idx="14">
                  <c:v>-0.66121479220131485</c:v>
                </c:pt>
                <c:pt idx="15">
                  <c:v>-0.60922866701399825</c:v>
                </c:pt>
                <c:pt idx="16">
                  <c:v>-0.55883961079677569</c:v>
                </c:pt>
                <c:pt idx="17">
                  <c:v>-0.50983153383249025</c:v>
                </c:pt>
                <c:pt idx="18">
                  <c:v>-0.46201885864912079</c:v>
                </c:pt>
                <c:pt idx="19">
                  <c:v>-0.4152401608260714</c:v>
                </c:pt>
                <c:pt idx="20">
                  <c:v>-0.36935329360674307</c:v>
                </c:pt>
                <c:pt idx="21">
                  <c:v>-0.32423158413730258</c:v>
                </c:pt>
                <c:pt idx="22">
                  <c:v>-0.27976081477122972</c:v>
                </c:pt>
                <c:pt idx="23">
                  <c:v>-0.23583678601109134</c:v>
                </c:pt>
                <c:pt idx="24">
                  <c:v>-0.19236331372250978</c:v>
                </c:pt>
                <c:pt idx="25">
                  <c:v>-0.14925055165580312</c:v>
                </c:pt>
                <c:pt idx="26">
                  <c:v>-0.1064135569156504</c:v>
                </c:pt>
                <c:pt idx="27">
                  <c:v>-6.377103455763064E-2</c:v>
                </c:pt>
                <c:pt idx="28">
                  <c:v>-2.1244210365719055E-2</c:v>
                </c:pt>
                <c:pt idx="29">
                  <c:v>2.1244210365719055E-2</c:v>
                </c:pt>
                <c:pt idx="30">
                  <c:v>6.3771034557630793E-2</c:v>
                </c:pt>
                <c:pt idx="31">
                  <c:v>0.1064135569156504</c:v>
                </c:pt>
                <c:pt idx="32">
                  <c:v>0.14925055165580298</c:v>
                </c:pt>
                <c:pt idx="33">
                  <c:v>0.19236331372250978</c:v>
                </c:pt>
                <c:pt idx="34">
                  <c:v>0.23583678601109134</c:v>
                </c:pt>
                <c:pt idx="35">
                  <c:v>0.27976081477122983</c:v>
                </c:pt>
                <c:pt idx="36">
                  <c:v>0.32423158413730258</c:v>
                </c:pt>
                <c:pt idx="37">
                  <c:v>0.36935329360674291</c:v>
                </c:pt>
                <c:pt idx="38">
                  <c:v>0.4152401608260714</c:v>
                </c:pt>
                <c:pt idx="39">
                  <c:v>0.46201885864912062</c:v>
                </c:pt>
                <c:pt idx="40">
                  <c:v>0.50983153383249047</c:v>
                </c:pt>
                <c:pt idx="41">
                  <c:v>0.55883961079677569</c:v>
                </c:pt>
                <c:pt idx="42">
                  <c:v>0.60922866701399803</c:v>
                </c:pt>
                <c:pt idx="43">
                  <c:v>0.66121479220131485</c:v>
                </c:pt>
                <c:pt idx="44">
                  <c:v>0.71505303754992222</c:v>
                </c:pt>
                <c:pt idx="45">
                  <c:v>0.77104886863964417</c:v>
                </c:pt>
                <c:pt idx="46">
                  <c:v>0.82957403698182763</c:v>
                </c:pt>
                <c:pt idx="47">
                  <c:v>0.89108913003410994</c:v>
                </c:pt>
                <c:pt idx="48">
                  <c:v>0.95617653892006238</c:v>
                </c:pt>
                <c:pt idx="49">
                  <c:v>1.0255902911278738</c:v>
                </c:pt>
                <c:pt idx="50">
                  <c:v>1.1003344194590818</c:v>
                </c:pt>
                <c:pt idx="51">
                  <c:v>1.1817922703491182</c:v>
                </c:pt>
                <c:pt idx="52">
                  <c:v>1.2719529676842083</c:v>
                </c:pt>
                <c:pt idx="53">
                  <c:v>1.3738394673770855</c:v>
                </c:pt>
                <c:pt idx="54">
                  <c:v>1.4924041783203592</c:v>
                </c:pt>
                <c:pt idx="55">
                  <c:v>1.6366916466733989</c:v>
                </c:pt>
                <c:pt idx="56">
                  <c:v>1.8263562979439059</c:v>
                </c:pt>
                <c:pt idx="57">
                  <c:v>2.1212793024540031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CA-46A4-9BF2-63B21182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48368"/>
        <c:axId val="408678832"/>
      </c:scatterChart>
      <c:valAx>
        <c:axId val="40864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8832"/>
        <c:crosses val="autoZero"/>
        <c:crossBetween val="midCat"/>
      </c:valAx>
      <c:valAx>
        <c:axId val="4086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4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effectLst/>
              </a:rPr>
              <a:t>Линия регрессии на поле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75503062117235E-3"/>
                  <c:y val="-4.12007874015748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Х4'!$C$3:$C$60</c:f>
              <c:numCache>
                <c:formatCode>0.00</c:formatCode>
                <c:ptCount val="58"/>
                <c:pt idx="0">
                  <c:v>2710.03</c:v>
                </c:pt>
                <c:pt idx="1">
                  <c:v>2802.63</c:v>
                </c:pt>
                <c:pt idx="2">
                  <c:v>2739.21</c:v>
                </c:pt>
                <c:pt idx="3">
                  <c:v>3487.76</c:v>
                </c:pt>
                <c:pt idx="4">
                  <c:v>2649.2</c:v>
                </c:pt>
                <c:pt idx="5">
                  <c:v>2645.58</c:v>
                </c:pt>
                <c:pt idx="6">
                  <c:v>3077.61</c:v>
                </c:pt>
                <c:pt idx="7">
                  <c:v>3099.03</c:v>
                </c:pt>
                <c:pt idx="8">
                  <c:v>3279.89</c:v>
                </c:pt>
                <c:pt idx="9">
                  <c:v>3087.95</c:v>
                </c:pt>
                <c:pt idx="10">
                  <c:v>3004.93</c:v>
                </c:pt>
                <c:pt idx="11">
                  <c:v>2833.66</c:v>
                </c:pt>
                <c:pt idx="12">
                  <c:v>3534.59</c:v>
                </c:pt>
                <c:pt idx="13">
                  <c:v>3518.38</c:v>
                </c:pt>
                <c:pt idx="14">
                  <c:v>3585.83</c:v>
                </c:pt>
                <c:pt idx="15">
                  <c:v>3185.23</c:v>
                </c:pt>
                <c:pt idx="16">
                  <c:v>3405.33</c:v>
                </c:pt>
                <c:pt idx="17">
                  <c:v>3370.77</c:v>
                </c:pt>
                <c:pt idx="18">
                  <c:v>3789.67</c:v>
                </c:pt>
                <c:pt idx="19">
                  <c:v>3843.62</c:v>
                </c:pt>
                <c:pt idx="20" formatCode="General">
                  <c:v>3837</c:v>
                </c:pt>
                <c:pt idx="21">
                  <c:v>3673.56</c:v>
                </c:pt>
                <c:pt idx="22">
                  <c:v>3495.5</c:v>
                </c:pt>
                <c:pt idx="23">
                  <c:v>3518.73</c:v>
                </c:pt>
                <c:pt idx="24">
                  <c:v>3664.96</c:v>
                </c:pt>
                <c:pt idx="25">
                  <c:v>3675.08</c:v>
                </c:pt>
                <c:pt idx="26">
                  <c:v>3610.9</c:v>
                </c:pt>
                <c:pt idx="27">
                  <c:v>3918.14</c:v>
                </c:pt>
                <c:pt idx="28">
                  <c:v>3896.81</c:v>
                </c:pt>
                <c:pt idx="29">
                  <c:v>3995.53</c:v>
                </c:pt>
                <c:pt idx="30">
                  <c:v>4005.55</c:v>
                </c:pt>
                <c:pt idx="31">
                  <c:v>4088.28</c:v>
                </c:pt>
                <c:pt idx="32">
                  <c:v>3942.97</c:v>
                </c:pt>
                <c:pt idx="33">
                  <c:v>3667.51</c:v>
                </c:pt>
                <c:pt idx="34">
                  <c:v>3931.27</c:v>
                </c:pt>
                <c:pt idx="35">
                  <c:v>3877.77</c:v>
                </c:pt>
                <c:pt idx="36">
                  <c:v>3963.93</c:v>
                </c:pt>
                <c:pt idx="37">
                  <c:v>4197.93</c:v>
                </c:pt>
                <c:pt idx="38">
                  <c:v>4405.04</c:v>
                </c:pt>
                <c:pt idx="39">
                  <c:v>4407.75</c:v>
                </c:pt>
                <c:pt idx="40">
                  <c:v>4450.25</c:v>
                </c:pt>
                <c:pt idx="41">
                  <c:v>4434.34</c:v>
                </c:pt>
                <c:pt idx="42">
                  <c:v>4768.6099999999997</c:v>
                </c:pt>
                <c:pt idx="43">
                  <c:v>4761.05</c:v>
                </c:pt>
                <c:pt idx="44">
                  <c:v>4728.13</c:v>
                </c:pt>
                <c:pt idx="45">
                  <c:v>4789.46</c:v>
                </c:pt>
                <c:pt idx="46">
                  <c:v>4849.1000000000004</c:v>
                </c:pt>
                <c:pt idx="47">
                  <c:v>4694.05</c:v>
                </c:pt>
                <c:pt idx="48">
                  <c:v>4493.75</c:v>
                </c:pt>
                <c:pt idx="49">
                  <c:v>4625.6400000000003</c:v>
                </c:pt>
                <c:pt idx="50">
                  <c:v>4615.66</c:v>
                </c:pt>
                <c:pt idx="51">
                  <c:v>4951.17</c:v>
                </c:pt>
                <c:pt idx="52">
                  <c:v>4934.33</c:v>
                </c:pt>
                <c:pt idx="53">
                  <c:v>5018.21</c:v>
                </c:pt>
                <c:pt idx="54">
                  <c:v>5337.03</c:v>
                </c:pt>
                <c:pt idx="55">
                  <c:v>4828.42</c:v>
                </c:pt>
                <c:pt idx="56">
                  <c:v>4839.95</c:v>
                </c:pt>
                <c:pt idx="57">
                  <c:v>4872.42</c:v>
                </c:pt>
              </c:numCache>
            </c:numRef>
          </c:xVal>
          <c:yVal>
            <c:numRef>
              <c:f>'Y от Х4'!$B$3:$B$60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0E-48DF-B784-6C0376A5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73936"/>
        <c:axId val="408664144"/>
      </c:scatterChart>
      <c:valAx>
        <c:axId val="40867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4144"/>
        <c:crosses val="autoZero"/>
        <c:crossBetween val="midCat"/>
      </c:valAx>
      <c:valAx>
        <c:axId val="40866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 от Х4'!$D$3:$D$60</c:f>
              <c:numCache>
                <c:formatCode>General</c:formatCode>
                <c:ptCount val="58"/>
                <c:pt idx="0">
                  <c:v>103.71536246371005</c:v>
                </c:pt>
                <c:pt idx="1">
                  <c:v>105.03068172332509</c:v>
                </c:pt>
                <c:pt idx="2">
                  <c:v>104.12984427791704</c:v>
                </c:pt>
                <c:pt idx="3">
                  <c:v>114.76248177019383</c:v>
                </c:pt>
                <c:pt idx="4">
                  <c:v>102.85131418549858</c:v>
                </c:pt>
                <c:pt idx="5">
                  <c:v>102.79989457729333</c:v>
                </c:pt>
                <c:pt idx="6">
                  <c:v>108.93658334329206</c:v>
                </c:pt>
                <c:pt idx="7">
                  <c:v>109.2408396990259</c:v>
                </c:pt>
                <c:pt idx="8">
                  <c:v>111.80983150565629</c:v>
                </c:pt>
                <c:pt idx="9">
                  <c:v>109.08345592584519</c:v>
                </c:pt>
                <c:pt idx="10">
                  <c:v>107.9042139719225</c:v>
                </c:pt>
                <c:pt idx="11">
                  <c:v>105.47144151410106</c:v>
                </c:pt>
                <c:pt idx="12">
                  <c:v>115.42766968518058</c:v>
                </c:pt>
                <c:pt idx="13">
                  <c:v>115.19741779318964</c:v>
                </c:pt>
                <c:pt idx="14">
                  <c:v>116.1554986145831</c:v>
                </c:pt>
                <c:pt idx="15">
                  <c:v>110.46525136402391</c:v>
                </c:pt>
                <c:pt idx="16">
                  <c:v>113.5916203601499</c:v>
                </c:pt>
                <c:pt idx="17">
                  <c:v>113.100719349218</c:v>
                </c:pt>
                <c:pt idx="18">
                  <c:v>119.05090550313523</c:v>
                </c:pt>
                <c:pt idx="19">
                  <c:v>119.8172281171334</c:v>
                </c:pt>
                <c:pt idx="20">
                  <c:v>119.72319557395141</c:v>
                </c:pt>
                <c:pt idx="21">
                  <c:v>117.40164287641923</c:v>
                </c:pt>
                <c:pt idx="22">
                  <c:v>114.8724231424338</c:v>
                </c:pt>
                <c:pt idx="23">
                  <c:v>115.20238930227026</c:v>
                </c:pt>
                <c:pt idx="24">
                  <c:v>117.27948579615261</c:v>
                </c:pt>
                <c:pt idx="25">
                  <c:v>117.42323343014078</c:v>
                </c:pt>
                <c:pt idx="26">
                  <c:v>116.51160070787196</c:v>
                </c:pt>
                <c:pt idx="27">
                  <c:v>120.87573342195535</c:v>
                </c:pt>
                <c:pt idx="28">
                  <c:v>120.5727554542708</c:v>
                </c:pt>
                <c:pt idx="29">
                  <c:v>121.97500510123837</c:v>
                </c:pt>
                <c:pt idx="30">
                  <c:v>122.11733230406065</c:v>
                </c:pt>
                <c:pt idx="31">
                  <c:v>123.29245500760223</c:v>
                </c:pt>
                <c:pt idx="32">
                  <c:v>121.22842648044607</c:v>
                </c:pt>
                <c:pt idx="33">
                  <c:v>117.31570679088284</c:v>
                </c:pt>
                <c:pt idx="34">
                  <c:v>121.06223603403683</c:v>
                </c:pt>
                <c:pt idx="35">
                  <c:v>120.30230536028517</c:v>
                </c:pt>
                <c:pt idx="36">
                  <c:v>121.52614885281682</c:v>
                </c:pt>
                <c:pt idx="37">
                  <c:v>124.84995778100168</c:v>
                </c:pt>
                <c:pt idx="38">
                  <c:v>127.79181276867844</c:v>
                </c:pt>
                <c:pt idx="39">
                  <c:v>127.83030645327409</c:v>
                </c:pt>
                <c:pt idx="40">
                  <c:v>128.43398969877774</c:v>
                </c:pt>
                <c:pt idx="41">
                  <c:v>128.2079991002845</c:v>
                </c:pt>
                <c:pt idx="42">
                  <c:v>132.9560743585082</c:v>
                </c:pt>
                <c:pt idx="43">
                  <c:v>132.84868976236686</c:v>
                </c:pt>
                <c:pt idx="44">
                  <c:v>132.38108382255555</c:v>
                </c:pt>
                <c:pt idx="45">
                  <c:v>133.25223425659647</c:v>
                </c:pt>
                <c:pt idx="46">
                  <c:v>134.09937940393385</c:v>
                </c:pt>
                <c:pt idx="47">
                  <c:v>131.89700088121992</c:v>
                </c:pt>
                <c:pt idx="48">
                  <c:v>129.05187725594033</c:v>
                </c:pt>
                <c:pt idx="49">
                  <c:v>130.92528392063389</c:v>
                </c:pt>
                <c:pt idx="50">
                  <c:v>130.78352489027799</c:v>
                </c:pt>
                <c:pt idx="51">
                  <c:v>135.54921349495874</c:v>
                </c:pt>
                <c:pt idx="52">
                  <c:v>135.3100128866227</c:v>
                </c:pt>
                <c:pt idx="53">
                  <c:v>136.50147054857206</c:v>
                </c:pt>
                <c:pt idx="54">
                  <c:v>141.03008919166561</c:v>
                </c:pt>
                <c:pt idx="55">
                  <c:v>133.80563423882759</c:v>
                </c:pt>
                <c:pt idx="56">
                  <c:v>133.96940995225481</c:v>
                </c:pt>
                <c:pt idx="57">
                  <c:v>134.4306239518196</c:v>
                </c:pt>
              </c:numCache>
            </c:numRef>
          </c:xVal>
          <c:yVal>
            <c:numRef>
              <c:f>'Y от Х4'!$E$3:$E$60</c:f>
              <c:numCache>
                <c:formatCode>0.00</c:formatCode>
                <c:ptCount val="58"/>
                <c:pt idx="0">
                  <c:v>-1.3953624637100575</c:v>
                </c:pt>
                <c:pt idx="1">
                  <c:v>-2.8206817233250945</c:v>
                </c:pt>
                <c:pt idx="2">
                  <c:v>-1.9698442779170477</c:v>
                </c:pt>
                <c:pt idx="3">
                  <c:v>-12.702481770193828</c:v>
                </c:pt>
                <c:pt idx="4">
                  <c:v>-0.30131418549858324</c:v>
                </c:pt>
                <c:pt idx="5">
                  <c:v>1.5501054227066646</c:v>
                </c:pt>
                <c:pt idx="6">
                  <c:v>-1.3665833432920635</c:v>
                </c:pt>
                <c:pt idx="7">
                  <c:v>2.7191603009740959</c:v>
                </c:pt>
                <c:pt idx="8">
                  <c:v>3.460168494343705</c:v>
                </c:pt>
                <c:pt idx="9">
                  <c:v>8.0865440741548156</c:v>
                </c:pt>
                <c:pt idx="10">
                  <c:v>9.7057860280774975</c:v>
                </c:pt>
                <c:pt idx="11">
                  <c:v>11.788558485898946</c:v>
                </c:pt>
                <c:pt idx="12">
                  <c:v>0.45233031481942021</c:v>
                </c:pt>
                <c:pt idx="13">
                  <c:v>-1.8474177931896492</c:v>
                </c:pt>
                <c:pt idx="14">
                  <c:v>-4.7654986145830946</c:v>
                </c:pt>
                <c:pt idx="15">
                  <c:v>-0.70525136402390842</c:v>
                </c:pt>
                <c:pt idx="16">
                  <c:v>-4.0916203601499035</c:v>
                </c:pt>
                <c:pt idx="17">
                  <c:v>-4.2407193492179971</c:v>
                </c:pt>
                <c:pt idx="18">
                  <c:v>-10.560905503135231</c:v>
                </c:pt>
                <c:pt idx="19">
                  <c:v>-11.457228117133397</c:v>
                </c:pt>
                <c:pt idx="20">
                  <c:v>-11.533195573951417</c:v>
                </c:pt>
                <c:pt idx="21">
                  <c:v>-9.6016428764192341</c:v>
                </c:pt>
                <c:pt idx="22">
                  <c:v>-7.4024231424338041</c:v>
                </c:pt>
                <c:pt idx="23">
                  <c:v>-8.1723893022702612</c:v>
                </c:pt>
                <c:pt idx="24">
                  <c:v>-10.669485796152614</c:v>
                </c:pt>
                <c:pt idx="25">
                  <c:v>-10.85323343014079</c:v>
                </c:pt>
                <c:pt idx="26">
                  <c:v>-10.021600707871968</c:v>
                </c:pt>
                <c:pt idx="27">
                  <c:v>-13.835733421955339</c:v>
                </c:pt>
                <c:pt idx="28">
                  <c:v>-9.2227554542708106</c:v>
                </c:pt>
                <c:pt idx="29">
                  <c:v>-4.4350051012383602</c:v>
                </c:pt>
                <c:pt idx="30">
                  <c:v>0.46266769593934498</c:v>
                </c:pt>
                <c:pt idx="31">
                  <c:v>4.8675449923977681</c:v>
                </c:pt>
                <c:pt idx="32">
                  <c:v>11.631573519553939</c:v>
                </c:pt>
                <c:pt idx="33">
                  <c:v>17.604293209117145</c:v>
                </c:pt>
                <c:pt idx="34">
                  <c:v>14.63776396596316</c:v>
                </c:pt>
                <c:pt idx="35">
                  <c:v>15.837694639714812</c:v>
                </c:pt>
                <c:pt idx="36">
                  <c:v>18.623851147183188</c:v>
                </c:pt>
                <c:pt idx="37">
                  <c:v>15.240042218998326</c:v>
                </c:pt>
                <c:pt idx="38">
                  <c:v>11.308187231321554</c:v>
                </c:pt>
                <c:pt idx="39">
                  <c:v>9.6696935467259095</c:v>
                </c:pt>
                <c:pt idx="40">
                  <c:v>7.686010301222268</c:v>
                </c:pt>
                <c:pt idx="41">
                  <c:v>7.0120008997155026</c:v>
                </c:pt>
                <c:pt idx="42">
                  <c:v>1.7739256414917861</c:v>
                </c:pt>
                <c:pt idx="43">
                  <c:v>1.5413102376331267</c:v>
                </c:pt>
                <c:pt idx="44">
                  <c:v>2.1289161774444381</c:v>
                </c:pt>
                <c:pt idx="45">
                  <c:v>1.2077657434035416</c:v>
                </c:pt>
                <c:pt idx="46">
                  <c:v>0.17062059606615776</c:v>
                </c:pt>
                <c:pt idx="47">
                  <c:v>1.8329991187800658</c:v>
                </c:pt>
                <c:pt idx="48">
                  <c:v>2.9581227440596649</c:v>
                </c:pt>
                <c:pt idx="49">
                  <c:v>-0.33528392063388424</c:v>
                </c:pt>
                <c:pt idx="50">
                  <c:v>-0.50352489027798697</c:v>
                </c:pt>
                <c:pt idx="51">
                  <c:v>-6.3892134949587387</c:v>
                </c:pt>
                <c:pt idx="52">
                  <c:v>-6.3700128866227033</c:v>
                </c:pt>
                <c:pt idx="53">
                  <c:v>-7.2014705485720469</c:v>
                </c:pt>
                <c:pt idx="54">
                  <c:v>-9.810089191665611</c:v>
                </c:pt>
                <c:pt idx="55">
                  <c:v>-1.2856342388275834</c:v>
                </c:pt>
                <c:pt idx="56">
                  <c:v>0.28059004774519281</c:v>
                </c:pt>
                <c:pt idx="57">
                  <c:v>1.6293760481804043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EE-4716-B9ED-BDEF70DDB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79376"/>
        <c:axId val="408665232"/>
      </c:scatterChart>
      <c:valAx>
        <c:axId val="40867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5232"/>
        <c:crosses val="autoZero"/>
        <c:crossBetween val="midCat"/>
      </c:valAx>
      <c:valAx>
        <c:axId val="4086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9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Х4'!$J$4:$J$61</c:f>
              <c:numCache>
                <c:formatCode>0.00</c:formatCode>
                <c:ptCount val="58"/>
                <c:pt idx="0">
                  <c:v>-13.835733421955339</c:v>
                </c:pt>
                <c:pt idx="1">
                  <c:v>-12.702481770193828</c:v>
                </c:pt>
                <c:pt idx="2">
                  <c:v>-11.533195573951417</c:v>
                </c:pt>
                <c:pt idx="3">
                  <c:v>-11.457228117133397</c:v>
                </c:pt>
                <c:pt idx="4">
                  <c:v>-10.85323343014079</c:v>
                </c:pt>
                <c:pt idx="5">
                  <c:v>-10.669485796152614</c:v>
                </c:pt>
                <c:pt idx="6">
                  <c:v>-10.560905503135231</c:v>
                </c:pt>
                <c:pt idx="7">
                  <c:v>-10.021600707871968</c:v>
                </c:pt>
                <c:pt idx="8">
                  <c:v>-9.810089191665611</c:v>
                </c:pt>
                <c:pt idx="9">
                  <c:v>-9.6016428764192341</c:v>
                </c:pt>
                <c:pt idx="10">
                  <c:v>-9.2227554542708106</c:v>
                </c:pt>
                <c:pt idx="11">
                  <c:v>-8.1723893022702612</c:v>
                </c:pt>
                <c:pt idx="12">
                  <c:v>-7.4024231424338041</c:v>
                </c:pt>
                <c:pt idx="13">
                  <c:v>-7.2014705485720469</c:v>
                </c:pt>
                <c:pt idx="14">
                  <c:v>-6.3892134949587387</c:v>
                </c:pt>
                <c:pt idx="15">
                  <c:v>-6.3700128866227033</c:v>
                </c:pt>
                <c:pt idx="16">
                  <c:v>-4.7654986145830946</c:v>
                </c:pt>
                <c:pt idx="17">
                  <c:v>-4.4350051012383602</c:v>
                </c:pt>
                <c:pt idx="18">
                  <c:v>-4.2407193492179971</c:v>
                </c:pt>
                <c:pt idx="19">
                  <c:v>-4.0916203601499035</c:v>
                </c:pt>
                <c:pt idx="20">
                  <c:v>-2.8206817233250945</c:v>
                </c:pt>
                <c:pt idx="21">
                  <c:v>-1.9698442779170477</c:v>
                </c:pt>
                <c:pt idx="22">
                  <c:v>-1.8474177931896492</c:v>
                </c:pt>
                <c:pt idx="23">
                  <c:v>-1.3953624637100575</c:v>
                </c:pt>
                <c:pt idx="24">
                  <c:v>-1.3665833432920635</c:v>
                </c:pt>
                <c:pt idx="25">
                  <c:v>-1.2856342388275834</c:v>
                </c:pt>
                <c:pt idx="26">
                  <c:v>-0.70525136402390842</c:v>
                </c:pt>
                <c:pt idx="27">
                  <c:v>-0.50352489027798697</c:v>
                </c:pt>
                <c:pt idx="28">
                  <c:v>-0.33528392063388424</c:v>
                </c:pt>
                <c:pt idx="29">
                  <c:v>-0.30131418549858324</c:v>
                </c:pt>
                <c:pt idx="30">
                  <c:v>0.17062059606615776</c:v>
                </c:pt>
                <c:pt idx="31">
                  <c:v>0.28059004774519281</c:v>
                </c:pt>
                <c:pt idx="32">
                  <c:v>0.45233031481942021</c:v>
                </c:pt>
                <c:pt idx="33">
                  <c:v>0.46266769593934498</c:v>
                </c:pt>
                <c:pt idx="34">
                  <c:v>1.2077657434035416</c:v>
                </c:pt>
                <c:pt idx="35">
                  <c:v>1.5413102376331267</c:v>
                </c:pt>
                <c:pt idx="36">
                  <c:v>1.5501054227066646</c:v>
                </c:pt>
                <c:pt idx="37">
                  <c:v>1.6293760481804043</c:v>
                </c:pt>
                <c:pt idx="38">
                  <c:v>1.7739256414917861</c:v>
                </c:pt>
                <c:pt idx="39">
                  <c:v>1.8329991187800658</c:v>
                </c:pt>
                <c:pt idx="40">
                  <c:v>2.1289161774444381</c:v>
                </c:pt>
                <c:pt idx="41">
                  <c:v>2.7191603009740959</c:v>
                </c:pt>
                <c:pt idx="42">
                  <c:v>2.9581227440596649</c:v>
                </c:pt>
                <c:pt idx="43">
                  <c:v>3.460168494343705</c:v>
                </c:pt>
                <c:pt idx="44">
                  <c:v>4.8675449923977681</c:v>
                </c:pt>
                <c:pt idx="45">
                  <c:v>7.0120008997155026</c:v>
                </c:pt>
                <c:pt idx="46">
                  <c:v>7.686010301222268</c:v>
                </c:pt>
                <c:pt idx="47">
                  <c:v>8.0865440741548156</c:v>
                </c:pt>
                <c:pt idx="48">
                  <c:v>9.6696935467259095</c:v>
                </c:pt>
                <c:pt idx="49">
                  <c:v>9.7057860280774975</c:v>
                </c:pt>
                <c:pt idx="50">
                  <c:v>11.308187231321554</c:v>
                </c:pt>
                <c:pt idx="51">
                  <c:v>11.631573519553939</c:v>
                </c:pt>
                <c:pt idx="52">
                  <c:v>11.788558485898946</c:v>
                </c:pt>
                <c:pt idx="53">
                  <c:v>14.63776396596316</c:v>
                </c:pt>
                <c:pt idx="54">
                  <c:v>15.240042218998326</c:v>
                </c:pt>
                <c:pt idx="55">
                  <c:v>15.837694639714812</c:v>
                </c:pt>
                <c:pt idx="56">
                  <c:v>17.604293209117145</c:v>
                </c:pt>
                <c:pt idx="57">
                  <c:v>18.623851147183188</c:v>
                </c:pt>
              </c:numCache>
            </c:numRef>
          </c:xVal>
          <c:yVal>
            <c:numRef>
              <c:f>'Y от Х4'!$L$4:$L$61</c:f>
              <c:numCache>
                <c:formatCode>General</c:formatCode>
                <c:ptCount val="58"/>
                <c:pt idx="0">
                  <c:v>-2.1212793024540013</c:v>
                </c:pt>
                <c:pt idx="1">
                  <c:v>-1.8263562979439061</c:v>
                </c:pt>
                <c:pt idx="2">
                  <c:v>-1.6366916466733989</c:v>
                </c:pt>
                <c:pt idx="3">
                  <c:v>-1.492404178320359</c:v>
                </c:pt>
                <c:pt idx="4">
                  <c:v>-1.3738394673770855</c:v>
                </c:pt>
                <c:pt idx="5">
                  <c:v>-1.2719529676842081</c:v>
                </c:pt>
                <c:pt idx="6">
                  <c:v>-1.1817922703491182</c:v>
                </c:pt>
                <c:pt idx="7">
                  <c:v>-1.1003344194590818</c:v>
                </c:pt>
                <c:pt idx="8">
                  <c:v>-1.0255902911278738</c:v>
                </c:pt>
                <c:pt idx="9">
                  <c:v>-0.95617653892006238</c:v>
                </c:pt>
                <c:pt idx="10">
                  <c:v>-0.89108913003410894</c:v>
                </c:pt>
                <c:pt idx="11">
                  <c:v>-0.82957403698182763</c:v>
                </c:pt>
                <c:pt idx="12">
                  <c:v>-0.77104886863964417</c:v>
                </c:pt>
                <c:pt idx="13">
                  <c:v>-0.71505303754992222</c:v>
                </c:pt>
                <c:pt idx="14">
                  <c:v>-0.66121479220131485</c:v>
                </c:pt>
                <c:pt idx="15">
                  <c:v>-0.60922866701399825</c:v>
                </c:pt>
                <c:pt idx="16">
                  <c:v>-0.55883961079677569</c:v>
                </c:pt>
                <c:pt idx="17">
                  <c:v>-0.50983153383249025</c:v>
                </c:pt>
                <c:pt idx="18">
                  <c:v>-0.46201885864912079</c:v>
                </c:pt>
                <c:pt idx="19">
                  <c:v>-0.4152401608260714</c:v>
                </c:pt>
                <c:pt idx="20">
                  <c:v>-0.36935329360674307</c:v>
                </c:pt>
                <c:pt idx="21">
                  <c:v>-0.32423158413730258</c:v>
                </c:pt>
                <c:pt idx="22">
                  <c:v>-0.27976081477122972</c:v>
                </c:pt>
                <c:pt idx="23">
                  <c:v>-0.23583678601109134</c:v>
                </c:pt>
                <c:pt idx="24">
                  <c:v>-0.19236331372250978</c:v>
                </c:pt>
                <c:pt idx="25">
                  <c:v>-0.14925055165580312</c:v>
                </c:pt>
                <c:pt idx="26">
                  <c:v>-0.1064135569156504</c:v>
                </c:pt>
                <c:pt idx="27">
                  <c:v>-6.377103455763064E-2</c:v>
                </c:pt>
                <c:pt idx="28">
                  <c:v>-2.1244210365719055E-2</c:v>
                </c:pt>
                <c:pt idx="29">
                  <c:v>2.1244210365719055E-2</c:v>
                </c:pt>
                <c:pt idx="30">
                  <c:v>6.3771034557630793E-2</c:v>
                </c:pt>
                <c:pt idx="31">
                  <c:v>0.1064135569156504</c:v>
                </c:pt>
                <c:pt idx="32">
                  <c:v>0.14925055165580298</c:v>
                </c:pt>
                <c:pt idx="33">
                  <c:v>0.19236331372250978</c:v>
                </c:pt>
                <c:pt idx="34">
                  <c:v>0.23583678601109134</c:v>
                </c:pt>
                <c:pt idx="35">
                  <c:v>0.27976081477122983</c:v>
                </c:pt>
                <c:pt idx="36">
                  <c:v>0.32423158413730258</c:v>
                </c:pt>
                <c:pt idx="37">
                  <c:v>0.36935329360674291</c:v>
                </c:pt>
                <c:pt idx="38">
                  <c:v>0.4152401608260714</c:v>
                </c:pt>
                <c:pt idx="39">
                  <c:v>0.46201885864912062</c:v>
                </c:pt>
                <c:pt idx="40">
                  <c:v>0.50983153383249047</c:v>
                </c:pt>
                <c:pt idx="41">
                  <c:v>0.55883961079677569</c:v>
                </c:pt>
                <c:pt idx="42">
                  <c:v>0.60922866701399803</c:v>
                </c:pt>
                <c:pt idx="43">
                  <c:v>0.66121479220131485</c:v>
                </c:pt>
                <c:pt idx="44">
                  <c:v>0.71505303754992222</c:v>
                </c:pt>
                <c:pt idx="45">
                  <c:v>0.77104886863964417</c:v>
                </c:pt>
                <c:pt idx="46">
                  <c:v>0.82957403698182763</c:v>
                </c:pt>
                <c:pt idx="47">
                  <c:v>0.89108913003410994</c:v>
                </c:pt>
                <c:pt idx="48">
                  <c:v>0.95617653892006238</c:v>
                </c:pt>
                <c:pt idx="49">
                  <c:v>1.0255902911278738</c:v>
                </c:pt>
                <c:pt idx="50">
                  <c:v>1.1003344194590818</c:v>
                </c:pt>
                <c:pt idx="51">
                  <c:v>1.1817922703491182</c:v>
                </c:pt>
                <c:pt idx="52">
                  <c:v>1.2719529676842083</c:v>
                </c:pt>
                <c:pt idx="53">
                  <c:v>1.3738394673770855</c:v>
                </c:pt>
                <c:pt idx="54">
                  <c:v>1.4924041783203592</c:v>
                </c:pt>
                <c:pt idx="55">
                  <c:v>1.6366916466733989</c:v>
                </c:pt>
                <c:pt idx="56">
                  <c:v>1.8263562979439059</c:v>
                </c:pt>
                <c:pt idx="57">
                  <c:v>2.1212793024540031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40-4E2E-A2EF-F4A2ADCF9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74480"/>
        <c:axId val="408668496"/>
      </c:scatterChart>
      <c:valAx>
        <c:axId val="40867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8496"/>
        <c:crosses val="autoZero"/>
        <c:crossBetween val="midCat"/>
      </c:valAx>
      <c:valAx>
        <c:axId val="40866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effectLst/>
              </a:rPr>
              <a:t>Линия регрессии на поле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75503062117235E-3"/>
                  <c:y val="-4.12007874015748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Х3'!$C$3:$C$60</c:f>
              <c:numCache>
                <c:formatCode>General</c:formatCode>
                <c:ptCount val="58"/>
                <c:pt idx="0">
                  <c:v>30693.27</c:v>
                </c:pt>
                <c:pt idx="1">
                  <c:v>30330.845000000001</c:v>
                </c:pt>
                <c:pt idx="2">
                  <c:v>29117.575000000001</c:v>
                </c:pt>
                <c:pt idx="3">
                  <c:v>26374.77</c:v>
                </c:pt>
                <c:pt idx="4">
                  <c:v>27921.035</c:v>
                </c:pt>
                <c:pt idx="5">
                  <c:v>26684.254999999997</c:v>
                </c:pt>
                <c:pt idx="6">
                  <c:v>27998.165000000001</c:v>
                </c:pt>
                <c:pt idx="7">
                  <c:v>26800.445</c:v>
                </c:pt>
                <c:pt idx="8">
                  <c:v>28104.639999999999</c:v>
                </c:pt>
                <c:pt idx="9">
                  <c:v>29187.01</c:v>
                </c:pt>
                <c:pt idx="10">
                  <c:v>31053.75</c:v>
                </c:pt>
                <c:pt idx="11">
                  <c:v>32834.595000000001</c:v>
                </c:pt>
                <c:pt idx="12">
                  <c:v>33410.415000000001</c:v>
                </c:pt>
                <c:pt idx="13">
                  <c:v>33158.774999999994</c:v>
                </c:pt>
                <c:pt idx="14">
                  <c:v>32302.74</c:v>
                </c:pt>
                <c:pt idx="15">
                  <c:v>31546.885000000002</c:v>
                </c:pt>
                <c:pt idx="16">
                  <c:v>31470.025000000001</c:v>
                </c:pt>
                <c:pt idx="17">
                  <c:v>31161.184999999998</c:v>
                </c:pt>
                <c:pt idx="18">
                  <c:v>31784.445</c:v>
                </c:pt>
                <c:pt idx="19">
                  <c:v>32330.63</c:v>
                </c:pt>
                <c:pt idx="20">
                  <c:v>33370.205000000002</c:v>
                </c:pt>
                <c:pt idx="21">
                  <c:v>33649.68</c:v>
                </c:pt>
                <c:pt idx="22">
                  <c:v>34390.550000000003</c:v>
                </c:pt>
                <c:pt idx="23">
                  <c:v>35060.425000000003</c:v>
                </c:pt>
                <c:pt idx="24">
                  <c:v>35321.544999999998</c:v>
                </c:pt>
                <c:pt idx="25">
                  <c:v>34869.084999999999</c:v>
                </c:pt>
                <c:pt idx="26">
                  <c:v>34749.365000000005</c:v>
                </c:pt>
                <c:pt idx="27">
                  <c:v>34217.119999999995</c:v>
                </c:pt>
                <c:pt idx="28">
                  <c:v>34651.399999999994</c:v>
                </c:pt>
                <c:pt idx="29">
                  <c:v>34633.524999999994</c:v>
                </c:pt>
                <c:pt idx="30">
                  <c:v>35402.485000000001</c:v>
                </c:pt>
                <c:pt idx="31">
                  <c:v>35556.824999999997</c:v>
                </c:pt>
                <c:pt idx="32">
                  <c:v>36010.71</c:v>
                </c:pt>
                <c:pt idx="33">
                  <c:v>36435.434999999998</c:v>
                </c:pt>
                <c:pt idx="34">
                  <c:v>37231.79</c:v>
                </c:pt>
                <c:pt idx="35">
                  <c:v>37307.69</c:v>
                </c:pt>
                <c:pt idx="36">
                  <c:v>36741.72</c:v>
                </c:pt>
                <c:pt idx="37">
                  <c:v>36150.604999999996</c:v>
                </c:pt>
                <c:pt idx="38">
                  <c:v>38026.050000000003</c:v>
                </c:pt>
                <c:pt idx="39">
                  <c:v>36228.885000000002</c:v>
                </c:pt>
                <c:pt idx="40">
                  <c:v>37326.339999999997</c:v>
                </c:pt>
                <c:pt idx="41">
                  <c:v>36578.83</c:v>
                </c:pt>
                <c:pt idx="42">
                  <c:v>37371.214999999997</c:v>
                </c:pt>
                <c:pt idx="43">
                  <c:v>37812.94</c:v>
                </c:pt>
                <c:pt idx="44">
                  <c:v>38081.755000000005</c:v>
                </c:pt>
                <c:pt idx="45">
                  <c:v>38537.42</c:v>
                </c:pt>
                <c:pt idx="46">
                  <c:v>38555.22</c:v>
                </c:pt>
                <c:pt idx="47">
                  <c:v>37939.195</c:v>
                </c:pt>
                <c:pt idx="48">
                  <c:v>37000.61</c:v>
                </c:pt>
                <c:pt idx="49">
                  <c:v>36885.69</c:v>
                </c:pt>
                <c:pt idx="50">
                  <c:v>36631.455000000002</c:v>
                </c:pt>
                <c:pt idx="51">
                  <c:v>36881.425000000003</c:v>
                </c:pt>
                <c:pt idx="52">
                  <c:v>36675.324999999997</c:v>
                </c:pt>
                <c:pt idx="53">
                  <c:v>37859.599999999999</c:v>
                </c:pt>
                <c:pt idx="54">
                  <c:v>38639.339999999997</c:v>
                </c:pt>
                <c:pt idx="55">
                  <c:v>38118.095000000001</c:v>
                </c:pt>
                <c:pt idx="56">
                  <c:v>38031.785000000003</c:v>
                </c:pt>
                <c:pt idx="57">
                  <c:v>38303.055</c:v>
                </c:pt>
              </c:numCache>
            </c:numRef>
          </c:xVal>
          <c:yVal>
            <c:numRef>
              <c:f>'Y от Х3'!$B$3:$B$60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20-4A86-87D1-73F30E6D6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76112"/>
        <c:axId val="408676656"/>
      </c:scatterChart>
      <c:valAx>
        <c:axId val="40867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6656"/>
        <c:crosses val="autoZero"/>
        <c:crossBetween val="midCat"/>
      </c:valAx>
      <c:valAx>
        <c:axId val="4086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 от Х3'!$D$3:$D$60</c:f>
              <c:numCache>
                <c:formatCode>General</c:formatCode>
                <c:ptCount val="58"/>
                <c:pt idx="0">
                  <c:v>110.0744364389942</c:v>
                </c:pt>
                <c:pt idx="1">
                  <c:v>108.99583717552791</c:v>
                </c:pt>
                <c:pt idx="2">
                  <c:v>105.38507045583211</c:v>
                </c:pt>
                <c:pt idx="3">
                  <c:v>97.222312774017496</c:v>
                </c:pt>
                <c:pt idx="4">
                  <c:v>101.82409325307856</c:v>
                </c:pt>
                <c:pt idx="5">
                  <c:v>98.143359316209299</c:v>
                </c:pt>
                <c:pt idx="6">
                  <c:v>102.0536369136736</c:v>
                </c:pt>
                <c:pt idx="7">
                  <c:v>98.48914795778245</c:v>
                </c:pt>
                <c:pt idx="8">
                  <c:v>102.37051311310125</c:v>
                </c:pt>
                <c:pt idx="9">
                  <c:v>105.59171331948329</c:v>
                </c:pt>
                <c:pt idx="10">
                  <c:v>111.14724726190742</c:v>
                </c:pt>
                <c:pt idx="11">
                  <c:v>116.447152360473</c:v>
                </c:pt>
                <c:pt idx="12">
                  <c:v>118.16082837037618</c:v>
                </c:pt>
                <c:pt idx="13">
                  <c:v>117.41193213347567</c:v>
                </c:pt>
                <c:pt idx="14">
                  <c:v>114.86431891556478</c:v>
                </c:pt>
                <c:pt idx="15">
                  <c:v>112.61484758691108</c:v>
                </c:pt>
                <c:pt idx="16">
                  <c:v>112.38610746305092</c:v>
                </c:pt>
                <c:pt idx="17">
                  <c:v>111.46698048083685</c:v>
                </c:pt>
                <c:pt idx="18">
                  <c:v>113.32184087111899</c:v>
                </c:pt>
                <c:pt idx="19">
                  <c:v>114.94732128421505</c:v>
                </c:pt>
                <c:pt idx="20">
                  <c:v>118.04116091811991</c:v>
                </c:pt>
                <c:pt idx="21">
                  <c:v>118.87289584026171</c:v>
                </c:pt>
                <c:pt idx="22">
                  <c:v>121.07777088013002</c:v>
                </c:pt>
                <c:pt idx="23">
                  <c:v>123.07136039965677</c:v>
                </c:pt>
                <c:pt idx="24">
                  <c:v>123.84846970413719</c:v>
                </c:pt>
                <c:pt idx="25">
                  <c:v>122.50192070021097</c:v>
                </c:pt>
                <c:pt idx="26">
                  <c:v>122.14562655984489</c:v>
                </c:pt>
                <c:pt idx="27">
                  <c:v>120.56163245076404</c:v>
                </c:pt>
                <c:pt idx="28">
                  <c:v>121.85407664787554</c:v>
                </c:pt>
                <c:pt idx="29">
                  <c:v>121.80087953996505</c:v>
                </c:pt>
                <c:pt idx="30">
                  <c:v>124.08935216087986</c:v>
                </c:pt>
                <c:pt idx="31">
                  <c:v>124.54867756702839</c:v>
                </c:pt>
                <c:pt idx="32">
                  <c:v>125.89946745927755</c:v>
                </c:pt>
                <c:pt idx="33">
                  <c:v>127.16347538416055</c:v>
                </c:pt>
                <c:pt idx="34">
                  <c:v>129.533477223045</c:v>
                </c:pt>
                <c:pt idx="35">
                  <c:v>129.75936032740341</c:v>
                </c:pt>
                <c:pt idx="36">
                  <c:v>128.07499852801314</c:v>
                </c:pt>
                <c:pt idx="37">
                  <c:v>126.31580365011045</c:v>
                </c:pt>
                <c:pt idx="38">
                  <c:v>131.89724421207927</c:v>
                </c:pt>
                <c:pt idx="39">
                  <c:v>126.54876978198367</c:v>
                </c:pt>
                <c:pt idx="40">
                  <c:v>129.81486388334918</c:v>
                </c:pt>
                <c:pt idx="41">
                  <c:v>127.59022779192699</c:v>
                </c:pt>
                <c:pt idx="42">
                  <c:v>129.94841466474685</c:v>
                </c:pt>
                <c:pt idx="43">
                  <c:v>131.26301564330697</c:v>
                </c:pt>
                <c:pt idx="44">
                  <c:v>132.06302574473125</c:v>
                </c:pt>
                <c:pt idx="45">
                  <c:v>133.41911302730654</c:v>
                </c:pt>
                <c:pt idx="46">
                  <c:v>133.47208693056848</c:v>
                </c:pt>
                <c:pt idx="47">
                  <c:v>131.63875834871891</c:v>
                </c:pt>
                <c:pt idx="48">
                  <c:v>128.8454712142759</c:v>
                </c:pt>
                <c:pt idx="49">
                  <c:v>128.50346217141865</c:v>
                </c:pt>
                <c:pt idx="50">
                  <c:v>127.74684305367745</c:v>
                </c:pt>
                <c:pt idx="51">
                  <c:v>128.49076926706965</c:v>
                </c:pt>
                <c:pt idx="52">
                  <c:v>127.8774028927842</c:v>
                </c:pt>
                <c:pt idx="53">
                  <c:v>131.40187869534071</c:v>
                </c:pt>
                <c:pt idx="54">
                  <c:v>133.72243326441074</c:v>
                </c:pt>
                <c:pt idx="55">
                  <c:v>132.17117583712098</c:v>
                </c:pt>
                <c:pt idx="56">
                  <c:v>131.91431192754033</c:v>
                </c:pt>
                <c:pt idx="57">
                  <c:v>132.72162826112796</c:v>
                </c:pt>
              </c:numCache>
            </c:numRef>
          </c:xVal>
          <c:yVal>
            <c:numRef>
              <c:f>'Y от Х3'!$E$3:$E$60</c:f>
              <c:numCache>
                <c:formatCode>0.00</c:formatCode>
                <c:ptCount val="58"/>
                <c:pt idx="0">
                  <c:v>-7.7544364389942047</c:v>
                </c:pt>
                <c:pt idx="1">
                  <c:v>-6.7858371755279165</c:v>
                </c:pt>
                <c:pt idx="2">
                  <c:v>-3.2250704558321104</c:v>
                </c:pt>
                <c:pt idx="3">
                  <c:v>4.8376872259825063</c:v>
                </c:pt>
                <c:pt idx="4">
                  <c:v>0.72590674692143864</c:v>
                </c:pt>
                <c:pt idx="5">
                  <c:v>6.2066406837906953</c:v>
                </c:pt>
                <c:pt idx="6">
                  <c:v>5.5163630863263933</c:v>
                </c:pt>
                <c:pt idx="7">
                  <c:v>13.470852042217544</c:v>
                </c:pt>
                <c:pt idx="8">
                  <c:v>12.899486886898742</c:v>
                </c:pt>
                <c:pt idx="9">
                  <c:v>11.578286680516712</c:v>
                </c:pt>
                <c:pt idx="10">
                  <c:v>6.4627527380925756</c:v>
                </c:pt>
                <c:pt idx="11">
                  <c:v>0.812847639527007</c:v>
                </c:pt>
                <c:pt idx="12">
                  <c:v>-2.2808283703761845</c:v>
                </c:pt>
                <c:pt idx="13">
                  <c:v>-4.0619321334756791</c:v>
                </c:pt>
                <c:pt idx="14">
                  <c:v>-3.4743189155647798</c:v>
                </c:pt>
                <c:pt idx="15">
                  <c:v>-2.8548475869110774</c:v>
                </c:pt>
                <c:pt idx="16">
                  <c:v>-2.8861074630509194</c:v>
                </c:pt>
                <c:pt idx="17">
                  <c:v>-2.6069804808368531</c:v>
                </c:pt>
                <c:pt idx="18">
                  <c:v>-4.8318408711189988</c:v>
                </c:pt>
                <c:pt idx="19">
                  <c:v>-6.5873212842150508</c:v>
                </c:pt>
                <c:pt idx="20">
                  <c:v>-9.8511609181199162</c:v>
                </c:pt>
                <c:pt idx="21">
                  <c:v>-11.072895840261708</c:v>
                </c:pt>
                <c:pt idx="22">
                  <c:v>-13.607770880130019</c:v>
                </c:pt>
                <c:pt idx="23">
                  <c:v>-16.041360399656767</c:v>
                </c:pt>
                <c:pt idx="24">
                  <c:v>-17.238469704137188</c:v>
                </c:pt>
                <c:pt idx="25">
                  <c:v>-15.931920700210981</c:v>
                </c:pt>
                <c:pt idx="26">
                  <c:v>-15.65562655984489</c:v>
                </c:pt>
                <c:pt idx="27">
                  <c:v>-13.521632450764031</c:v>
                </c:pt>
                <c:pt idx="28">
                  <c:v>-10.50407664787555</c:v>
                </c:pt>
                <c:pt idx="29">
                  <c:v>-4.2608795399650461</c:v>
                </c:pt>
                <c:pt idx="30">
                  <c:v>-1.5093521608798568</c:v>
                </c:pt>
                <c:pt idx="31">
                  <c:v>3.6113224329716047</c:v>
                </c:pt>
                <c:pt idx="32">
                  <c:v>6.9605325407224683</c:v>
                </c:pt>
                <c:pt idx="33">
                  <c:v>7.7565246158394388</c:v>
                </c:pt>
                <c:pt idx="34">
                  <c:v>6.1665227769549915</c:v>
                </c:pt>
                <c:pt idx="35">
                  <c:v>6.3806396725965726</c:v>
                </c:pt>
                <c:pt idx="36">
                  <c:v>12.075001471986866</c:v>
                </c:pt>
                <c:pt idx="37">
                  <c:v>13.77419634988955</c:v>
                </c:pt>
                <c:pt idx="38">
                  <c:v>7.2027557879207222</c:v>
                </c:pt>
                <c:pt idx="39">
                  <c:v>10.951230218016335</c:v>
                </c:pt>
                <c:pt idx="40">
                  <c:v>6.3051361166508286</c:v>
                </c:pt>
                <c:pt idx="41">
                  <c:v>7.6297722080730068</c:v>
                </c:pt>
                <c:pt idx="42">
                  <c:v>4.7815853352531406</c:v>
                </c:pt>
                <c:pt idx="43">
                  <c:v>3.1269843566930149</c:v>
                </c:pt>
                <c:pt idx="44">
                  <c:v>2.4469742552687421</c:v>
                </c:pt>
                <c:pt idx="45">
                  <c:v>1.0408869726934711</c:v>
                </c:pt>
                <c:pt idx="46">
                  <c:v>0.79791306943153018</c:v>
                </c:pt>
                <c:pt idx="47">
                  <c:v>2.0912416512810807</c:v>
                </c:pt>
                <c:pt idx="48">
                  <c:v>3.1645287857240874</c:v>
                </c:pt>
                <c:pt idx="49">
                  <c:v>2.0865378285813563</c:v>
                </c:pt>
                <c:pt idx="50">
                  <c:v>2.5331569463225492</c:v>
                </c:pt>
                <c:pt idx="51">
                  <c:v>0.66923073293034463</c:v>
                </c:pt>
                <c:pt idx="52">
                  <c:v>1.0625971072157938</c:v>
                </c:pt>
                <c:pt idx="53">
                  <c:v>-2.1018786953407016</c:v>
                </c:pt>
                <c:pt idx="54">
                  <c:v>-2.5024332644107403</c:v>
                </c:pt>
                <c:pt idx="55">
                  <c:v>0.34882416287902629</c:v>
                </c:pt>
                <c:pt idx="56">
                  <c:v>2.3356880724596749</c:v>
                </c:pt>
                <c:pt idx="57">
                  <c:v>3.3383717388720413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4F-46C9-A999-BF58F7E0F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65776"/>
        <c:axId val="408678288"/>
      </c:scatterChart>
      <c:valAx>
        <c:axId val="40866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78288"/>
        <c:crosses val="autoZero"/>
        <c:crossBetween val="midCat"/>
      </c:valAx>
      <c:valAx>
        <c:axId val="40867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Х3'!$J$4:$J$61</c:f>
              <c:numCache>
                <c:formatCode>0.00</c:formatCode>
                <c:ptCount val="58"/>
                <c:pt idx="0">
                  <c:v>-17.238469704137188</c:v>
                </c:pt>
                <c:pt idx="1">
                  <c:v>-16.041360399656767</c:v>
                </c:pt>
                <c:pt idx="2">
                  <c:v>-15.931920700210981</c:v>
                </c:pt>
                <c:pt idx="3">
                  <c:v>-15.65562655984489</c:v>
                </c:pt>
                <c:pt idx="4">
                  <c:v>-13.607770880130019</c:v>
                </c:pt>
                <c:pt idx="5">
                  <c:v>-13.521632450764031</c:v>
                </c:pt>
                <c:pt idx="6">
                  <c:v>-11.072895840261708</c:v>
                </c:pt>
                <c:pt idx="7">
                  <c:v>-10.50407664787555</c:v>
                </c:pt>
                <c:pt idx="8">
                  <c:v>-9.8511609181199162</c:v>
                </c:pt>
                <c:pt idx="9">
                  <c:v>-7.7544364389942047</c:v>
                </c:pt>
                <c:pt idx="10">
                  <c:v>-6.7858371755279165</c:v>
                </c:pt>
                <c:pt idx="11">
                  <c:v>-6.5873212842150508</c:v>
                </c:pt>
                <c:pt idx="12">
                  <c:v>-4.8318408711189988</c:v>
                </c:pt>
                <c:pt idx="13">
                  <c:v>-4.2608795399650461</c:v>
                </c:pt>
                <c:pt idx="14">
                  <c:v>-4.0619321334756791</c:v>
                </c:pt>
                <c:pt idx="15">
                  <c:v>-3.4743189155647798</c:v>
                </c:pt>
                <c:pt idx="16">
                  <c:v>-3.2250704558321104</c:v>
                </c:pt>
                <c:pt idx="17">
                  <c:v>-2.8861074630509194</c:v>
                </c:pt>
                <c:pt idx="18">
                  <c:v>-2.8548475869110774</c:v>
                </c:pt>
                <c:pt idx="19">
                  <c:v>-2.6069804808368531</c:v>
                </c:pt>
                <c:pt idx="20">
                  <c:v>-2.5024332644107403</c:v>
                </c:pt>
                <c:pt idx="21">
                  <c:v>-2.2808283703761845</c:v>
                </c:pt>
                <c:pt idx="22">
                  <c:v>-2.1018786953407016</c:v>
                </c:pt>
                <c:pt idx="23">
                  <c:v>-1.5093521608798568</c:v>
                </c:pt>
                <c:pt idx="24">
                  <c:v>0.34882416287902629</c:v>
                </c:pt>
                <c:pt idx="25">
                  <c:v>0.66923073293034463</c:v>
                </c:pt>
                <c:pt idx="26">
                  <c:v>0.72590674692143864</c:v>
                </c:pt>
                <c:pt idx="27">
                  <c:v>0.79791306943153018</c:v>
                </c:pt>
                <c:pt idx="28">
                  <c:v>0.812847639527007</c:v>
                </c:pt>
                <c:pt idx="29">
                  <c:v>1.0408869726934711</c:v>
                </c:pt>
                <c:pt idx="30">
                  <c:v>1.0625971072157938</c:v>
                </c:pt>
                <c:pt idx="31">
                  <c:v>2.0865378285813563</c:v>
                </c:pt>
                <c:pt idx="32">
                  <c:v>2.0912416512810807</c:v>
                </c:pt>
                <c:pt idx="33">
                  <c:v>2.3356880724596749</c:v>
                </c:pt>
                <c:pt idx="34">
                  <c:v>2.4469742552687421</c:v>
                </c:pt>
                <c:pt idx="35">
                  <c:v>2.5331569463225492</c:v>
                </c:pt>
                <c:pt idx="36">
                  <c:v>3.1269843566930149</c:v>
                </c:pt>
                <c:pt idx="37">
                  <c:v>3.1645287857240874</c:v>
                </c:pt>
                <c:pt idx="38">
                  <c:v>3.3383717388720413</c:v>
                </c:pt>
                <c:pt idx="39">
                  <c:v>3.6113224329716047</c:v>
                </c:pt>
                <c:pt idx="40">
                  <c:v>4.7815853352531406</c:v>
                </c:pt>
                <c:pt idx="41">
                  <c:v>4.8376872259825063</c:v>
                </c:pt>
                <c:pt idx="42">
                  <c:v>5.5163630863263933</c:v>
                </c:pt>
                <c:pt idx="43">
                  <c:v>6.1665227769549915</c:v>
                </c:pt>
                <c:pt idx="44">
                  <c:v>6.2066406837906953</c:v>
                </c:pt>
                <c:pt idx="45">
                  <c:v>6.3051361166508286</c:v>
                </c:pt>
                <c:pt idx="46">
                  <c:v>6.3806396725965726</c:v>
                </c:pt>
                <c:pt idx="47">
                  <c:v>6.4627527380925756</c:v>
                </c:pt>
                <c:pt idx="48">
                  <c:v>6.9605325407224683</c:v>
                </c:pt>
                <c:pt idx="49">
                  <c:v>7.2027557879207222</c:v>
                </c:pt>
                <c:pt idx="50">
                  <c:v>7.6297722080730068</c:v>
                </c:pt>
                <c:pt idx="51">
                  <c:v>7.7565246158394388</c:v>
                </c:pt>
                <c:pt idx="52">
                  <c:v>10.951230218016335</c:v>
                </c:pt>
                <c:pt idx="53">
                  <c:v>11.578286680516712</c:v>
                </c:pt>
                <c:pt idx="54">
                  <c:v>12.075001471986866</c:v>
                </c:pt>
                <c:pt idx="55">
                  <c:v>12.899486886898742</c:v>
                </c:pt>
                <c:pt idx="56">
                  <c:v>13.470852042217544</c:v>
                </c:pt>
                <c:pt idx="57">
                  <c:v>13.77419634988955</c:v>
                </c:pt>
              </c:numCache>
            </c:numRef>
          </c:xVal>
          <c:yVal>
            <c:numRef>
              <c:f>'Y от Х3'!$L$4:$L$61</c:f>
              <c:numCache>
                <c:formatCode>General</c:formatCode>
                <c:ptCount val="58"/>
                <c:pt idx="0">
                  <c:v>-2.1212793024540013</c:v>
                </c:pt>
                <c:pt idx="1">
                  <c:v>-1.8263562979439061</c:v>
                </c:pt>
                <c:pt idx="2">
                  <c:v>-1.6366916466733989</c:v>
                </c:pt>
                <c:pt idx="3">
                  <c:v>-1.492404178320359</c:v>
                </c:pt>
                <c:pt idx="4">
                  <c:v>-1.3738394673770855</c:v>
                </c:pt>
                <c:pt idx="5">
                  <c:v>-1.2719529676842081</c:v>
                </c:pt>
                <c:pt idx="6">
                  <c:v>-1.1817922703491182</c:v>
                </c:pt>
                <c:pt idx="7">
                  <c:v>-1.1003344194590818</c:v>
                </c:pt>
                <c:pt idx="8">
                  <c:v>-1.0255902911278738</c:v>
                </c:pt>
                <c:pt idx="9">
                  <c:v>-0.95617653892006238</c:v>
                </c:pt>
                <c:pt idx="10">
                  <c:v>-0.89108913003410894</c:v>
                </c:pt>
                <c:pt idx="11">
                  <c:v>-0.82957403698182763</c:v>
                </c:pt>
                <c:pt idx="12">
                  <c:v>-0.77104886863964417</c:v>
                </c:pt>
                <c:pt idx="13">
                  <c:v>-0.71505303754992222</c:v>
                </c:pt>
                <c:pt idx="14">
                  <c:v>-0.66121479220131485</c:v>
                </c:pt>
                <c:pt idx="15">
                  <c:v>-0.60922866701399825</c:v>
                </c:pt>
                <c:pt idx="16">
                  <c:v>-0.55883961079677569</c:v>
                </c:pt>
                <c:pt idx="17">
                  <c:v>-0.50983153383249025</c:v>
                </c:pt>
                <c:pt idx="18">
                  <c:v>-0.46201885864912079</c:v>
                </c:pt>
                <c:pt idx="19">
                  <c:v>-0.4152401608260714</c:v>
                </c:pt>
                <c:pt idx="20">
                  <c:v>-0.36935329360674307</c:v>
                </c:pt>
                <c:pt idx="21">
                  <c:v>-0.32423158413730258</c:v>
                </c:pt>
                <c:pt idx="22">
                  <c:v>-0.27976081477122972</c:v>
                </c:pt>
                <c:pt idx="23">
                  <c:v>-0.23583678601109134</c:v>
                </c:pt>
                <c:pt idx="24">
                  <c:v>-0.19236331372250978</c:v>
                </c:pt>
                <c:pt idx="25">
                  <c:v>-0.14925055165580312</c:v>
                </c:pt>
                <c:pt idx="26">
                  <c:v>-0.1064135569156504</c:v>
                </c:pt>
                <c:pt idx="27">
                  <c:v>-6.377103455763064E-2</c:v>
                </c:pt>
                <c:pt idx="28">
                  <c:v>-2.1244210365719055E-2</c:v>
                </c:pt>
                <c:pt idx="29">
                  <c:v>2.1244210365719055E-2</c:v>
                </c:pt>
                <c:pt idx="30">
                  <c:v>6.3771034557630793E-2</c:v>
                </c:pt>
                <c:pt idx="31">
                  <c:v>0.1064135569156504</c:v>
                </c:pt>
                <c:pt idx="32">
                  <c:v>0.14925055165580298</c:v>
                </c:pt>
                <c:pt idx="33">
                  <c:v>0.19236331372250978</c:v>
                </c:pt>
                <c:pt idx="34">
                  <c:v>0.23583678601109134</c:v>
                </c:pt>
                <c:pt idx="35">
                  <c:v>0.27976081477122983</c:v>
                </c:pt>
                <c:pt idx="36">
                  <c:v>0.32423158413730258</c:v>
                </c:pt>
                <c:pt idx="37">
                  <c:v>0.36935329360674291</c:v>
                </c:pt>
                <c:pt idx="38">
                  <c:v>0.4152401608260714</c:v>
                </c:pt>
                <c:pt idx="39">
                  <c:v>0.46201885864912062</c:v>
                </c:pt>
                <c:pt idx="40">
                  <c:v>0.50983153383249047</c:v>
                </c:pt>
                <c:pt idx="41">
                  <c:v>0.55883961079677569</c:v>
                </c:pt>
                <c:pt idx="42">
                  <c:v>0.60922866701399803</c:v>
                </c:pt>
                <c:pt idx="43">
                  <c:v>0.66121479220131485</c:v>
                </c:pt>
                <c:pt idx="44">
                  <c:v>0.71505303754992222</c:v>
                </c:pt>
                <c:pt idx="45">
                  <c:v>0.77104886863964417</c:v>
                </c:pt>
                <c:pt idx="46">
                  <c:v>0.82957403698182763</c:v>
                </c:pt>
                <c:pt idx="47">
                  <c:v>0.89108913003410994</c:v>
                </c:pt>
                <c:pt idx="48">
                  <c:v>0.95617653892006238</c:v>
                </c:pt>
                <c:pt idx="49">
                  <c:v>1.0255902911278738</c:v>
                </c:pt>
                <c:pt idx="50">
                  <c:v>1.1003344194590818</c:v>
                </c:pt>
                <c:pt idx="51">
                  <c:v>1.1817922703491182</c:v>
                </c:pt>
                <c:pt idx="52">
                  <c:v>1.2719529676842083</c:v>
                </c:pt>
                <c:pt idx="53">
                  <c:v>1.3738394673770855</c:v>
                </c:pt>
                <c:pt idx="54">
                  <c:v>1.4924041783203592</c:v>
                </c:pt>
                <c:pt idx="55">
                  <c:v>1.6366916466733989</c:v>
                </c:pt>
                <c:pt idx="56">
                  <c:v>1.8263562979439059</c:v>
                </c:pt>
                <c:pt idx="57">
                  <c:v>2.1212793024540031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A5-4949-A249-3FAD7A969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66320"/>
        <c:axId val="408669040"/>
      </c:scatterChart>
      <c:valAx>
        <c:axId val="4086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9040"/>
        <c:crosses val="autoZero"/>
        <c:crossBetween val="midCat"/>
      </c:valAx>
      <c:valAx>
        <c:axId val="40866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6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effectLst/>
              </a:rPr>
              <a:t>Линия регрессии на поле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75503062117235E-3"/>
                  <c:y val="-4.12007874015748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Х2'!$C$3:$C$60</c:f>
              <c:numCache>
                <c:formatCode>General</c:formatCode>
                <c:ptCount val="58"/>
                <c:pt idx="0">
                  <c:v>495852.6</c:v>
                </c:pt>
                <c:pt idx="1">
                  <c:v>494356.21</c:v>
                </c:pt>
                <c:pt idx="2">
                  <c:v>493826.35</c:v>
                </c:pt>
                <c:pt idx="3">
                  <c:v>491922.49</c:v>
                </c:pt>
                <c:pt idx="4">
                  <c:v>494987.4</c:v>
                </c:pt>
                <c:pt idx="5">
                  <c:v>499933.2</c:v>
                </c:pt>
                <c:pt idx="6">
                  <c:v>504654.29</c:v>
                </c:pt>
                <c:pt idx="7">
                  <c:v>502246.32</c:v>
                </c:pt>
                <c:pt idx="8">
                  <c:v>507284.61</c:v>
                </c:pt>
                <c:pt idx="9">
                  <c:v>511264.1</c:v>
                </c:pt>
                <c:pt idx="10">
                  <c:v>507893.75</c:v>
                </c:pt>
                <c:pt idx="11">
                  <c:v>503968.92</c:v>
                </c:pt>
                <c:pt idx="12">
                  <c:v>494578.49</c:v>
                </c:pt>
                <c:pt idx="13">
                  <c:v>497892.4</c:v>
                </c:pt>
                <c:pt idx="14">
                  <c:v>502643.15</c:v>
                </c:pt>
                <c:pt idx="15">
                  <c:v>505356.49</c:v>
                </c:pt>
                <c:pt idx="16">
                  <c:v>505894.26</c:v>
                </c:pt>
                <c:pt idx="17">
                  <c:v>509487.6</c:v>
                </c:pt>
                <c:pt idx="18">
                  <c:v>515679.9</c:v>
                </c:pt>
                <c:pt idx="19">
                  <c:v>516214.74</c:v>
                </c:pt>
                <c:pt idx="20">
                  <c:v>514256.13</c:v>
                </c:pt>
                <c:pt idx="21">
                  <c:v>512965.3</c:v>
                </c:pt>
                <c:pt idx="22">
                  <c:v>519654.25</c:v>
                </c:pt>
                <c:pt idx="23">
                  <c:v>523874.3</c:v>
                </c:pt>
                <c:pt idx="24">
                  <c:v>527326</c:v>
                </c:pt>
                <c:pt idx="25">
                  <c:v>521835.7</c:v>
                </c:pt>
                <c:pt idx="26">
                  <c:v>515389</c:v>
                </c:pt>
                <c:pt idx="27">
                  <c:v>510620.8</c:v>
                </c:pt>
                <c:pt idx="28">
                  <c:v>518659</c:v>
                </c:pt>
                <c:pt idx="29">
                  <c:v>529324.68000000005</c:v>
                </c:pt>
                <c:pt idx="30">
                  <c:v>537441.18999999994</c:v>
                </c:pt>
                <c:pt idx="31">
                  <c:v>542365.21</c:v>
                </c:pt>
                <c:pt idx="32">
                  <c:v>545986.31999999995</c:v>
                </c:pt>
                <c:pt idx="33">
                  <c:v>547324.80000000005</c:v>
                </c:pt>
                <c:pt idx="34">
                  <c:v>545895.19999999995</c:v>
                </c:pt>
                <c:pt idx="35">
                  <c:v>548956.56000000006</c:v>
                </c:pt>
                <c:pt idx="36">
                  <c:v>547195.30000000005</c:v>
                </c:pt>
                <c:pt idx="37">
                  <c:v>546512.30000000005</c:v>
                </c:pt>
                <c:pt idx="38">
                  <c:v>544625</c:v>
                </c:pt>
                <c:pt idx="39">
                  <c:v>545049.80000000005</c:v>
                </c:pt>
                <c:pt idx="40">
                  <c:v>547123.1</c:v>
                </c:pt>
                <c:pt idx="41">
                  <c:v>545156.30000000005</c:v>
                </c:pt>
                <c:pt idx="42">
                  <c:v>545049.80000000005</c:v>
                </c:pt>
                <c:pt idx="43">
                  <c:v>551483.6</c:v>
                </c:pt>
                <c:pt idx="44">
                  <c:v>559456.31999999995</c:v>
                </c:pt>
                <c:pt idx="45">
                  <c:v>569744.39</c:v>
                </c:pt>
                <c:pt idx="46">
                  <c:v>562321.17000000004</c:v>
                </c:pt>
                <c:pt idx="47">
                  <c:v>557562.30000000005</c:v>
                </c:pt>
                <c:pt idx="48">
                  <c:v>553010.49</c:v>
                </c:pt>
                <c:pt idx="49">
                  <c:v>554289.6</c:v>
                </c:pt>
                <c:pt idx="50">
                  <c:v>552386.15</c:v>
                </c:pt>
                <c:pt idx="51">
                  <c:v>551803.18999999994</c:v>
                </c:pt>
                <c:pt idx="52">
                  <c:v>556821.30000000005</c:v>
                </c:pt>
                <c:pt idx="53">
                  <c:v>557458.36</c:v>
                </c:pt>
                <c:pt idx="54">
                  <c:v>559287.59</c:v>
                </c:pt>
                <c:pt idx="55">
                  <c:v>564587.19999999995</c:v>
                </c:pt>
                <c:pt idx="56">
                  <c:v>566745.39</c:v>
                </c:pt>
                <c:pt idx="57">
                  <c:v>570205.5</c:v>
                </c:pt>
              </c:numCache>
            </c:numRef>
          </c:xVal>
          <c:yVal>
            <c:numRef>
              <c:f>'Y от Х2'!$B$3:$B$60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8D-447F-A2F8-2ED24A70A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47824"/>
        <c:axId val="408651088"/>
      </c:scatterChart>
      <c:valAx>
        <c:axId val="4086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51088"/>
        <c:crosses val="autoZero"/>
        <c:crossBetween val="midCat"/>
      </c:valAx>
      <c:valAx>
        <c:axId val="40865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864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 от Х2'!$D$3:$D$60</c:f>
              <c:numCache>
                <c:formatCode>General</c:formatCode>
                <c:ptCount val="58"/>
                <c:pt idx="0">
                  <c:v>104.76475068144373</c:v>
                </c:pt>
                <c:pt idx="1">
                  <c:v>104.05182476356694</c:v>
                </c:pt>
                <c:pt idx="2">
                  <c:v>103.79938326980781</c:v>
                </c:pt>
                <c:pt idx="3">
                  <c:v>102.89232619377219</c:v>
                </c:pt>
                <c:pt idx="4">
                  <c:v>104.35254296544258</c:v>
                </c:pt>
                <c:pt idx="5">
                  <c:v>106.7088732033051</c:v>
                </c:pt>
                <c:pt idx="6">
                  <c:v>108.9581447312016</c:v>
                </c:pt>
                <c:pt idx="7">
                  <c:v>107.8109142481926</c:v>
                </c:pt>
                <c:pt idx="8">
                  <c:v>110.21130954806733</c:v>
                </c:pt>
                <c:pt idx="9">
                  <c:v>112.10726017653425</c:v>
                </c:pt>
                <c:pt idx="10">
                  <c:v>110.50152245620993</c:v>
                </c:pt>
                <c:pt idx="11">
                  <c:v>108.63161352186765</c:v>
                </c:pt>
                <c:pt idx="12">
                  <c:v>104.15772574728484</c:v>
                </c:pt>
                <c:pt idx="13">
                  <c:v>105.73657372709704</c:v>
                </c:pt>
                <c:pt idx="14">
                  <c:v>107.9999761852485</c:v>
                </c:pt>
                <c:pt idx="15">
                  <c:v>109.2926942667726</c:v>
                </c:pt>
                <c:pt idx="16">
                  <c:v>109.54890432622008</c:v>
                </c:pt>
                <c:pt idx="17">
                  <c:v>111.26088129595621</c:v>
                </c:pt>
                <c:pt idx="18">
                  <c:v>114.21108222036003</c:v>
                </c:pt>
                <c:pt idx="19">
                  <c:v>114.46589633828196</c:v>
                </c:pt>
                <c:pt idx="20">
                  <c:v>113.53275468937179</c:v>
                </c:pt>
                <c:pt idx="21">
                  <c:v>112.91776383633686</c:v>
                </c:pt>
                <c:pt idx="22">
                  <c:v>116.10458399577533</c:v>
                </c:pt>
                <c:pt idx="23">
                  <c:v>118.11514475850163</c:v>
                </c:pt>
                <c:pt idx="24">
                  <c:v>119.75964010445784</c:v>
                </c:pt>
                <c:pt idx="25">
                  <c:v>117.14389342951412</c:v>
                </c:pt>
                <c:pt idx="26">
                  <c:v>114.07248857197266</c:v>
                </c:pt>
                <c:pt idx="27">
                  <c:v>111.80077240064017</c:v>
                </c:pt>
                <c:pt idx="28">
                  <c:v>115.63041648612418</c:v>
                </c:pt>
                <c:pt idx="29">
                  <c:v>120.71187232569835</c:v>
                </c:pt>
                <c:pt idx="30">
                  <c:v>124.57882568792758</c:v>
                </c:pt>
                <c:pt idx="31">
                  <c:v>126.92477926830691</c:v>
                </c:pt>
                <c:pt idx="32">
                  <c:v>128.64998671454947</c:v>
                </c:pt>
                <c:pt idx="33">
                  <c:v>129.28767948351998</c:v>
                </c:pt>
                <c:pt idx="34">
                  <c:v>128.60657436239734</c:v>
                </c:pt>
                <c:pt idx="35">
                  <c:v>130.06509980559827</c:v>
                </c:pt>
                <c:pt idx="36">
                  <c:v>129.22598172667517</c:v>
                </c:pt>
                <c:pt idx="37">
                  <c:v>128.90057965775605</c:v>
                </c:pt>
                <c:pt idx="38">
                  <c:v>128.00141227170769</c:v>
                </c:pt>
                <c:pt idx="39">
                  <c:v>128.20379997138099</c:v>
                </c:pt>
                <c:pt idx="40">
                  <c:v>129.19158344061958</c:v>
                </c:pt>
                <c:pt idx="41">
                  <c:v>128.25453982546571</c:v>
                </c:pt>
                <c:pt idx="42">
                  <c:v>128.20379997138099</c:v>
                </c:pt>
                <c:pt idx="43">
                  <c:v>131.26905887476562</c:v>
                </c:pt>
                <c:pt idx="44">
                  <c:v>135.06750628752218</c:v>
                </c:pt>
                <c:pt idx="45">
                  <c:v>139.96905718530348</c:v>
                </c:pt>
                <c:pt idx="46">
                  <c:v>136.43240836240204</c:v>
                </c:pt>
                <c:pt idx="47">
                  <c:v>134.16513728814573</c:v>
                </c:pt>
                <c:pt idx="48">
                  <c:v>131.99651592456343</c:v>
                </c:pt>
                <c:pt idx="49">
                  <c:v>132.60592301149626</c:v>
                </c:pt>
                <c:pt idx="50">
                  <c:v>131.69906127198811</c:v>
                </c:pt>
                <c:pt idx="51">
                  <c:v>131.42132131576977</c:v>
                </c:pt>
                <c:pt idx="52">
                  <c:v>133.81210224704898</c:v>
                </c:pt>
                <c:pt idx="53">
                  <c:v>134.1156170962812</c:v>
                </c:pt>
                <c:pt idx="54">
                  <c:v>134.9871181600131</c:v>
                </c:pt>
                <c:pt idx="55">
                  <c:v>137.51201429246464</c:v>
                </c:pt>
                <c:pt idx="56">
                  <c:v>138.54024195149907</c:v>
                </c:pt>
                <c:pt idx="57">
                  <c:v>140.18874407842105</c:v>
                </c:pt>
              </c:numCache>
            </c:numRef>
          </c:xVal>
          <c:yVal>
            <c:numRef>
              <c:f>'Y от Х2'!$E$3:$E$60</c:f>
              <c:numCache>
                <c:formatCode>0.00</c:formatCode>
                <c:ptCount val="58"/>
                <c:pt idx="0">
                  <c:v>-2.4447506814437361</c:v>
                </c:pt>
                <c:pt idx="1">
                  <c:v>-1.8418247635669474</c:v>
                </c:pt>
                <c:pt idx="2">
                  <c:v>-1.6393832698078086</c:v>
                </c:pt>
                <c:pt idx="3">
                  <c:v>-0.83232619377218953</c:v>
                </c:pt>
                <c:pt idx="4">
                  <c:v>-1.8025429654425835</c:v>
                </c:pt>
                <c:pt idx="5">
                  <c:v>-2.3588732033051087</c:v>
                </c:pt>
                <c:pt idx="6">
                  <c:v>-1.3881447312016064</c:v>
                </c:pt>
                <c:pt idx="7">
                  <c:v>4.1490857518073909</c:v>
                </c:pt>
                <c:pt idx="8">
                  <c:v>5.0586904519326623</c:v>
                </c:pt>
                <c:pt idx="9">
                  <c:v>5.0627398234657477</c:v>
                </c:pt>
                <c:pt idx="10">
                  <c:v>7.1084775437900731</c:v>
                </c:pt>
                <c:pt idx="11">
                  <c:v>8.6283864781323558</c:v>
                </c:pt>
                <c:pt idx="12">
                  <c:v>11.722274252715152</c:v>
                </c:pt>
                <c:pt idx="13">
                  <c:v>7.6134262729029558</c:v>
                </c:pt>
                <c:pt idx="14">
                  <c:v>3.3900238147515012</c:v>
                </c:pt>
                <c:pt idx="15">
                  <c:v>0.46730573322740554</c:v>
                </c:pt>
                <c:pt idx="16">
                  <c:v>-4.8904326220082339E-2</c:v>
                </c:pt>
                <c:pt idx="17">
                  <c:v>-2.4008812959562107</c:v>
                </c:pt>
                <c:pt idx="18">
                  <c:v>-5.7210822203600316</c:v>
                </c:pt>
                <c:pt idx="19">
                  <c:v>-6.1058963382819655</c:v>
                </c:pt>
                <c:pt idx="20">
                  <c:v>-5.3427546893717874</c:v>
                </c:pt>
                <c:pt idx="21">
                  <c:v>-5.1177638363368629</c:v>
                </c:pt>
                <c:pt idx="22">
                  <c:v>-8.6345839957753299</c:v>
                </c:pt>
                <c:pt idx="23">
                  <c:v>-11.085144758501627</c:v>
                </c:pt>
                <c:pt idx="24">
                  <c:v>-13.149640104457845</c:v>
                </c:pt>
                <c:pt idx="25">
                  <c:v>-10.573893429514129</c:v>
                </c:pt>
                <c:pt idx="26">
                  <c:v>-7.5824885719726609</c:v>
                </c:pt>
                <c:pt idx="27">
                  <c:v>-4.7607724006401639</c:v>
                </c:pt>
                <c:pt idx="28">
                  <c:v>-4.2804164861241816</c:v>
                </c:pt>
                <c:pt idx="29">
                  <c:v>-3.1718723256983452</c:v>
                </c:pt>
                <c:pt idx="30">
                  <c:v>-1.9988256879275781</c:v>
                </c:pt>
                <c:pt idx="31">
                  <c:v>1.2352207316930901</c:v>
                </c:pt>
                <c:pt idx="32">
                  <c:v>4.2100132854505432</c:v>
                </c:pt>
                <c:pt idx="33">
                  <c:v>5.6323205164800072</c:v>
                </c:pt>
                <c:pt idx="34">
                  <c:v>7.0934256376026497</c:v>
                </c:pt>
                <c:pt idx="35">
                  <c:v>6.0749001944017209</c:v>
                </c:pt>
                <c:pt idx="36">
                  <c:v>10.924018273324833</c:v>
                </c:pt>
                <c:pt idx="37">
                  <c:v>11.189420342243949</c:v>
                </c:pt>
                <c:pt idx="38">
                  <c:v>11.098587728292301</c:v>
                </c:pt>
                <c:pt idx="39">
                  <c:v>9.2962000286190118</c:v>
                </c:pt>
                <c:pt idx="40">
                  <c:v>6.9284165593804232</c:v>
                </c:pt>
                <c:pt idx="41">
                  <c:v>6.9654601745342859</c:v>
                </c:pt>
                <c:pt idx="42">
                  <c:v>6.5262000286190016</c:v>
                </c:pt>
                <c:pt idx="43">
                  <c:v>3.1209411252343671</c:v>
                </c:pt>
                <c:pt idx="44">
                  <c:v>-0.55750628752218745</c:v>
                </c:pt>
                <c:pt idx="45">
                  <c:v>-5.509057185303476</c:v>
                </c:pt>
                <c:pt idx="46">
                  <c:v>-2.1624083624020329</c:v>
                </c:pt>
                <c:pt idx="47">
                  <c:v>-0.43513728814573938</c:v>
                </c:pt>
                <c:pt idx="48">
                  <c:v>1.348407543656549E-2</c:v>
                </c:pt>
                <c:pt idx="49">
                  <c:v>-2.0159230114962554</c:v>
                </c:pt>
                <c:pt idx="50">
                  <c:v>-1.419061271988113</c:v>
                </c:pt>
                <c:pt idx="51">
                  <c:v>-2.2613213157697771</c:v>
                </c:pt>
                <c:pt idx="52">
                  <c:v>-4.8721022470489856</c:v>
                </c:pt>
                <c:pt idx="53">
                  <c:v>-4.8156170962811871</c:v>
                </c:pt>
                <c:pt idx="54">
                  <c:v>-3.7671181600130978</c:v>
                </c:pt>
                <c:pt idx="55">
                  <c:v>-4.9920142924646314</c:v>
                </c:pt>
                <c:pt idx="56">
                  <c:v>-4.2902419514990697</c:v>
                </c:pt>
                <c:pt idx="57">
                  <c:v>-4.1287440784210503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2F-4B67-BA33-944C6A1C3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16944"/>
        <c:axId val="416136528"/>
      </c:scatterChart>
      <c:valAx>
        <c:axId val="41611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36528"/>
        <c:crosses val="autoZero"/>
        <c:crossBetween val="midCat"/>
      </c:valAx>
      <c:valAx>
        <c:axId val="41613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1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Х2'!$J$4:$J$61</c:f>
              <c:numCache>
                <c:formatCode>0.00</c:formatCode>
                <c:ptCount val="58"/>
                <c:pt idx="0">
                  <c:v>-13.149640104457845</c:v>
                </c:pt>
                <c:pt idx="1">
                  <c:v>-11.085144758501627</c:v>
                </c:pt>
                <c:pt idx="2">
                  <c:v>-10.573893429514129</c:v>
                </c:pt>
                <c:pt idx="3">
                  <c:v>-8.6345839957753299</c:v>
                </c:pt>
                <c:pt idx="4">
                  <c:v>-7.5824885719726609</c:v>
                </c:pt>
                <c:pt idx="5">
                  <c:v>-6.1058963382819655</c:v>
                </c:pt>
                <c:pt idx="6">
                  <c:v>-5.7210822203600316</c:v>
                </c:pt>
                <c:pt idx="7">
                  <c:v>-5.509057185303476</c:v>
                </c:pt>
                <c:pt idx="8">
                  <c:v>-5.3427546893717874</c:v>
                </c:pt>
                <c:pt idx="9">
                  <c:v>-5.1177638363368629</c:v>
                </c:pt>
                <c:pt idx="10">
                  <c:v>-4.9920142924646314</c:v>
                </c:pt>
                <c:pt idx="11">
                  <c:v>-4.8721022470489856</c:v>
                </c:pt>
                <c:pt idx="12">
                  <c:v>-4.8156170962811871</c:v>
                </c:pt>
                <c:pt idx="13">
                  <c:v>-4.7607724006401639</c:v>
                </c:pt>
                <c:pt idx="14">
                  <c:v>-4.2902419514990697</c:v>
                </c:pt>
                <c:pt idx="15">
                  <c:v>-4.2804164861241816</c:v>
                </c:pt>
                <c:pt idx="16">
                  <c:v>-4.1287440784210503</c:v>
                </c:pt>
                <c:pt idx="17">
                  <c:v>-3.7671181600130978</c:v>
                </c:pt>
                <c:pt idx="18">
                  <c:v>-3.1718723256983452</c:v>
                </c:pt>
                <c:pt idx="19">
                  <c:v>-2.4447506814437361</c:v>
                </c:pt>
                <c:pt idx="20">
                  <c:v>-2.4008812959562107</c:v>
                </c:pt>
                <c:pt idx="21">
                  <c:v>-2.3588732033051087</c:v>
                </c:pt>
                <c:pt idx="22">
                  <c:v>-2.2613213157697771</c:v>
                </c:pt>
                <c:pt idx="23">
                  <c:v>-2.1624083624020329</c:v>
                </c:pt>
                <c:pt idx="24">
                  <c:v>-2.0159230114962554</c:v>
                </c:pt>
                <c:pt idx="25">
                  <c:v>-1.9988256879275781</c:v>
                </c:pt>
                <c:pt idx="26">
                  <c:v>-1.8418247635669474</c:v>
                </c:pt>
                <c:pt idx="27">
                  <c:v>-1.8025429654425835</c:v>
                </c:pt>
                <c:pt idx="28">
                  <c:v>-1.6393832698078086</c:v>
                </c:pt>
                <c:pt idx="29">
                  <c:v>-1.419061271988113</c:v>
                </c:pt>
                <c:pt idx="30">
                  <c:v>-1.3881447312016064</c:v>
                </c:pt>
                <c:pt idx="31">
                  <c:v>-0.83232619377218953</c:v>
                </c:pt>
                <c:pt idx="32">
                  <c:v>-0.55750628752218745</c:v>
                </c:pt>
                <c:pt idx="33">
                  <c:v>-0.43513728814573938</c:v>
                </c:pt>
                <c:pt idx="34">
                  <c:v>-4.8904326220082339E-2</c:v>
                </c:pt>
                <c:pt idx="35">
                  <c:v>1.348407543656549E-2</c:v>
                </c:pt>
                <c:pt idx="36">
                  <c:v>0.46730573322740554</c:v>
                </c:pt>
                <c:pt idx="37">
                  <c:v>1.2352207316930901</c:v>
                </c:pt>
                <c:pt idx="38">
                  <c:v>3.1209411252343671</c:v>
                </c:pt>
                <c:pt idx="39">
                  <c:v>3.3900238147515012</c:v>
                </c:pt>
                <c:pt idx="40">
                  <c:v>4.1490857518073909</c:v>
                </c:pt>
                <c:pt idx="41">
                  <c:v>4.2100132854505432</c:v>
                </c:pt>
                <c:pt idx="42">
                  <c:v>5.0586904519326623</c:v>
                </c:pt>
                <c:pt idx="43">
                  <c:v>5.0627398234657477</c:v>
                </c:pt>
                <c:pt idx="44">
                  <c:v>5.6323205164800072</c:v>
                </c:pt>
                <c:pt idx="45">
                  <c:v>6.0749001944017209</c:v>
                </c:pt>
                <c:pt idx="46">
                  <c:v>6.5262000286190016</c:v>
                </c:pt>
                <c:pt idx="47">
                  <c:v>6.9284165593804232</c:v>
                </c:pt>
                <c:pt idx="48">
                  <c:v>6.9654601745342859</c:v>
                </c:pt>
                <c:pt idx="49">
                  <c:v>7.0934256376026497</c:v>
                </c:pt>
                <c:pt idx="50">
                  <c:v>7.1084775437900731</c:v>
                </c:pt>
                <c:pt idx="51">
                  <c:v>7.6134262729029558</c:v>
                </c:pt>
                <c:pt idx="52">
                  <c:v>8.6283864781323558</c:v>
                </c:pt>
                <c:pt idx="53">
                  <c:v>9.2962000286190118</c:v>
                </c:pt>
                <c:pt idx="54">
                  <c:v>10.924018273324833</c:v>
                </c:pt>
                <c:pt idx="55">
                  <c:v>11.098587728292301</c:v>
                </c:pt>
                <c:pt idx="56">
                  <c:v>11.189420342243949</c:v>
                </c:pt>
                <c:pt idx="57">
                  <c:v>11.722274252715152</c:v>
                </c:pt>
              </c:numCache>
            </c:numRef>
          </c:xVal>
          <c:yVal>
            <c:numRef>
              <c:f>'Y от Х2'!$L$4:$L$61</c:f>
              <c:numCache>
                <c:formatCode>General</c:formatCode>
                <c:ptCount val="58"/>
                <c:pt idx="0">
                  <c:v>-2.1212793024540013</c:v>
                </c:pt>
                <c:pt idx="1">
                  <c:v>-1.8263562979439061</c:v>
                </c:pt>
                <c:pt idx="2">
                  <c:v>-1.6366916466733989</c:v>
                </c:pt>
                <c:pt idx="3">
                  <c:v>-1.492404178320359</c:v>
                </c:pt>
                <c:pt idx="4">
                  <c:v>-1.3738394673770855</c:v>
                </c:pt>
                <c:pt idx="5">
                  <c:v>-1.2719529676842081</c:v>
                </c:pt>
                <c:pt idx="6">
                  <c:v>-1.1817922703491182</c:v>
                </c:pt>
                <c:pt idx="7">
                  <c:v>-1.1003344194590818</c:v>
                </c:pt>
                <c:pt idx="8">
                  <c:v>-1.0255902911278738</c:v>
                </c:pt>
                <c:pt idx="9">
                  <c:v>-0.95617653892006238</c:v>
                </c:pt>
                <c:pt idx="10">
                  <c:v>-0.89108913003410894</c:v>
                </c:pt>
                <c:pt idx="11">
                  <c:v>-0.82957403698182763</c:v>
                </c:pt>
                <c:pt idx="12">
                  <c:v>-0.77104886863964417</c:v>
                </c:pt>
                <c:pt idx="13">
                  <c:v>-0.71505303754992222</c:v>
                </c:pt>
                <c:pt idx="14">
                  <c:v>-0.66121479220131485</c:v>
                </c:pt>
                <c:pt idx="15">
                  <c:v>-0.60922866701399825</c:v>
                </c:pt>
                <c:pt idx="16">
                  <c:v>-0.55883961079677569</c:v>
                </c:pt>
                <c:pt idx="17">
                  <c:v>-0.50983153383249025</c:v>
                </c:pt>
                <c:pt idx="18">
                  <c:v>-0.46201885864912079</c:v>
                </c:pt>
                <c:pt idx="19">
                  <c:v>-0.4152401608260714</c:v>
                </c:pt>
                <c:pt idx="20">
                  <c:v>-0.36935329360674307</c:v>
                </c:pt>
                <c:pt idx="21">
                  <c:v>-0.32423158413730258</c:v>
                </c:pt>
                <c:pt idx="22">
                  <c:v>-0.27976081477122972</c:v>
                </c:pt>
                <c:pt idx="23">
                  <c:v>-0.23583678601109134</c:v>
                </c:pt>
                <c:pt idx="24">
                  <c:v>-0.19236331372250978</c:v>
                </c:pt>
                <c:pt idx="25">
                  <c:v>-0.14925055165580312</c:v>
                </c:pt>
                <c:pt idx="26">
                  <c:v>-0.1064135569156504</c:v>
                </c:pt>
                <c:pt idx="27">
                  <c:v>-6.377103455763064E-2</c:v>
                </c:pt>
                <c:pt idx="28">
                  <c:v>-2.1244210365719055E-2</c:v>
                </c:pt>
                <c:pt idx="29">
                  <c:v>2.1244210365719055E-2</c:v>
                </c:pt>
                <c:pt idx="30">
                  <c:v>6.3771034557630793E-2</c:v>
                </c:pt>
                <c:pt idx="31">
                  <c:v>0.1064135569156504</c:v>
                </c:pt>
                <c:pt idx="32">
                  <c:v>0.14925055165580298</c:v>
                </c:pt>
                <c:pt idx="33">
                  <c:v>0.19236331372250978</c:v>
                </c:pt>
                <c:pt idx="34">
                  <c:v>0.23583678601109134</c:v>
                </c:pt>
                <c:pt idx="35">
                  <c:v>0.27976081477122983</c:v>
                </c:pt>
                <c:pt idx="36">
                  <c:v>0.32423158413730258</c:v>
                </c:pt>
                <c:pt idx="37">
                  <c:v>0.36935329360674291</c:v>
                </c:pt>
                <c:pt idx="38">
                  <c:v>0.4152401608260714</c:v>
                </c:pt>
                <c:pt idx="39">
                  <c:v>0.46201885864912062</c:v>
                </c:pt>
                <c:pt idx="40">
                  <c:v>0.50983153383249047</c:v>
                </c:pt>
                <c:pt idx="41">
                  <c:v>0.55883961079677569</c:v>
                </c:pt>
                <c:pt idx="42">
                  <c:v>0.60922866701399803</c:v>
                </c:pt>
                <c:pt idx="43">
                  <c:v>0.66121479220131485</c:v>
                </c:pt>
                <c:pt idx="44">
                  <c:v>0.71505303754992222</c:v>
                </c:pt>
                <c:pt idx="45">
                  <c:v>0.77104886863964417</c:v>
                </c:pt>
                <c:pt idx="46">
                  <c:v>0.82957403698182763</c:v>
                </c:pt>
                <c:pt idx="47">
                  <c:v>0.89108913003410994</c:v>
                </c:pt>
                <c:pt idx="48">
                  <c:v>0.95617653892006238</c:v>
                </c:pt>
                <c:pt idx="49">
                  <c:v>1.0255902911278738</c:v>
                </c:pt>
                <c:pt idx="50">
                  <c:v>1.1003344194590818</c:v>
                </c:pt>
                <c:pt idx="51">
                  <c:v>1.1817922703491182</c:v>
                </c:pt>
                <c:pt idx="52">
                  <c:v>1.2719529676842083</c:v>
                </c:pt>
                <c:pt idx="53">
                  <c:v>1.3738394673770855</c:v>
                </c:pt>
                <c:pt idx="54">
                  <c:v>1.4924041783203592</c:v>
                </c:pt>
                <c:pt idx="55">
                  <c:v>1.6366916466733989</c:v>
                </c:pt>
                <c:pt idx="56">
                  <c:v>1.8263562979439059</c:v>
                </c:pt>
                <c:pt idx="57">
                  <c:v>2.1212793024540031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1A-4AE7-90EC-66944E50A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12048"/>
        <c:axId val="416129456"/>
      </c:scatterChart>
      <c:valAx>
        <c:axId val="41611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29456"/>
        <c:crosses val="autoZero"/>
        <c:crossBetween val="midCat"/>
      </c:valAx>
      <c:valAx>
        <c:axId val="4161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12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effectLst/>
              </a:rPr>
              <a:t>Линия регрессии на поле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75503062117235E-3"/>
                  <c:y val="-4.12007874015748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Х1'!$C$3:$C$60</c:f>
              <c:numCache>
                <c:formatCode>0.00</c:formatCode>
                <c:ptCount val="58"/>
                <c:pt idx="0">
                  <c:v>70893.600000000006</c:v>
                </c:pt>
                <c:pt idx="1">
                  <c:v>70392.98</c:v>
                </c:pt>
                <c:pt idx="2">
                  <c:v>70256.63</c:v>
                </c:pt>
                <c:pt idx="3">
                  <c:v>70189.759999999995</c:v>
                </c:pt>
                <c:pt idx="4">
                  <c:v>70468.94</c:v>
                </c:pt>
                <c:pt idx="5">
                  <c:v>70520.399999999994</c:v>
                </c:pt>
                <c:pt idx="6">
                  <c:v>74325.27</c:v>
                </c:pt>
                <c:pt idx="7">
                  <c:v>76378.39</c:v>
                </c:pt>
                <c:pt idx="8">
                  <c:v>79677.22</c:v>
                </c:pt>
                <c:pt idx="9">
                  <c:v>80664.95</c:v>
                </c:pt>
                <c:pt idx="10">
                  <c:v>82246.86</c:v>
                </c:pt>
                <c:pt idx="11">
                  <c:v>81836.759999999995</c:v>
                </c:pt>
                <c:pt idx="12">
                  <c:v>78275.3</c:v>
                </c:pt>
                <c:pt idx="13">
                  <c:v>73730.42</c:v>
                </c:pt>
                <c:pt idx="14">
                  <c:v>71289.279999999999</c:v>
                </c:pt>
                <c:pt idx="15">
                  <c:v>72839.63</c:v>
                </c:pt>
                <c:pt idx="16">
                  <c:v>70868.39</c:v>
                </c:pt>
                <c:pt idx="17">
                  <c:v>72645.23</c:v>
                </c:pt>
                <c:pt idx="18">
                  <c:v>72701.83</c:v>
                </c:pt>
                <c:pt idx="19">
                  <c:v>72815.929999999993</c:v>
                </c:pt>
                <c:pt idx="20" formatCode="General">
                  <c:v>72786</c:v>
                </c:pt>
                <c:pt idx="21">
                  <c:v>69715.53</c:v>
                </c:pt>
                <c:pt idx="22">
                  <c:v>70508.039999999994</c:v>
                </c:pt>
                <c:pt idx="23">
                  <c:v>69879.350000000006</c:v>
                </c:pt>
                <c:pt idx="24">
                  <c:v>74218.64</c:v>
                </c:pt>
                <c:pt idx="25">
                  <c:v>72517.240000000005</c:v>
                </c:pt>
                <c:pt idx="26">
                  <c:v>76730.179999999993</c:v>
                </c:pt>
                <c:pt idx="27">
                  <c:v>78696.2</c:v>
                </c:pt>
                <c:pt idx="28">
                  <c:v>82153.98</c:v>
                </c:pt>
                <c:pt idx="29">
                  <c:v>86601.85</c:v>
                </c:pt>
                <c:pt idx="30">
                  <c:v>91844.53</c:v>
                </c:pt>
                <c:pt idx="31">
                  <c:v>95474.23</c:v>
                </c:pt>
                <c:pt idx="32">
                  <c:v>98413.41</c:v>
                </c:pt>
                <c:pt idx="33">
                  <c:v>100417.43</c:v>
                </c:pt>
                <c:pt idx="34">
                  <c:v>98281.93</c:v>
                </c:pt>
                <c:pt idx="35">
                  <c:v>97019.43</c:v>
                </c:pt>
                <c:pt idx="36">
                  <c:v>98420.3</c:v>
                </c:pt>
                <c:pt idx="37">
                  <c:v>97818.39</c:v>
                </c:pt>
                <c:pt idx="38">
                  <c:v>96463.79</c:v>
                </c:pt>
                <c:pt idx="39">
                  <c:v>97592.48</c:v>
                </c:pt>
                <c:pt idx="40">
                  <c:v>95935.15</c:v>
                </c:pt>
                <c:pt idx="41">
                  <c:v>95011.99</c:v>
                </c:pt>
                <c:pt idx="42">
                  <c:v>96402.04</c:v>
                </c:pt>
                <c:pt idx="43">
                  <c:v>95988.39</c:v>
                </c:pt>
                <c:pt idx="44">
                  <c:v>94977.86</c:v>
                </c:pt>
                <c:pt idx="45">
                  <c:v>96262.87</c:v>
                </c:pt>
                <c:pt idx="46">
                  <c:v>97210.37</c:v>
                </c:pt>
                <c:pt idx="47">
                  <c:v>96372.24</c:v>
                </c:pt>
                <c:pt idx="48">
                  <c:v>94819.62</c:v>
                </c:pt>
                <c:pt idx="49">
                  <c:v>94680.68</c:v>
                </c:pt>
                <c:pt idx="50">
                  <c:v>95779.95</c:v>
                </c:pt>
                <c:pt idx="51">
                  <c:v>94871.55</c:v>
                </c:pt>
                <c:pt idx="52">
                  <c:v>95734.9</c:v>
                </c:pt>
                <c:pt idx="53">
                  <c:v>95827.11</c:v>
                </c:pt>
                <c:pt idx="54">
                  <c:v>96289.02</c:v>
                </c:pt>
                <c:pt idx="55">
                  <c:v>98548.43</c:v>
                </c:pt>
                <c:pt idx="56">
                  <c:v>102016.72</c:v>
                </c:pt>
                <c:pt idx="57">
                  <c:v>103575.62</c:v>
                </c:pt>
              </c:numCache>
            </c:numRef>
          </c:xVal>
          <c:yVal>
            <c:numRef>
              <c:f>'Y от Х1'!$B$3:$B$60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FB-41E7-8719-F0C01E0E8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22384"/>
        <c:axId val="416120752"/>
      </c:scatterChart>
      <c:valAx>
        <c:axId val="41612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20752"/>
        <c:crosses val="autoZero"/>
        <c:crossBetween val="midCat"/>
      </c:valAx>
      <c:valAx>
        <c:axId val="4161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22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 от Х1'!$D$3:$D$60</c:f>
              <c:numCache>
                <c:formatCode>General</c:formatCode>
                <c:ptCount val="58"/>
                <c:pt idx="0">
                  <c:v>105.48456955930988</c:v>
                </c:pt>
                <c:pt idx="1">
                  <c:v>104.94927379445656</c:v>
                </c:pt>
                <c:pt idx="2">
                  <c:v>104.80347942439994</c:v>
                </c:pt>
                <c:pt idx="3">
                  <c:v>104.73197763103222</c:v>
                </c:pt>
                <c:pt idx="4">
                  <c:v>105.03049521249471</c:v>
                </c:pt>
                <c:pt idx="5">
                  <c:v>105.08551962234519</c:v>
                </c:pt>
                <c:pt idx="6">
                  <c:v>109.15393637920147</c:v>
                </c:pt>
                <c:pt idx="7">
                  <c:v>111.34926705064011</c:v>
                </c:pt>
                <c:pt idx="8">
                  <c:v>114.87659262287258</c:v>
                </c:pt>
                <c:pt idx="9">
                  <c:v>115.93273837377855</c:v>
                </c:pt>
                <c:pt idx="10">
                  <c:v>117.62422038284549</c:v>
                </c:pt>
                <c:pt idx="11">
                  <c:v>117.18571454375328</c:v>
                </c:pt>
                <c:pt idx="12">
                  <c:v>113.37756773640551</c:v>
                </c:pt>
                <c:pt idx="13">
                  <c:v>108.51788371306151</c:v>
                </c:pt>
                <c:pt idx="14">
                  <c:v>105.90765658786876</c:v>
                </c:pt>
                <c:pt idx="15">
                  <c:v>107.56539257332743</c:v>
                </c:pt>
                <c:pt idx="16">
                  <c:v>105.45761337251759</c:v>
                </c:pt>
                <c:pt idx="17">
                  <c:v>107.35752733285065</c:v>
                </c:pt>
                <c:pt idx="18">
                  <c:v>107.41804776809235</c:v>
                </c:pt>
                <c:pt idx="19">
                  <c:v>107.54005097765202</c:v>
                </c:pt>
                <c:pt idx="20">
                  <c:v>107.50804785703747</c:v>
                </c:pt>
                <c:pt idx="21">
                  <c:v>104.22489978642677</c:v>
                </c:pt>
                <c:pt idx="22">
                  <c:v>105.07230349903092</c:v>
                </c:pt>
                <c:pt idx="23">
                  <c:v>104.4000668836228</c:v>
                </c:pt>
                <c:pt idx="24">
                  <c:v>109.03992058397493</c:v>
                </c:pt>
                <c:pt idx="25">
                  <c:v>107.22067202354705</c:v>
                </c:pt>
                <c:pt idx="26">
                  <c:v>111.72542401024567</c:v>
                </c:pt>
                <c:pt idx="27">
                  <c:v>113.82762164441309</c:v>
                </c:pt>
                <c:pt idx="28">
                  <c:v>117.52490699017325</c:v>
                </c:pt>
                <c:pt idx="29">
                  <c:v>122.28086155375054</c:v>
                </c:pt>
                <c:pt idx="30">
                  <c:v>127.88667914090468</c:v>
                </c:pt>
                <c:pt idx="31">
                  <c:v>131.76779263554738</c:v>
                </c:pt>
                <c:pt idx="32">
                  <c:v>134.91055682024142</c:v>
                </c:pt>
                <c:pt idx="33">
                  <c:v>137.05338654874072</c:v>
                </c:pt>
                <c:pt idx="34">
                  <c:v>134.76996977385312</c:v>
                </c:pt>
                <c:pt idx="35">
                  <c:v>133.42002190295844</c:v>
                </c:pt>
                <c:pt idx="36">
                  <c:v>134.9179240605032</c:v>
                </c:pt>
                <c:pt idx="37">
                  <c:v>134.2743223789426</c:v>
                </c:pt>
                <c:pt idx="38">
                  <c:v>132.82589514257512</c:v>
                </c:pt>
                <c:pt idx="39">
                  <c:v>134.03276457813956</c:v>
                </c:pt>
                <c:pt idx="40">
                  <c:v>132.26063855448027</c:v>
                </c:pt>
                <c:pt idx="41">
                  <c:v>131.27353528596927</c:v>
                </c:pt>
                <c:pt idx="42">
                  <c:v>132.75986798928585</c:v>
                </c:pt>
                <c:pt idx="43">
                  <c:v>132.31756625717054</c:v>
                </c:pt>
                <c:pt idx="44">
                  <c:v>131.23704124966542</c:v>
                </c:pt>
                <c:pt idx="45">
                  <c:v>132.61105829012354</c:v>
                </c:pt>
                <c:pt idx="46">
                  <c:v>133.62418748431975</c:v>
                </c:pt>
                <c:pt idx="47">
                  <c:v>132.72800387320453</c:v>
                </c:pt>
                <c:pt idx="48">
                  <c:v>131.06784065474233</c:v>
                </c:pt>
                <c:pt idx="49">
                  <c:v>130.91927688667732</c:v>
                </c:pt>
                <c:pt idx="50">
                  <c:v>132.09468852710376</c:v>
                </c:pt>
                <c:pt idx="51">
                  <c:v>131.1233676194438</c:v>
                </c:pt>
                <c:pt idx="52">
                  <c:v>132.04651811000767</c:v>
                </c:pt>
                <c:pt idx="53">
                  <c:v>132.14511509470088</c:v>
                </c:pt>
                <c:pt idx="54">
                  <c:v>132.63901958661771</c:v>
                </c:pt>
                <c:pt idx="55">
                  <c:v>135.05492906699641</c:v>
                </c:pt>
                <c:pt idx="56">
                  <c:v>138.76345239463629</c:v>
                </c:pt>
                <c:pt idx="57">
                  <c:v>140.43033060131961</c:v>
                </c:pt>
              </c:numCache>
            </c:numRef>
          </c:xVal>
          <c:yVal>
            <c:numRef>
              <c:f>'Y от Х1'!$E$3:$E$60</c:f>
              <c:numCache>
                <c:formatCode>0.00</c:formatCode>
                <c:ptCount val="58"/>
                <c:pt idx="0">
                  <c:v>-3.1645695593098822</c:v>
                </c:pt>
                <c:pt idx="1">
                  <c:v>-2.7392737944565653</c:v>
                </c:pt>
                <c:pt idx="2">
                  <c:v>-2.643479424399942</c:v>
                </c:pt>
                <c:pt idx="3">
                  <c:v>-2.6719776310322203</c:v>
                </c:pt>
                <c:pt idx="4">
                  <c:v>-2.4804952124947164</c:v>
                </c:pt>
                <c:pt idx="5">
                  <c:v>-0.73551962234519408</c:v>
                </c:pt>
                <c:pt idx="6">
                  <c:v>-1.5839363792014751</c:v>
                </c:pt>
                <c:pt idx="7">
                  <c:v>0.61073294935988542</c:v>
                </c:pt>
                <c:pt idx="8">
                  <c:v>0.39340737712741713</c:v>
                </c:pt>
                <c:pt idx="9">
                  <c:v>1.2372616262214535</c:v>
                </c:pt>
                <c:pt idx="10">
                  <c:v>-1.4220382845493873E-2</c:v>
                </c:pt>
                <c:pt idx="11">
                  <c:v>7.4285456246727222E-2</c:v>
                </c:pt>
                <c:pt idx="12">
                  <c:v>2.5024322635944856</c:v>
                </c:pt>
                <c:pt idx="13">
                  <c:v>4.8321162869384864</c:v>
                </c:pt>
                <c:pt idx="14">
                  <c:v>5.4823434121312431</c:v>
                </c:pt>
                <c:pt idx="15">
                  <c:v>2.1946074266725759</c:v>
                </c:pt>
                <c:pt idx="16">
                  <c:v>4.042386627482415</c:v>
                </c:pt>
                <c:pt idx="17">
                  <c:v>1.5024726671493482</c:v>
                </c:pt>
                <c:pt idx="18">
                  <c:v>1.0719522319076447</c:v>
                </c:pt>
                <c:pt idx="19">
                  <c:v>0.81994902234798417</c:v>
                </c:pt>
                <c:pt idx="20">
                  <c:v>0.68195214296252971</c:v>
                </c:pt>
                <c:pt idx="21">
                  <c:v>3.5751002135732222</c:v>
                </c:pt>
                <c:pt idx="22">
                  <c:v>2.3976965009690758</c:v>
                </c:pt>
                <c:pt idx="23">
                  <c:v>2.6299331163772024</c:v>
                </c:pt>
                <c:pt idx="24">
                  <c:v>-2.4299205839749334</c:v>
                </c:pt>
                <c:pt idx="25">
                  <c:v>-0.65067202354705955</c:v>
                </c:pt>
                <c:pt idx="26">
                  <c:v>-5.2354240102456799</c:v>
                </c:pt>
                <c:pt idx="27">
                  <c:v>-6.787621644413079</c:v>
                </c:pt>
                <c:pt idx="28">
                  <c:v>-6.1749069901732554</c:v>
                </c:pt>
                <c:pt idx="29">
                  <c:v>-4.7408615537505341</c:v>
                </c:pt>
                <c:pt idx="30">
                  <c:v>-5.3066791409046772</c:v>
                </c:pt>
                <c:pt idx="31">
                  <c:v>-3.6077926355473835</c:v>
                </c:pt>
                <c:pt idx="32">
                  <c:v>-2.0505568202414111</c:v>
                </c:pt>
                <c:pt idx="33">
                  <c:v>-2.1333865487407309</c:v>
                </c:pt>
                <c:pt idx="34">
                  <c:v>0.9300302261468687</c:v>
                </c:pt>
                <c:pt idx="35">
                  <c:v>2.7199780970415475</c:v>
                </c:pt>
                <c:pt idx="36">
                  <c:v>5.2320759394968093</c:v>
                </c:pt>
                <c:pt idx="37">
                  <c:v>5.8156776210574037</c:v>
                </c:pt>
                <c:pt idx="38">
                  <c:v>6.2741048574248737</c:v>
                </c:pt>
                <c:pt idx="39">
                  <c:v>3.4672354218604369</c:v>
                </c:pt>
                <c:pt idx="40">
                  <c:v>3.8593614455197383</c:v>
                </c:pt>
                <c:pt idx="41">
                  <c:v>3.946464714030725</c:v>
                </c:pt>
                <c:pt idx="42">
                  <c:v>1.9701320107141385</c:v>
                </c:pt>
                <c:pt idx="43">
                  <c:v>2.0724337428294461</c:v>
                </c:pt>
                <c:pt idx="44">
                  <c:v>3.272958750334567</c:v>
                </c:pt>
                <c:pt idx="45">
                  <c:v>1.8489417098764704</c:v>
                </c:pt>
                <c:pt idx="46">
                  <c:v>0.64581251568026232</c:v>
                </c:pt>
                <c:pt idx="47">
                  <c:v>1.0019961267954614</c:v>
                </c:pt>
                <c:pt idx="48">
                  <c:v>0.94215934525766443</c:v>
                </c:pt>
                <c:pt idx="49">
                  <c:v>-0.32927688667732014</c:v>
                </c:pt>
                <c:pt idx="50">
                  <c:v>-1.8146885271037547</c:v>
                </c:pt>
                <c:pt idx="51">
                  <c:v>-1.963367619443801</c:v>
                </c:pt>
                <c:pt idx="52">
                  <c:v>-3.10651811000767</c:v>
                </c:pt>
                <c:pt idx="53">
                  <c:v>-2.8451150947008728</c:v>
                </c:pt>
                <c:pt idx="54">
                  <c:v>-1.4190195866177078</c:v>
                </c:pt>
                <c:pt idx="55">
                  <c:v>-2.5349290669963978</c:v>
                </c:pt>
                <c:pt idx="56">
                  <c:v>-4.513452394636289</c:v>
                </c:pt>
                <c:pt idx="57">
                  <c:v>-4.3703306013196084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36-49F3-8E3C-2117187D4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26736"/>
        <c:axId val="416130544"/>
      </c:scatterChart>
      <c:valAx>
        <c:axId val="41612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30544"/>
        <c:crosses val="autoZero"/>
        <c:crossBetween val="midCat"/>
      </c:valAx>
      <c:valAx>
        <c:axId val="41613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2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Х1'!$J$4:$J$61</c:f>
              <c:numCache>
                <c:formatCode>0.00</c:formatCode>
                <c:ptCount val="58"/>
                <c:pt idx="0">
                  <c:v>-6.787621644413079</c:v>
                </c:pt>
                <c:pt idx="1">
                  <c:v>-6.1749069901732554</c:v>
                </c:pt>
                <c:pt idx="2">
                  <c:v>-5.3066791409046772</c:v>
                </c:pt>
                <c:pt idx="3">
                  <c:v>-5.2354240102456799</c:v>
                </c:pt>
                <c:pt idx="4">
                  <c:v>-4.7408615537505341</c:v>
                </c:pt>
                <c:pt idx="5">
                  <c:v>-4.513452394636289</c:v>
                </c:pt>
                <c:pt idx="6">
                  <c:v>-4.3703306013196084</c:v>
                </c:pt>
                <c:pt idx="7">
                  <c:v>-3.6077926355473835</c:v>
                </c:pt>
                <c:pt idx="8">
                  <c:v>-3.1645695593098822</c:v>
                </c:pt>
                <c:pt idx="9">
                  <c:v>-3.10651811000767</c:v>
                </c:pt>
                <c:pt idx="10">
                  <c:v>-2.8451150947008728</c:v>
                </c:pt>
                <c:pt idx="11">
                  <c:v>-2.7392737944565653</c:v>
                </c:pt>
                <c:pt idx="12">
                  <c:v>-2.6719776310322203</c:v>
                </c:pt>
                <c:pt idx="13">
                  <c:v>-2.643479424399942</c:v>
                </c:pt>
                <c:pt idx="14">
                  <c:v>-2.5349290669963978</c:v>
                </c:pt>
                <c:pt idx="15">
                  <c:v>-2.4804952124947164</c:v>
                </c:pt>
                <c:pt idx="16">
                  <c:v>-2.4299205839749334</c:v>
                </c:pt>
                <c:pt idx="17">
                  <c:v>-2.1333865487407309</c:v>
                </c:pt>
                <c:pt idx="18">
                  <c:v>-2.0505568202414111</c:v>
                </c:pt>
                <c:pt idx="19">
                  <c:v>-1.963367619443801</c:v>
                </c:pt>
                <c:pt idx="20">
                  <c:v>-1.8146885271037547</c:v>
                </c:pt>
                <c:pt idx="21">
                  <c:v>-1.5839363792014751</c:v>
                </c:pt>
                <c:pt idx="22">
                  <c:v>-1.4190195866177078</c:v>
                </c:pt>
                <c:pt idx="23">
                  <c:v>-0.73551962234519408</c:v>
                </c:pt>
                <c:pt idx="24">
                  <c:v>-0.65067202354705955</c:v>
                </c:pt>
                <c:pt idx="25">
                  <c:v>-0.32927688667732014</c:v>
                </c:pt>
                <c:pt idx="26">
                  <c:v>-1.4220382845493873E-2</c:v>
                </c:pt>
                <c:pt idx="27">
                  <c:v>7.4285456246727222E-2</c:v>
                </c:pt>
                <c:pt idx="28" formatCode="General">
                  <c:v>0.39340737712741713</c:v>
                </c:pt>
                <c:pt idx="29">
                  <c:v>0.61073294935988542</c:v>
                </c:pt>
                <c:pt idx="30">
                  <c:v>0.64581251568026232</c:v>
                </c:pt>
                <c:pt idx="31">
                  <c:v>0.68195214296252971</c:v>
                </c:pt>
                <c:pt idx="32">
                  <c:v>0.81994902234798417</c:v>
                </c:pt>
                <c:pt idx="33">
                  <c:v>0.9300302261468687</c:v>
                </c:pt>
                <c:pt idx="34">
                  <c:v>0.94215934525766443</c:v>
                </c:pt>
                <c:pt idx="35">
                  <c:v>1.0019961267954614</c:v>
                </c:pt>
                <c:pt idx="36">
                  <c:v>1.0719522319076447</c:v>
                </c:pt>
                <c:pt idx="37">
                  <c:v>1.2372616262214535</c:v>
                </c:pt>
                <c:pt idx="38">
                  <c:v>1.5024726671493482</c:v>
                </c:pt>
                <c:pt idx="39">
                  <c:v>1.8489417098764704</c:v>
                </c:pt>
                <c:pt idx="40">
                  <c:v>1.9701320107141385</c:v>
                </c:pt>
                <c:pt idx="41">
                  <c:v>2.0724337428294461</c:v>
                </c:pt>
                <c:pt idx="42">
                  <c:v>2.1946074266725759</c:v>
                </c:pt>
                <c:pt idx="43">
                  <c:v>2.3976965009690758</c:v>
                </c:pt>
                <c:pt idx="44">
                  <c:v>2.5024322635944856</c:v>
                </c:pt>
                <c:pt idx="45">
                  <c:v>2.6299331163772024</c:v>
                </c:pt>
                <c:pt idx="46">
                  <c:v>2.7199780970415475</c:v>
                </c:pt>
                <c:pt idx="47">
                  <c:v>3.272958750334567</c:v>
                </c:pt>
                <c:pt idx="48">
                  <c:v>3.4672354218604369</c:v>
                </c:pt>
                <c:pt idx="49">
                  <c:v>3.5751002135732222</c:v>
                </c:pt>
                <c:pt idx="50">
                  <c:v>3.8593614455197383</c:v>
                </c:pt>
                <c:pt idx="51">
                  <c:v>3.946464714030725</c:v>
                </c:pt>
                <c:pt idx="52">
                  <c:v>4.042386627482415</c:v>
                </c:pt>
                <c:pt idx="53">
                  <c:v>4.8321162869384864</c:v>
                </c:pt>
                <c:pt idx="54">
                  <c:v>5.2320759394968093</c:v>
                </c:pt>
                <c:pt idx="55">
                  <c:v>5.4823434121312431</c:v>
                </c:pt>
                <c:pt idx="56">
                  <c:v>5.8156776210574037</c:v>
                </c:pt>
                <c:pt idx="57">
                  <c:v>6.2741048574248737</c:v>
                </c:pt>
              </c:numCache>
            </c:numRef>
          </c:xVal>
          <c:yVal>
            <c:numRef>
              <c:f>'Y от Х1'!$L$4:$L$61</c:f>
              <c:numCache>
                <c:formatCode>General</c:formatCode>
                <c:ptCount val="58"/>
                <c:pt idx="0">
                  <c:v>-2.1212793024540013</c:v>
                </c:pt>
                <c:pt idx="1">
                  <c:v>-1.8263562979439061</c:v>
                </c:pt>
                <c:pt idx="2">
                  <c:v>-1.6366916466733989</c:v>
                </c:pt>
                <c:pt idx="3">
                  <c:v>-1.492404178320359</c:v>
                </c:pt>
                <c:pt idx="4">
                  <c:v>-1.3738394673770855</c:v>
                </c:pt>
                <c:pt idx="5">
                  <c:v>-1.2719529676842081</c:v>
                </c:pt>
                <c:pt idx="6">
                  <c:v>-1.1817922703491182</c:v>
                </c:pt>
                <c:pt idx="7">
                  <c:v>-1.1003344194590818</c:v>
                </c:pt>
                <c:pt idx="8">
                  <c:v>-1.0255902911278738</c:v>
                </c:pt>
                <c:pt idx="9">
                  <c:v>-0.95617653892006238</c:v>
                </c:pt>
                <c:pt idx="10">
                  <c:v>-0.89108913003410894</c:v>
                </c:pt>
                <c:pt idx="11">
                  <c:v>-0.82957403698182763</c:v>
                </c:pt>
                <c:pt idx="12">
                  <c:v>-0.77104886863964417</c:v>
                </c:pt>
                <c:pt idx="13">
                  <c:v>-0.71505303754992222</c:v>
                </c:pt>
                <c:pt idx="14">
                  <c:v>-0.66121479220131485</c:v>
                </c:pt>
                <c:pt idx="15">
                  <c:v>-0.60922866701399825</c:v>
                </c:pt>
                <c:pt idx="16">
                  <c:v>-0.55883961079677569</c:v>
                </c:pt>
                <c:pt idx="17">
                  <c:v>-0.50983153383249025</c:v>
                </c:pt>
                <c:pt idx="18">
                  <c:v>-0.46201885864912079</c:v>
                </c:pt>
                <c:pt idx="19">
                  <c:v>-0.4152401608260714</c:v>
                </c:pt>
                <c:pt idx="20">
                  <c:v>-0.36935329360674307</c:v>
                </c:pt>
                <c:pt idx="21">
                  <c:v>-0.32423158413730258</c:v>
                </c:pt>
                <c:pt idx="22">
                  <c:v>-0.27976081477122972</c:v>
                </c:pt>
                <c:pt idx="23">
                  <c:v>-0.23583678601109134</c:v>
                </c:pt>
                <c:pt idx="24">
                  <c:v>-0.19236331372250978</c:v>
                </c:pt>
                <c:pt idx="25">
                  <c:v>-0.14925055165580312</c:v>
                </c:pt>
                <c:pt idx="26">
                  <c:v>-0.1064135569156504</c:v>
                </c:pt>
                <c:pt idx="27">
                  <c:v>-6.377103455763064E-2</c:v>
                </c:pt>
                <c:pt idx="28">
                  <c:v>-2.1244210365719055E-2</c:v>
                </c:pt>
                <c:pt idx="29">
                  <c:v>2.1244210365719055E-2</c:v>
                </c:pt>
                <c:pt idx="30">
                  <c:v>6.3771034557630793E-2</c:v>
                </c:pt>
                <c:pt idx="31">
                  <c:v>0.1064135569156504</c:v>
                </c:pt>
                <c:pt idx="32">
                  <c:v>0.14925055165580298</c:v>
                </c:pt>
                <c:pt idx="33">
                  <c:v>0.19236331372250978</c:v>
                </c:pt>
                <c:pt idx="34">
                  <c:v>0.23583678601109134</c:v>
                </c:pt>
                <c:pt idx="35">
                  <c:v>0.27976081477122983</c:v>
                </c:pt>
                <c:pt idx="36">
                  <c:v>0.32423158413730258</c:v>
                </c:pt>
                <c:pt idx="37">
                  <c:v>0.36935329360674291</c:v>
                </c:pt>
                <c:pt idx="38">
                  <c:v>0.4152401608260714</c:v>
                </c:pt>
                <c:pt idx="39">
                  <c:v>0.46201885864912062</c:v>
                </c:pt>
                <c:pt idx="40">
                  <c:v>0.50983153383249047</c:v>
                </c:pt>
                <c:pt idx="41">
                  <c:v>0.55883961079677569</c:v>
                </c:pt>
                <c:pt idx="42">
                  <c:v>0.60922866701399803</c:v>
                </c:pt>
                <c:pt idx="43">
                  <c:v>0.66121479220131485</c:v>
                </c:pt>
                <c:pt idx="44">
                  <c:v>0.71505303754992222</c:v>
                </c:pt>
                <c:pt idx="45">
                  <c:v>0.77104886863964417</c:v>
                </c:pt>
                <c:pt idx="46">
                  <c:v>0.82957403698182763</c:v>
                </c:pt>
                <c:pt idx="47">
                  <c:v>0.89108913003410994</c:v>
                </c:pt>
                <c:pt idx="48">
                  <c:v>0.95617653892006238</c:v>
                </c:pt>
                <c:pt idx="49">
                  <c:v>1.0255902911278738</c:v>
                </c:pt>
                <c:pt idx="50">
                  <c:v>1.1003344194590818</c:v>
                </c:pt>
                <c:pt idx="51">
                  <c:v>1.1817922703491182</c:v>
                </c:pt>
                <c:pt idx="52">
                  <c:v>1.2719529676842083</c:v>
                </c:pt>
                <c:pt idx="53">
                  <c:v>1.3738394673770855</c:v>
                </c:pt>
                <c:pt idx="54">
                  <c:v>1.4924041783203592</c:v>
                </c:pt>
                <c:pt idx="55">
                  <c:v>1.6366916466733989</c:v>
                </c:pt>
                <c:pt idx="56">
                  <c:v>1.8263562979439059</c:v>
                </c:pt>
                <c:pt idx="57">
                  <c:v>2.1212793024540031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7F-4555-8240-825C562DD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19120"/>
        <c:axId val="416131088"/>
      </c:scatterChart>
      <c:valAx>
        <c:axId val="4161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31088"/>
        <c:crosses val="autoZero"/>
        <c:crossBetween val="midCat"/>
      </c:valAx>
      <c:valAx>
        <c:axId val="4161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1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'Y от t-2'!$E$5:$E$61</c:f>
              <c:strCache>
                <c:ptCount val="57"/>
                <c:pt idx="0">
                  <c:v> - </c:v>
                </c:pt>
                <c:pt idx="1">
                  <c:v>102,6988126</c:v>
                </c:pt>
                <c:pt idx="2">
                  <c:v>102,6990502</c:v>
                </c:pt>
                <c:pt idx="3">
                  <c:v>102,560511</c:v>
                </c:pt>
                <c:pt idx="4">
                  <c:v>103,5214703</c:v>
                </c:pt>
                <c:pt idx="5">
                  <c:v>106,3504452</c:v>
                </c:pt>
                <c:pt idx="6">
                  <c:v>110,6560375</c:v>
                </c:pt>
                <c:pt idx="7">
                  <c:v>115,8997325</c:v>
                </c:pt>
                <c:pt idx="8">
                  <c:v>118,2488839</c:v>
                </c:pt>
                <c:pt idx="9">
                  <c:v>118,9512822</c:v>
                </c:pt>
                <c:pt idx="10">
                  <c:v>118,1870659</c:v>
                </c:pt>
                <c:pt idx="11">
                  <c:v>117,1992741</c:v>
                </c:pt>
                <c:pt idx="12">
                  <c:v>115,0094049</c:v>
                </c:pt>
                <c:pt idx="13">
                  <c:v>111,5984029</c:v>
                </c:pt>
                <c:pt idx="14">
                  <c:v>110,1505187</c:v>
                </c:pt>
                <c:pt idx="15">
                  <c:v>108,8286326</c:v>
                </c:pt>
                <c:pt idx="16">
                  <c:v>109,6950278</c:v>
                </c:pt>
                <c:pt idx="17">
                  <c:v>108,7593132</c:v>
                </c:pt>
                <c:pt idx="18">
                  <c:v>108,618786</c:v>
                </c:pt>
                <c:pt idx="19">
                  <c:v>108,6880932</c:v>
                </c:pt>
                <c:pt idx="20">
                  <c:v>108,4893745</c:v>
                </c:pt>
                <c:pt idx="21">
                  <c:v>107,9286284</c:v>
                </c:pt>
                <c:pt idx="22">
                  <c:v>107,6554387</c:v>
                </c:pt>
                <c:pt idx="23">
                  <c:v>107,1358168</c:v>
                </c:pt>
                <c:pt idx="24">
                  <c:v>106,7420305</c:v>
                </c:pt>
                <c:pt idx="25">
                  <c:v>107,0137073</c:v>
                </c:pt>
                <c:pt idx="26">
                  <c:v>106,902876</c:v>
                </c:pt>
                <c:pt idx="27">
                  <c:v>107,9551361</c:v>
                </c:pt>
                <c:pt idx="28">
                  <c:v>115,2386331</c:v>
                </c:pt>
                <c:pt idx="29">
                  <c:v>122,8206642</c:v>
                </c:pt>
                <c:pt idx="30">
                  <c:v>126,8019645</c:v>
                </c:pt>
                <c:pt idx="31">
                  <c:v>132,6925547</c:v>
                </c:pt>
                <c:pt idx="32">
                  <c:v>136,5626236</c:v>
                </c:pt>
                <c:pt idx="33">
                  <c:v>136,4154565</c:v>
                </c:pt>
                <c:pt idx="34">
                  <c:v>136,1304507</c:v>
                </c:pt>
                <c:pt idx="35">
                  <c:v>136,2820935</c:v>
                </c:pt>
                <c:pt idx="36">
                  <c:v>143,1172638</c:v>
                </c:pt>
                <c:pt idx="37">
                  <c:v>139,7305058</c:v>
                </c:pt>
                <c:pt idx="38">
                  <c:v>138,0032548</c:v>
                </c:pt>
                <c:pt idx="39">
                  <c:v>135,9419971</c:v>
                </c:pt>
                <c:pt idx="40">
                  <c:v>134,774292</c:v>
                </c:pt>
                <c:pt idx="41">
                  <c:v>134,2879296</c:v>
                </c:pt>
                <c:pt idx="42">
                  <c:v>134,1447017</c:v>
                </c:pt>
                <c:pt idx="43">
                  <c:v>133,9353425</c:v>
                </c:pt>
                <c:pt idx="44">
                  <c:v>134,4286821</c:v>
                </c:pt>
                <c:pt idx="45">
                  <c:v>134,2408414</c:v>
                </c:pt>
                <c:pt idx="46">
                  <c:v>133,9408191</c:v>
                </c:pt>
                <c:pt idx="47">
                  <c:v>133,1272891</c:v>
                </c:pt>
                <c:pt idx="48">
                  <c:v>130,4827413</c:v>
                </c:pt>
                <c:pt idx="49">
                  <c:v>129,3413937</c:v>
                </c:pt>
                <c:pt idx="50">
                  <c:v>129,9463524</c:v>
                </c:pt>
                <c:pt idx="51">
                  <c:v>128,1902809</c:v>
                </c:pt>
                <c:pt idx="52">
                  <c:v>128,7114033</c:v>
                </c:pt>
                <c:pt idx="53">
                  <c:v>129,5372369</c:v>
                </c:pt>
                <c:pt idx="54">
                  <c:v>132,6878278</c:v>
                </c:pt>
                <c:pt idx="55">
                  <c:v>133,4503182</c:v>
                </c:pt>
                <c:pt idx="56">
                  <c:v>135,4913327</c:v>
                </c:pt>
              </c:strCache>
            </c:strRef>
          </c:xVal>
          <c:yVal>
            <c:numRef>
              <c:f>'Y от t-2'!$F$5:$F$61</c:f>
              <c:numCache>
                <c:formatCode>0.00</c:formatCode>
                <c:ptCount val="57"/>
                <c:pt idx="0" formatCode="General">
                  <c:v>0</c:v>
                </c:pt>
                <c:pt idx="1">
                  <c:v>-0.53881259931405623</c:v>
                </c:pt>
                <c:pt idx="2">
                  <c:v>-0.63905017662469277</c:v>
                </c:pt>
                <c:pt idx="3">
                  <c:v>-1.0511005798505835E-2</c:v>
                </c:pt>
                <c:pt idx="4">
                  <c:v>0.82852974962744952</c:v>
                </c:pt>
                <c:pt idx="5">
                  <c:v>1.2195548310298676</c:v>
                </c:pt>
                <c:pt idx="6">
                  <c:v>1.3039624823972815</c:v>
                </c:pt>
                <c:pt idx="7">
                  <c:v>-0.62973250755685228</c:v>
                </c:pt>
                <c:pt idx="8">
                  <c:v>-1.0788838848520186</c:v>
                </c:pt>
                <c:pt idx="9">
                  <c:v>-1.3412822008084788</c:v>
                </c:pt>
                <c:pt idx="10">
                  <c:v>-0.9270659244923678</c:v>
                </c:pt>
                <c:pt idx="11">
                  <c:v>-1.3192740610114271</c:v>
                </c:pt>
                <c:pt idx="12">
                  <c:v>-1.6594048527150989</c:v>
                </c:pt>
                <c:pt idx="13">
                  <c:v>-0.20840293332109638</c:v>
                </c:pt>
                <c:pt idx="14">
                  <c:v>-0.3905187406781323</c:v>
                </c:pt>
                <c:pt idx="15">
                  <c:v>0.67136737533381563</c:v>
                </c:pt>
                <c:pt idx="16">
                  <c:v>-0.83502776976031612</c:v>
                </c:pt>
                <c:pt idx="17">
                  <c:v>-0.26931319690304178</c:v>
                </c:pt>
                <c:pt idx="18">
                  <c:v>-0.25878601824959446</c:v>
                </c:pt>
                <c:pt idx="19">
                  <c:v>-0.49809315065482451</c:v>
                </c:pt>
                <c:pt idx="20">
                  <c:v>-0.68937446992757145</c:v>
                </c:pt>
                <c:pt idx="21">
                  <c:v>-0.45862842055139197</c:v>
                </c:pt>
                <c:pt idx="22">
                  <c:v>-0.62543870521130884</c:v>
                </c:pt>
                <c:pt idx="23">
                  <c:v>-0.52581679945383542</c:v>
                </c:pt>
                <c:pt idx="24">
                  <c:v>-0.17203048700100965</c:v>
                </c:pt>
                <c:pt idx="25">
                  <c:v>-0.52370734913512251</c:v>
                </c:pt>
                <c:pt idx="26">
                  <c:v>0.13712398752583965</c:v>
                </c:pt>
                <c:pt idx="27">
                  <c:v>3.3948639271944501</c:v>
                </c:pt>
                <c:pt idx="28">
                  <c:v>2.3013668860965595</c:v>
                </c:pt>
                <c:pt idx="29">
                  <c:v>-0.24066422675831234</c:v>
                </c:pt>
                <c:pt idx="30">
                  <c:v>1.3580355306144867</c:v>
                </c:pt>
                <c:pt idx="31">
                  <c:v>0.16744528237654777</c:v>
                </c:pt>
                <c:pt idx="32">
                  <c:v>-1.6426235629527071</c:v>
                </c:pt>
                <c:pt idx="33">
                  <c:v>-0.71545651495944185</c:v>
                </c:pt>
                <c:pt idx="34">
                  <c:v>9.549267285933638E-3</c:v>
                </c:pt>
                <c:pt idx="35">
                  <c:v>3.867906458301178</c:v>
                </c:pt>
                <c:pt idx="36">
                  <c:v>-3.027263817271745</c:v>
                </c:pt>
                <c:pt idx="37">
                  <c:v>-0.63050575708362544</c:v>
                </c:pt>
                <c:pt idx="38">
                  <c:v>-0.50325483902406631</c:v>
                </c:pt>
                <c:pt idx="39">
                  <c:v>0.17800294222428192</c:v>
                </c:pt>
                <c:pt idx="40">
                  <c:v>0.4457079928186829</c:v>
                </c:pt>
                <c:pt idx="41">
                  <c:v>0.44207039692420835</c:v>
                </c:pt>
                <c:pt idx="42">
                  <c:v>0.24529831533675406</c:v>
                </c:pt>
                <c:pt idx="43">
                  <c:v>0.57465747177411686</c:v>
                </c:pt>
                <c:pt idx="44">
                  <c:v>3.1317936318117745E-2</c:v>
                </c:pt>
                <c:pt idx="45">
                  <c:v>2.9158564024584166E-2</c:v>
                </c:pt>
                <c:pt idx="46">
                  <c:v>-0.21081910172839002</c:v>
                </c:pt>
                <c:pt idx="47">
                  <c:v>-1.1172890731740495</c:v>
                </c:pt>
                <c:pt idx="48">
                  <c:v>0.10725868940809846</c:v>
                </c:pt>
                <c:pt idx="49">
                  <c:v>0.93860627571680766</c:v>
                </c:pt>
                <c:pt idx="50">
                  <c:v>-0.78635242231626989</c:v>
                </c:pt>
                <c:pt idx="51">
                  <c:v>0.74971912247741557</c:v>
                </c:pt>
                <c:pt idx="52">
                  <c:v>0.58859665887192136</c:v>
                </c:pt>
                <c:pt idx="53">
                  <c:v>1.6827631134330261</c:v>
                </c:pt>
                <c:pt idx="54">
                  <c:v>-0.16782776212662043</c:v>
                </c:pt>
                <c:pt idx="55">
                  <c:v>0.79968180135796274</c:v>
                </c:pt>
                <c:pt idx="56">
                  <c:v>0.56866727294516295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10-4DD5-8406-022A67087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38160"/>
        <c:axId val="416141424"/>
      </c:scatterChart>
      <c:valAx>
        <c:axId val="41613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41424"/>
        <c:crosses val="autoZero"/>
        <c:crossBetween val="midCat"/>
      </c:valAx>
      <c:valAx>
        <c:axId val="4161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3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t-2'!$L$4:$L$59</c:f>
              <c:numCache>
                <c:formatCode>General</c:formatCode>
                <c:ptCount val="56"/>
                <c:pt idx="0">
                  <c:v>-2.5651389861244667</c:v>
                </c:pt>
                <c:pt idx="1">
                  <c:v>-2.3206729747299164</c:v>
                </c:pt>
                <c:pt idx="2">
                  <c:v>-2.1598368831867276</c:v>
                </c:pt>
                <c:pt idx="3">
                  <c:v>-1.9368943163827907</c:v>
                </c:pt>
                <c:pt idx="4">
                  <c:v>-1.8144241987222927</c:v>
                </c:pt>
                <c:pt idx="5">
                  <c:v>-1.7306137254829821</c:v>
                </c:pt>
                <c:pt idx="6">
                  <c:v>-1.7033948810429536</c:v>
                </c:pt>
                <c:pt idx="7">
                  <c:v>-1.5562140365343282</c:v>
                </c:pt>
                <c:pt idx="8">
                  <c:v>-1.4300434207697066</c:v>
                </c:pt>
                <c:pt idx="9">
                  <c:v>-1.4114428061924968</c:v>
                </c:pt>
                <c:pt idx="10">
                  <c:v>-1.3995936685132051</c:v>
                </c:pt>
                <c:pt idx="11">
                  <c:v>-1.2915464300942432</c:v>
                </c:pt>
                <c:pt idx="12">
                  <c:v>-1.2616296187298985</c:v>
                </c:pt>
                <c:pt idx="13">
                  <c:v>-1.1989563546234905</c:v>
                </c:pt>
                <c:pt idx="14">
                  <c:v>-1.1412630162337507</c:v>
                </c:pt>
                <c:pt idx="15">
                  <c:v>-1.1203071095846298</c:v>
                </c:pt>
                <c:pt idx="16">
                  <c:v>-1.0625855642543343</c:v>
                </c:pt>
                <c:pt idx="17">
                  <c:v>-1.0492334172505196</c:v>
                </c:pt>
                <c:pt idx="18">
                  <c:v>-1.04212030388382</c:v>
                </c:pt>
                <c:pt idx="19">
                  <c:v>-1.0245516996474606</c:v>
                </c:pt>
                <c:pt idx="20">
                  <c:v>-0.98833316364168411</c:v>
                </c:pt>
                <c:pt idx="21">
                  <c:v>-0.94445584742021538</c:v>
                </c:pt>
                <c:pt idx="22">
                  <c:v>-0.92096173503816203</c:v>
                </c:pt>
                <c:pt idx="23">
                  <c:v>-0.89335605531712758</c:v>
                </c:pt>
                <c:pt idx="24">
                  <c:v>-0.89269312590778327</c:v>
                </c:pt>
                <c:pt idx="25">
                  <c:v>-0.88647977015557444</c:v>
                </c:pt>
                <c:pt idx="26">
                  <c:v>-0.85288699989915528</c:v>
                </c:pt>
                <c:pt idx="27">
                  <c:v>-0.77935888511439089</c:v>
                </c:pt>
                <c:pt idx="28">
                  <c:v>-0.75575376932150107</c:v>
                </c:pt>
                <c:pt idx="29">
                  <c:v>-0.6629739718372889</c:v>
                </c:pt>
                <c:pt idx="30">
                  <c:v>-0.57143645495901296</c:v>
                </c:pt>
                <c:pt idx="31">
                  <c:v>-0.50944141414980493</c:v>
                </c:pt>
                <c:pt idx="32">
                  <c:v>-0.41336171982001702</c:v>
                </c:pt>
                <c:pt idx="33">
                  <c:v>-0.35080241922082678</c:v>
                </c:pt>
                <c:pt idx="34">
                  <c:v>-0.33055873204287423</c:v>
                </c:pt>
                <c:pt idx="35">
                  <c:v>-0.23129121142932263</c:v>
                </c:pt>
                <c:pt idx="36">
                  <c:v>-9.3692378936054865E-2</c:v>
                </c:pt>
                <c:pt idx="37">
                  <c:v>3.5014665190004735E-2</c:v>
                </c:pt>
                <c:pt idx="38">
                  <c:v>0.28175572837218965</c:v>
                </c:pt>
                <c:pt idx="39">
                  <c:v>0.61051570938704458</c:v>
                </c:pt>
                <c:pt idx="40">
                  <c:v>0.65735097215556948</c:v>
                </c:pt>
                <c:pt idx="41">
                  <c:v>0.96019509531129188</c:v>
                </c:pt>
                <c:pt idx="42">
                  <c:v>1.1169568611943816</c:v>
                </c:pt>
                <c:pt idx="43">
                  <c:v>1.2258473149757663</c:v>
                </c:pt>
                <c:pt idx="44">
                  <c:v>1.2417499120084017</c:v>
                </c:pt>
                <c:pt idx="45">
                  <c:v>1.4442173876276883</c:v>
                </c:pt>
                <c:pt idx="46">
                  <c:v>1.8340673948850963</c:v>
                </c:pt>
                <c:pt idx="47">
                  <c:v>2.4274604747863577</c:v>
                </c:pt>
                <c:pt idx="48">
                  <c:v>2.7536203470351666</c:v>
                </c:pt>
                <c:pt idx="49">
                  <c:v>3.2536752392346386</c:v>
                </c:pt>
                <c:pt idx="50">
                  <c:v>3.6948788071003662</c:v>
                </c:pt>
                <c:pt idx="51">
                  <c:v>3.8509872938606975</c:v>
                </c:pt>
                <c:pt idx="52">
                  <c:v>4.3219069662048923</c:v>
                </c:pt>
                <c:pt idx="53">
                  <c:v>4.3243769708798823</c:v>
                </c:pt>
                <c:pt idx="54">
                  <c:v>5.0236058437068181</c:v>
                </c:pt>
                <c:pt idx="55">
                  <c:v>5.2695912606996558</c:v>
                </c:pt>
              </c:numCache>
            </c:numRef>
          </c:xVal>
          <c:yVal>
            <c:numRef>
              <c:f>'Y от t-2'!$N$4:$N$59</c:f>
              <c:numCache>
                <c:formatCode>General</c:formatCode>
                <c:ptCount val="56"/>
                <c:pt idx="0">
                  <c:v>-2.1073446081072991</c:v>
                </c:pt>
                <c:pt idx="1">
                  <c:v>-1.8107766086044799</c:v>
                </c:pt>
                <c:pt idx="2">
                  <c:v>-1.6198562586382697</c:v>
                </c:pt>
                <c:pt idx="3">
                  <c:v>-1.474485655159971</c:v>
                </c:pt>
                <c:pt idx="4">
                  <c:v>-1.3549339667142233</c:v>
                </c:pt>
                <c:pt idx="5">
                  <c:v>-1.2521195202652196</c:v>
                </c:pt>
                <c:pt idx="6">
                  <c:v>-1.1610685209816876</c:v>
                </c:pt>
                <c:pt idx="7">
                  <c:v>-1.0787442483639726</c:v>
                </c:pt>
                <c:pt idx="8">
                  <c:v>-1.0031479676625328</c:v>
                </c:pt>
                <c:pt idx="9">
                  <c:v>-0.9328891732059702</c:v>
                </c:pt>
                <c:pt idx="10">
                  <c:v>-0.86695820120354383</c:v>
                </c:pt>
                <c:pt idx="11">
                  <c:v>-0.80459638036030012</c:v>
                </c:pt>
                <c:pt idx="12">
                  <c:v>-0.74521732523756523</c:v>
                </c:pt>
                <c:pt idx="13">
                  <c:v>-0.68835688090542635</c:v>
                </c:pt>
                <c:pt idx="14">
                  <c:v>-0.63364000077970095</c:v>
                </c:pt>
                <c:pt idx="15">
                  <c:v>-0.58075808400855022</c:v>
                </c:pt>
                <c:pt idx="16">
                  <c:v>-0.5294530175447888</c:v>
                </c:pt>
                <c:pt idx="17">
                  <c:v>-0.47950565333095035</c:v>
                </c:pt>
                <c:pt idx="18">
                  <c:v>-0.43072729929545767</c:v>
                </c:pt>
                <c:pt idx="19">
                  <c:v>-0.38295330612550205</c:v>
                </c:pt>
                <c:pt idx="20">
                  <c:v>-0.33603814037182311</c:v>
                </c:pt>
                <c:pt idx="21">
                  <c:v>-0.28985152916650303</c:v>
                </c:pt>
                <c:pt idx="22">
                  <c:v>-0.24427538781443445</c:v>
                </c:pt>
                <c:pt idx="23">
                  <c:v>-0.19920132478926703</c:v>
                </c:pt>
                <c:pt idx="24">
                  <c:v>-0.15452857469470732</c:v>
                </c:pt>
                <c:pt idx="25">
                  <c:v>-0.11016224796840547</c:v>
                </c:pt>
                <c:pt idx="26">
                  <c:v>-6.6011812375840737E-2</c:v>
                </c:pt>
                <c:pt idx="27">
                  <c:v>-2.1989739377545343E-2</c:v>
                </c:pt>
                <c:pt idx="28">
                  <c:v>2.1989739377545343E-2</c:v>
                </c:pt>
                <c:pt idx="29">
                  <c:v>6.6011812375840584E-2</c:v>
                </c:pt>
                <c:pt idx="30">
                  <c:v>0.11016224796840547</c:v>
                </c:pt>
                <c:pt idx="31">
                  <c:v>0.15452857469470718</c:v>
                </c:pt>
                <c:pt idx="32">
                  <c:v>0.19920132478926703</c:v>
                </c:pt>
                <c:pt idx="33">
                  <c:v>0.24427538781443431</c:v>
                </c:pt>
                <c:pt idx="34">
                  <c:v>0.28985152916650303</c:v>
                </c:pt>
                <c:pt idx="35">
                  <c:v>0.336038140371823</c:v>
                </c:pt>
                <c:pt idx="36">
                  <c:v>0.38295330612550205</c:v>
                </c:pt>
                <c:pt idx="37">
                  <c:v>0.4307272992954575</c:v>
                </c:pt>
                <c:pt idx="38">
                  <c:v>0.47950565333095035</c:v>
                </c:pt>
                <c:pt idx="39">
                  <c:v>0.52945301754478868</c:v>
                </c:pt>
                <c:pt idx="40">
                  <c:v>0.58075808400855022</c:v>
                </c:pt>
                <c:pt idx="41">
                  <c:v>0.63364000077970106</c:v>
                </c:pt>
                <c:pt idx="42">
                  <c:v>0.68835688090542635</c:v>
                </c:pt>
                <c:pt idx="43">
                  <c:v>0.74521732523756501</c:v>
                </c:pt>
                <c:pt idx="44">
                  <c:v>0.80459638036030012</c:v>
                </c:pt>
                <c:pt idx="45">
                  <c:v>0.86695820120354306</c:v>
                </c:pt>
                <c:pt idx="46">
                  <c:v>0.9328891732059702</c:v>
                </c:pt>
                <c:pt idx="47">
                  <c:v>1.0031479676625328</c:v>
                </c:pt>
                <c:pt idx="48">
                  <c:v>1.0787442483639726</c:v>
                </c:pt>
                <c:pt idx="49">
                  <c:v>1.1610685209816871</c:v>
                </c:pt>
                <c:pt idx="50">
                  <c:v>1.2521195202652196</c:v>
                </c:pt>
                <c:pt idx="51">
                  <c:v>1.3549339667142222</c:v>
                </c:pt>
                <c:pt idx="52">
                  <c:v>1.4744856551599712</c:v>
                </c:pt>
                <c:pt idx="53">
                  <c:v>1.6198562586382692</c:v>
                </c:pt>
                <c:pt idx="54">
                  <c:v>1.8107766086044799</c:v>
                </c:pt>
                <c:pt idx="55">
                  <c:v>2.1073446081072977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6B-4434-A3CE-9D0994C7A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22928"/>
        <c:axId val="416113136"/>
      </c:scatterChart>
      <c:valAx>
        <c:axId val="41612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13136"/>
        <c:crosses val="autoZero"/>
        <c:crossBetween val="midCat"/>
      </c:valAx>
      <c:valAx>
        <c:axId val="4161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2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Поле корреляции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770997375328089E-2"/>
                  <c:y val="6.055336832895888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t-1'!$C$5:$C$61</c:f>
              <c:numCache>
                <c:formatCode>0.00</c:formatCode>
                <c:ptCount val="57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</c:numCache>
            </c:numRef>
          </c:xVal>
          <c:yVal>
            <c:numRef>
              <c:f>'Y от t-1'!$B$5:$B$61</c:f>
              <c:numCache>
                <c:formatCode>0.00</c:formatCode>
                <c:ptCount val="57"/>
                <c:pt idx="0">
                  <c:v>102.21</c:v>
                </c:pt>
                <c:pt idx="1">
                  <c:v>102.16</c:v>
                </c:pt>
                <c:pt idx="2">
                  <c:v>102.06</c:v>
                </c:pt>
                <c:pt idx="3">
                  <c:v>102.55</c:v>
                </c:pt>
                <c:pt idx="4">
                  <c:v>104.35</c:v>
                </c:pt>
                <c:pt idx="5">
                  <c:v>107.57</c:v>
                </c:pt>
                <c:pt idx="6">
                  <c:v>111.96</c:v>
                </c:pt>
                <c:pt idx="7">
                  <c:v>115.27</c:v>
                </c:pt>
                <c:pt idx="8">
                  <c:v>117.17</c:v>
                </c:pt>
                <c:pt idx="9">
                  <c:v>117.61</c:v>
                </c:pt>
                <c:pt idx="10">
                  <c:v>117.26</c:v>
                </c:pt>
                <c:pt idx="11">
                  <c:v>115.88</c:v>
                </c:pt>
                <c:pt idx="12">
                  <c:v>113.35</c:v>
                </c:pt>
                <c:pt idx="13">
                  <c:v>111.39</c:v>
                </c:pt>
                <c:pt idx="14">
                  <c:v>109.76</c:v>
                </c:pt>
                <c:pt idx="15">
                  <c:v>109.5</c:v>
                </c:pt>
                <c:pt idx="16">
                  <c:v>108.86</c:v>
                </c:pt>
                <c:pt idx="17">
                  <c:v>108.49</c:v>
                </c:pt>
                <c:pt idx="18">
                  <c:v>108.36</c:v>
                </c:pt>
                <c:pt idx="19">
                  <c:v>108.19</c:v>
                </c:pt>
                <c:pt idx="20">
                  <c:v>107.8</c:v>
                </c:pt>
                <c:pt idx="21">
                  <c:v>107.47</c:v>
                </c:pt>
                <c:pt idx="22">
                  <c:v>107.03</c:v>
                </c:pt>
                <c:pt idx="23">
                  <c:v>106.61</c:v>
                </c:pt>
                <c:pt idx="24">
                  <c:v>106.57</c:v>
                </c:pt>
                <c:pt idx="25">
                  <c:v>106.49</c:v>
                </c:pt>
                <c:pt idx="26">
                  <c:v>107.04</c:v>
                </c:pt>
                <c:pt idx="27">
                  <c:v>111.35</c:v>
                </c:pt>
                <c:pt idx="28">
                  <c:v>117.54</c:v>
                </c:pt>
                <c:pt idx="29">
                  <c:v>122.58</c:v>
                </c:pt>
                <c:pt idx="30">
                  <c:v>128.16</c:v>
                </c:pt>
                <c:pt idx="31">
                  <c:v>132.86000000000001</c:v>
                </c:pt>
                <c:pt idx="32">
                  <c:v>134.91999999999999</c:v>
                </c:pt>
                <c:pt idx="33">
                  <c:v>135.69999999999999</c:v>
                </c:pt>
                <c:pt idx="34">
                  <c:v>136.13999999999999</c:v>
                </c:pt>
                <c:pt idx="35">
                  <c:v>140.15</c:v>
                </c:pt>
                <c:pt idx="36">
                  <c:v>140.09</c:v>
                </c:pt>
                <c:pt idx="37">
                  <c:v>139.1</c:v>
                </c:pt>
                <c:pt idx="38">
                  <c:v>137.5</c:v>
                </c:pt>
                <c:pt idx="39">
                  <c:v>136.12</c:v>
                </c:pt>
                <c:pt idx="40">
                  <c:v>135.22</c:v>
                </c:pt>
                <c:pt idx="41">
                  <c:v>134.72999999999999</c:v>
                </c:pt>
                <c:pt idx="42">
                  <c:v>134.38999999999999</c:v>
                </c:pt>
                <c:pt idx="43">
                  <c:v>134.51</c:v>
                </c:pt>
                <c:pt idx="44">
                  <c:v>134.46</c:v>
                </c:pt>
                <c:pt idx="45">
                  <c:v>134.27000000000001</c:v>
                </c:pt>
                <c:pt idx="46">
                  <c:v>133.72999999999999</c:v>
                </c:pt>
                <c:pt idx="47">
                  <c:v>132.01</c:v>
                </c:pt>
                <c:pt idx="48">
                  <c:v>130.59</c:v>
                </c:pt>
                <c:pt idx="49">
                  <c:v>130.28</c:v>
                </c:pt>
                <c:pt idx="50">
                  <c:v>129.16</c:v>
                </c:pt>
                <c:pt idx="51">
                  <c:v>128.94</c:v>
                </c:pt>
                <c:pt idx="52">
                  <c:v>129.30000000000001</c:v>
                </c:pt>
                <c:pt idx="53">
                  <c:v>131.22</c:v>
                </c:pt>
                <c:pt idx="54">
                  <c:v>132.52000000000001</c:v>
                </c:pt>
                <c:pt idx="55">
                  <c:v>134.25</c:v>
                </c:pt>
                <c:pt idx="56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C4-405C-9C21-FEF1BCC85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34352"/>
        <c:axId val="416123472"/>
      </c:scatterChart>
      <c:valAx>
        <c:axId val="41613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23472"/>
        <c:crosses val="autoZero"/>
        <c:crossBetween val="midCat"/>
      </c:valAx>
      <c:valAx>
        <c:axId val="4161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3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зависимости 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ɛ</a:t>
            </a:r>
            <a:r>
              <a:rPr lang="en-US" sz="800">
                <a:latin typeface="Calibri" panose="020F0502020204030204" pitchFamily="34" charset="0"/>
                <a:cs typeface="Calibri" panose="020F0502020204030204" pitchFamily="34" charset="0"/>
              </a:rPr>
              <a:t>i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ru-RU" baseline="0">
                <a:latin typeface="Calibri" panose="020F0502020204030204" pitchFamily="34" charset="0"/>
                <a:cs typeface="Calibri" panose="020F0502020204030204" pitchFamily="34" charset="0"/>
              </a:rPr>
              <a:t>от </a:t>
            </a:r>
            <a:r>
              <a:rPr lang="en-US" baseline="0">
                <a:latin typeface="Calibri" panose="020F0502020204030204" pitchFamily="34" charset="0"/>
                <a:cs typeface="Calibri" panose="020F0502020204030204" pitchFamily="34" charset="0"/>
              </a:rPr>
              <a:t>Ŷₓ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Диагностическая диаграмма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'Y от t-2'!$E$5:$E$61</c:f>
              <c:strCache>
                <c:ptCount val="57"/>
                <c:pt idx="0">
                  <c:v> - </c:v>
                </c:pt>
                <c:pt idx="1">
                  <c:v>102,6988126</c:v>
                </c:pt>
                <c:pt idx="2">
                  <c:v>102,6990502</c:v>
                </c:pt>
                <c:pt idx="3">
                  <c:v>102,560511</c:v>
                </c:pt>
                <c:pt idx="4">
                  <c:v>103,5214703</c:v>
                </c:pt>
                <c:pt idx="5">
                  <c:v>106,3504452</c:v>
                </c:pt>
                <c:pt idx="6">
                  <c:v>110,6560375</c:v>
                </c:pt>
                <c:pt idx="7">
                  <c:v>115,8997325</c:v>
                </c:pt>
                <c:pt idx="8">
                  <c:v>118,2488839</c:v>
                </c:pt>
                <c:pt idx="9">
                  <c:v>118,9512822</c:v>
                </c:pt>
                <c:pt idx="10">
                  <c:v>118,1870659</c:v>
                </c:pt>
                <c:pt idx="11">
                  <c:v>117,1992741</c:v>
                </c:pt>
                <c:pt idx="12">
                  <c:v>115,0094049</c:v>
                </c:pt>
                <c:pt idx="13">
                  <c:v>111,5984029</c:v>
                </c:pt>
                <c:pt idx="14">
                  <c:v>110,1505187</c:v>
                </c:pt>
                <c:pt idx="15">
                  <c:v>108,8286326</c:v>
                </c:pt>
                <c:pt idx="16">
                  <c:v>109,6950278</c:v>
                </c:pt>
                <c:pt idx="17">
                  <c:v>108,7593132</c:v>
                </c:pt>
                <c:pt idx="18">
                  <c:v>108,618786</c:v>
                </c:pt>
                <c:pt idx="19">
                  <c:v>108,6880932</c:v>
                </c:pt>
                <c:pt idx="20">
                  <c:v>108,4893745</c:v>
                </c:pt>
                <c:pt idx="21">
                  <c:v>107,9286284</c:v>
                </c:pt>
                <c:pt idx="22">
                  <c:v>107,6554387</c:v>
                </c:pt>
                <c:pt idx="23">
                  <c:v>107,1358168</c:v>
                </c:pt>
                <c:pt idx="24">
                  <c:v>106,7420305</c:v>
                </c:pt>
                <c:pt idx="25">
                  <c:v>107,0137073</c:v>
                </c:pt>
                <c:pt idx="26">
                  <c:v>106,902876</c:v>
                </c:pt>
                <c:pt idx="27">
                  <c:v>107,9551361</c:v>
                </c:pt>
                <c:pt idx="28">
                  <c:v>115,2386331</c:v>
                </c:pt>
                <c:pt idx="29">
                  <c:v>122,8206642</c:v>
                </c:pt>
                <c:pt idx="30">
                  <c:v>126,8019645</c:v>
                </c:pt>
                <c:pt idx="31">
                  <c:v>132,6925547</c:v>
                </c:pt>
                <c:pt idx="32">
                  <c:v>136,5626236</c:v>
                </c:pt>
                <c:pt idx="33">
                  <c:v>136,4154565</c:v>
                </c:pt>
                <c:pt idx="34">
                  <c:v>136,1304507</c:v>
                </c:pt>
                <c:pt idx="35">
                  <c:v>136,2820935</c:v>
                </c:pt>
                <c:pt idx="36">
                  <c:v>143,1172638</c:v>
                </c:pt>
                <c:pt idx="37">
                  <c:v>139,7305058</c:v>
                </c:pt>
                <c:pt idx="38">
                  <c:v>138,0032548</c:v>
                </c:pt>
                <c:pt idx="39">
                  <c:v>135,9419971</c:v>
                </c:pt>
                <c:pt idx="40">
                  <c:v>134,774292</c:v>
                </c:pt>
                <c:pt idx="41">
                  <c:v>134,2879296</c:v>
                </c:pt>
                <c:pt idx="42">
                  <c:v>134,1447017</c:v>
                </c:pt>
                <c:pt idx="43">
                  <c:v>133,9353425</c:v>
                </c:pt>
                <c:pt idx="44">
                  <c:v>134,4286821</c:v>
                </c:pt>
                <c:pt idx="45">
                  <c:v>134,2408414</c:v>
                </c:pt>
                <c:pt idx="46">
                  <c:v>133,9408191</c:v>
                </c:pt>
                <c:pt idx="47">
                  <c:v>133,1272891</c:v>
                </c:pt>
                <c:pt idx="48">
                  <c:v>130,4827413</c:v>
                </c:pt>
                <c:pt idx="49">
                  <c:v>129,3413937</c:v>
                </c:pt>
                <c:pt idx="50">
                  <c:v>129,9463524</c:v>
                </c:pt>
                <c:pt idx="51">
                  <c:v>128,1902809</c:v>
                </c:pt>
                <c:pt idx="52">
                  <c:v>128,7114033</c:v>
                </c:pt>
                <c:pt idx="53">
                  <c:v>129,5372369</c:v>
                </c:pt>
                <c:pt idx="54">
                  <c:v>132,6878278</c:v>
                </c:pt>
                <c:pt idx="55">
                  <c:v>133,4503182</c:v>
                </c:pt>
                <c:pt idx="56">
                  <c:v>135,4913327</c:v>
                </c:pt>
              </c:strCache>
            </c:strRef>
          </c:xVal>
          <c:yVal>
            <c:numRef>
              <c:f>'Y от t-2'!$F$5:$F$61</c:f>
              <c:numCache>
                <c:formatCode>0.00</c:formatCode>
                <c:ptCount val="57"/>
                <c:pt idx="0" formatCode="General">
                  <c:v>0</c:v>
                </c:pt>
                <c:pt idx="1">
                  <c:v>-0.53881259931405623</c:v>
                </c:pt>
                <c:pt idx="2">
                  <c:v>-0.63905017662469277</c:v>
                </c:pt>
                <c:pt idx="3">
                  <c:v>-1.0511005798505835E-2</c:v>
                </c:pt>
                <c:pt idx="4">
                  <c:v>0.82852974962744952</c:v>
                </c:pt>
                <c:pt idx="5">
                  <c:v>1.2195548310298676</c:v>
                </c:pt>
                <c:pt idx="6">
                  <c:v>1.3039624823972815</c:v>
                </c:pt>
                <c:pt idx="7">
                  <c:v>-0.62973250755685228</c:v>
                </c:pt>
                <c:pt idx="8">
                  <c:v>-1.0788838848520186</c:v>
                </c:pt>
                <c:pt idx="9">
                  <c:v>-1.3412822008084788</c:v>
                </c:pt>
                <c:pt idx="10">
                  <c:v>-0.9270659244923678</c:v>
                </c:pt>
                <c:pt idx="11">
                  <c:v>-1.3192740610114271</c:v>
                </c:pt>
                <c:pt idx="12">
                  <c:v>-1.6594048527150989</c:v>
                </c:pt>
                <c:pt idx="13">
                  <c:v>-0.20840293332109638</c:v>
                </c:pt>
                <c:pt idx="14">
                  <c:v>-0.3905187406781323</c:v>
                </c:pt>
                <c:pt idx="15">
                  <c:v>0.67136737533381563</c:v>
                </c:pt>
                <c:pt idx="16">
                  <c:v>-0.83502776976031612</c:v>
                </c:pt>
                <c:pt idx="17">
                  <c:v>-0.26931319690304178</c:v>
                </c:pt>
                <c:pt idx="18">
                  <c:v>-0.25878601824959446</c:v>
                </c:pt>
                <c:pt idx="19">
                  <c:v>-0.49809315065482451</c:v>
                </c:pt>
                <c:pt idx="20">
                  <c:v>-0.68937446992757145</c:v>
                </c:pt>
                <c:pt idx="21">
                  <c:v>-0.45862842055139197</c:v>
                </c:pt>
                <c:pt idx="22">
                  <c:v>-0.62543870521130884</c:v>
                </c:pt>
                <c:pt idx="23">
                  <c:v>-0.52581679945383542</c:v>
                </c:pt>
                <c:pt idx="24">
                  <c:v>-0.17203048700100965</c:v>
                </c:pt>
                <c:pt idx="25">
                  <c:v>-0.52370734913512251</c:v>
                </c:pt>
                <c:pt idx="26">
                  <c:v>0.13712398752583965</c:v>
                </c:pt>
                <c:pt idx="27">
                  <c:v>3.3948639271944501</c:v>
                </c:pt>
                <c:pt idx="28">
                  <c:v>2.3013668860965595</c:v>
                </c:pt>
                <c:pt idx="29">
                  <c:v>-0.24066422675831234</c:v>
                </c:pt>
                <c:pt idx="30">
                  <c:v>1.3580355306144867</c:v>
                </c:pt>
                <c:pt idx="31">
                  <c:v>0.16744528237654777</c:v>
                </c:pt>
                <c:pt idx="32">
                  <c:v>-1.6426235629527071</c:v>
                </c:pt>
                <c:pt idx="33">
                  <c:v>-0.71545651495944185</c:v>
                </c:pt>
                <c:pt idx="34">
                  <c:v>9.549267285933638E-3</c:v>
                </c:pt>
                <c:pt idx="35">
                  <c:v>3.867906458301178</c:v>
                </c:pt>
                <c:pt idx="36">
                  <c:v>-3.027263817271745</c:v>
                </c:pt>
                <c:pt idx="37">
                  <c:v>-0.63050575708362544</c:v>
                </c:pt>
                <c:pt idx="38">
                  <c:v>-0.50325483902406631</c:v>
                </c:pt>
                <c:pt idx="39">
                  <c:v>0.17800294222428192</c:v>
                </c:pt>
                <c:pt idx="40">
                  <c:v>0.4457079928186829</c:v>
                </c:pt>
                <c:pt idx="41">
                  <c:v>0.44207039692420835</c:v>
                </c:pt>
                <c:pt idx="42">
                  <c:v>0.24529831533675406</c:v>
                </c:pt>
                <c:pt idx="43">
                  <c:v>0.57465747177411686</c:v>
                </c:pt>
                <c:pt idx="44">
                  <c:v>3.1317936318117745E-2</c:v>
                </c:pt>
                <c:pt idx="45">
                  <c:v>2.9158564024584166E-2</c:v>
                </c:pt>
                <c:pt idx="46">
                  <c:v>-0.21081910172839002</c:v>
                </c:pt>
                <c:pt idx="47">
                  <c:v>-1.1172890731740495</c:v>
                </c:pt>
                <c:pt idx="48">
                  <c:v>0.10725868940809846</c:v>
                </c:pt>
                <c:pt idx="49">
                  <c:v>0.93860627571680766</c:v>
                </c:pt>
                <c:pt idx="50">
                  <c:v>-0.78635242231626989</c:v>
                </c:pt>
                <c:pt idx="51">
                  <c:v>0.74971912247741557</c:v>
                </c:pt>
                <c:pt idx="52">
                  <c:v>0.58859665887192136</c:v>
                </c:pt>
                <c:pt idx="53">
                  <c:v>1.6827631134330261</c:v>
                </c:pt>
                <c:pt idx="54">
                  <c:v>-0.16782776212662043</c:v>
                </c:pt>
                <c:pt idx="55">
                  <c:v>0.79968180135796274</c:v>
                </c:pt>
                <c:pt idx="56">
                  <c:v>0.56866727294516295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3A-4884-8D38-073EF2A64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37072"/>
        <c:axId val="416131632"/>
      </c:scatterChart>
      <c:valAx>
        <c:axId val="41613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31632"/>
        <c:crosses val="autoZero"/>
        <c:crossBetween val="midCat"/>
      </c:valAx>
      <c:valAx>
        <c:axId val="41613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3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 проверки распределения на нормальность</a:t>
            </a:r>
          </a:p>
        </c:rich>
      </c:tx>
      <c:layout>
        <c:manualLayout>
          <c:xMode val="edge"/>
          <c:yMode val="edge"/>
          <c:x val="0.17402490644416796"/>
          <c:y val="2.312139429896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Проверка подчинения остатков нормальному распределению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338225702448726E-2"/>
                  <c:y val="-2.64142206891571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'Y от t-2'!$L$4:$L$59</c:f>
              <c:numCache>
                <c:formatCode>General</c:formatCode>
                <c:ptCount val="56"/>
                <c:pt idx="0">
                  <c:v>-2.5651389861244667</c:v>
                </c:pt>
                <c:pt idx="1">
                  <c:v>-2.3206729747299164</c:v>
                </c:pt>
                <c:pt idx="2">
                  <c:v>-2.1598368831867276</c:v>
                </c:pt>
                <c:pt idx="3">
                  <c:v>-1.9368943163827907</c:v>
                </c:pt>
                <c:pt idx="4">
                  <c:v>-1.8144241987222927</c:v>
                </c:pt>
                <c:pt idx="5">
                  <c:v>-1.7306137254829821</c:v>
                </c:pt>
                <c:pt idx="6">
                  <c:v>-1.7033948810429536</c:v>
                </c:pt>
                <c:pt idx="7">
                  <c:v>-1.5562140365343282</c:v>
                </c:pt>
                <c:pt idx="8">
                  <c:v>-1.4300434207697066</c:v>
                </c:pt>
                <c:pt idx="9">
                  <c:v>-1.4114428061924968</c:v>
                </c:pt>
                <c:pt idx="10">
                  <c:v>-1.3995936685132051</c:v>
                </c:pt>
                <c:pt idx="11">
                  <c:v>-1.2915464300942432</c:v>
                </c:pt>
                <c:pt idx="12">
                  <c:v>-1.2616296187298985</c:v>
                </c:pt>
                <c:pt idx="13">
                  <c:v>-1.1989563546234905</c:v>
                </c:pt>
                <c:pt idx="14">
                  <c:v>-1.1412630162337507</c:v>
                </c:pt>
                <c:pt idx="15">
                  <c:v>-1.1203071095846298</c:v>
                </c:pt>
                <c:pt idx="16">
                  <c:v>-1.0625855642543343</c:v>
                </c:pt>
                <c:pt idx="17">
                  <c:v>-1.0492334172505196</c:v>
                </c:pt>
                <c:pt idx="18">
                  <c:v>-1.04212030388382</c:v>
                </c:pt>
                <c:pt idx="19">
                  <c:v>-1.0245516996474606</c:v>
                </c:pt>
                <c:pt idx="20">
                  <c:v>-0.98833316364168411</c:v>
                </c:pt>
                <c:pt idx="21">
                  <c:v>-0.94445584742021538</c:v>
                </c:pt>
                <c:pt idx="22">
                  <c:v>-0.92096173503816203</c:v>
                </c:pt>
                <c:pt idx="23">
                  <c:v>-0.89335605531712758</c:v>
                </c:pt>
                <c:pt idx="24">
                  <c:v>-0.89269312590778327</c:v>
                </c:pt>
                <c:pt idx="25">
                  <c:v>-0.88647977015557444</c:v>
                </c:pt>
                <c:pt idx="26">
                  <c:v>-0.85288699989915528</c:v>
                </c:pt>
                <c:pt idx="27">
                  <c:v>-0.77935888511439089</c:v>
                </c:pt>
                <c:pt idx="28">
                  <c:v>-0.75575376932150107</c:v>
                </c:pt>
                <c:pt idx="29">
                  <c:v>-0.6629739718372889</c:v>
                </c:pt>
                <c:pt idx="30">
                  <c:v>-0.57143645495901296</c:v>
                </c:pt>
                <c:pt idx="31">
                  <c:v>-0.50944141414980493</c:v>
                </c:pt>
                <c:pt idx="32">
                  <c:v>-0.41336171982001702</c:v>
                </c:pt>
                <c:pt idx="33">
                  <c:v>-0.35080241922082678</c:v>
                </c:pt>
                <c:pt idx="34">
                  <c:v>-0.33055873204287423</c:v>
                </c:pt>
                <c:pt idx="35">
                  <c:v>-0.23129121142932263</c:v>
                </c:pt>
                <c:pt idx="36">
                  <c:v>-9.3692378936054865E-2</c:v>
                </c:pt>
                <c:pt idx="37">
                  <c:v>3.5014665190004735E-2</c:v>
                </c:pt>
                <c:pt idx="38">
                  <c:v>0.28175572837218965</c:v>
                </c:pt>
                <c:pt idx="39">
                  <c:v>0.61051570938704458</c:v>
                </c:pt>
                <c:pt idx="40">
                  <c:v>0.65735097215556948</c:v>
                </c:pt>
                <c:pt idx="41">
                  <c:v>0.96019509531129188</c:v>
                </c:pt>
                <c:pt idx="42">
                  <c:v>1.1169568611943816</c:v>
                </c:pt>
                <c:pt idx="43">
                  <c:v>1.2258473149757663</c:v>
                </c:pt>
                <c:pt idx="44">
                  <c:v>1.2417499120084017</c:v>
                </c:pt>
                <c:pt idx="45">
                  <c:v>1.4442173876276883</c:v>
                </c:pt>
                <c:pt idx="46">
                  <c:v>1.8340673948850963</c:v>
                </c:pt>
                <c:pt idx="47">
                  <c:v>2.4274604747863577</c:v>
                </c:pt>
                <c:pt idx="48">
                  <c:v>2.7536203470351666</c:v>
                </c:pt>
                <c:pt idx="49">
                  <c:v>3.2536752392346386</c:v>
                </c:pt>
                <c:pt idx="50">
                  <c:v>3.6948788071003662</c:v>
                </c:pt>
                <c:pt idx="51">
                  <c:v>3.8509872938606975</c:v>
                </c:pt>
                <c:pt idx="52">
                  <c:v>4.3219069662048923</c:v>
                </c:pt>
                <c:pt idx="53">
                  <c:v>4.3243769708798823</c:v>
                </c:pt>
                <c:pt idx="54">
                  <c:v>5.0236058437068181</c:v>
                </c:pt>
                <c:pt idx="55">
                  <c:v>5.2695912606996558</c:v>
                </c:pt>
              </c:numCache>
            </c:numRef>
          </c:xVal>
          <c:yVal>
            <c:numRef>
              <c:f>'Y от t-2'!$N$4:$N$59</c:f>
              <c:numCache>
                <c:formatCode>General</c:formatCode>
                <c:ptCount val="56"/>
                <c:pt idx="0">
                  <c:v>-2.1073446081072991</c:v>
                </c:pt>
                <c:pt idx="1">
                  <c:v>-1.8107766086044799</c:v>
                </c:pt>
                <c:pt idx="2">
                  <c:v>-1.6198562586382697</c:v>
                </c:pt>
                <c:pt idx="3">
                  <c:v>-1.474485655159971</c:v>
                </c:pt>
                <c:pt idx="4">
                  <c:v>-1.3549339667142233</c:v>
                </c:pt>
                <c:pt idx="5">
                  <c:v>-1.2521195202652196</c:v>
                </c:pt>
                <c:pt idx="6">
                  <c:v>-1.1610685209816876</c:v>
                </c:pt>
                <c:pt idx="7">
                  <c:v>-1.0787442483639726</c:v>
                </c:pt>
                <c:pt idx="8">
                  <c:v>-1.0031479676625328</c:v>
                </c:pt>
                <c:pt idx="9">
                  <c:v>-0.9328891732059702</c:v>
                </c:pt>
                <c:pt idx="10">
                  <c:v>-0.86695820120354383</c:v>
                </c:pt>
                <c:pt idx="11">
                  <c:v>-0.80459638036030012</c:v>
                </c:pt>
                <c:pt idx="12">
                  <c:v>-0.74521732523756523</c:v>
                </c:pt>
                <c:pt idx="13">
                  <c:v>-0.68835688090542635</c:v>
                </c:pt>
                <c:pt idx="14">
                  <c:v>-0.63364000077970095</c:v>
                </c:pt>
                <c:pt idx="15">
                  <c:v>-0.58075808400855022</c:v>
                </c:pt>
                <c:pt idx="16">
                  <c:v>-0.5294530175447888</c:v>
                </c:pt>
                <c:pt idx="17">
                  <c:v>-0.47950565333095035</c:v>
                </c:pt>
                <c:pt idx="18">
                  <c:v>-0.43072729929545767</c:v>
                </c:pt>
                <c:pt idx="19">
                  <c:v>-0.38295330612550205</c:v>
                </c:pt>
                <c:pt idx="20">
                  <c:v>-0.33603814037182311</c:v>
                </c:pt>
                <c:pt idx="21">
                  <c:v>-0.28985152916650303</c:v>
                </c:pt>
                <c:pt idx="22">
                  <c:v>-0.24427538781443445</c:v>
                </c:pt>
                <c:pt idx="23">
                  <c:v>-0.19920132478926703</c:v>
                </c:pt>
                <c:pt idx="24">
                  <c:v>-0.15452857469470732</c:v>
                </c:pt>
                <c:pt idx="25">
                  <c:v>-0.11016224796840547</c:v>
                </c:pt>
                <c:pt idx="26">
                  <c:v>-6.6011812375840737E-2</c:v>
                </c:pt>
                <c:pt idx="27">
                  <c:v>-2.1989739377545343E-2</c:v>
                </c:pt>
                <c:pt idx="28">
                  <c:v>2.1989739377545343E-2</c:v>
                </c:pt>
                <c:pt idx="29">
                  <c:v>6.6011812375840584E-2</c:v>
                </c:pt>
                <c:pt idx="30">
                  <c:v>0.11016224796840547</c:v>
                </c:pt>
                <c:pt idx="31">
                  <c:v>0.15452857469470718</c:v>
                </c:pt>
                <c:pt idx="32">
                  <c:v>0.19920132478926703</c:v>
                </c:pt>
                <c:pt idx="33">
                  <c:v>0.24427538781443431</c:v>
                </c:pt>
                <c:pt idx="34">
                  <c:v>0.28985152916650303</c:v>
                </c:pt>
                <c:pt idx="35">
                  <c:v>0.336038140371823</c:v>
                </c:pt>
                <c:pt idx="36">
                  <c:v>0.38295330612550205</c:v>
                </c:pt>
                <c:pt idx="37">
                  <c:v>0.4307272992954575</c:v>
                </c:pt>
                <c:pt idx="38">
                  <c:v>0.47950565333095035</c:v>
                </c:pt>
                <c:pt idx="39">
                  <c:v>0.52945301754478868</c:v>
                </c:pt>
                <c:pt idx="40">
                  <c:v>0.58075808400855022</c:v>
                </c:pt>
                <c:pt idx="41">
                  <c:v>0.63364000077970106</c:v>
                </c:pt>
                <c:pt idx="42">
                  <c:v>0.68835688090542635</c:v>
                </c:pt>
                <c:pt idx="43">
                  <c:v>0.74521732523756501</c:v>
                </c:pt>
                <c:pt idx="44">
                  <c:v>0.80459638036030012</c:v>
                </c:pt>
                <c:pt idx="45">
                  <c:v>0.86695820120354306</c:v>
                </c:pt>
                <c:pt idx="46">
                  <c:v>0.9328891732059702</c:v>
                </c:pt>
                <c:pt idx="47">
                  <c:v>1.0031479676625328</c:v>
                </c:pt>
                <c:pt idx="48">
                  <c:v>1.0787442483639726</c:v>
                </c:pt>
                <c:pt idx="49">
                  <c:v>1.1610685209816871</c:v>
                </c:pt>
                <c:pt idx="50">
                  <c:v>1.2521195202652196</c:v>
                </c:pt>
                <c:pt idx="51">
                  <c:v>1.3549339667142222</c:v>
                </c:pt>
                <c:pt idx="52">
                  <c:v>1.4744856551599712</c:v>
                </c:pt>
                <c:pt idx="53">
                  <c:v>1.6198562586382692</c:v>
                </c:pt>
                <c:pt idx="54">
                  <c:v>1.8107766086044799</c:v>
                </c:pt>
                <c:pt idx="55">
                  <c:v>2.1073446081072977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40-406F-9EDD-F49F020E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28912"/>
        <c:axId val="416141968"/>
      </c:scatterChart>
      <c:valAx>
        <c:axId val="41612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41968"/>
        <c:crosses val="autoZero"/>
        <c:crossBetween val="midCat"/>
      </c:valAx>
      <c:valAx>
        <c:axId val="41614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12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Х5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Х5 и Х6'!$C$3:$C$60</c:f>
              <c:numCache>
                <c:formatCode>0.00</c:formatCode>
                <c:ptCount val="58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</c:numCache>
            </c:numRef>
          </c:xVal>
          <c:yVal>
            <c:numRef>
              <c:f>'АД Y от Х5 и Х6'!$C$26:$C$83</c:f>
              <c:numCache>
                <c:formatCode>General</c:formatCode>
                <c:ptCount val="58"/>
                <c:pt idx="0">
                  <c:v>-9.4027597692843301E-2</c:v>
                </c:pt>
                <c:pt idx="1">
                  <c:v>0.81513521512066234</c:v>
                </c:pt>
                <c:pt idx="2">
                  <c:v>-1.8098498114664494</c:v>
                </c:pt>
                <c:pt idx="3">
                  <c:v>-1.3479634406142225</c:v>
                </c:pt>
                <c:pt idx="4">
                  <c:v>-3.1776899536020125</c:v>
                </c:pt>
                <c:pt idx="5">
                  <c:v>-2.1511049088320249</c:v>
                </c:pt>
                <c:pt idx="6">
                  <c:v>-0.6037130514304323</c:v>
                </c:pt>
                <c:pt idx="7">
                  <c:v>2.9659988013428062</c:v>
                </c:pt>
                <c:pt idx="8">
                  <c:v>5.670819986281245</c:v>
                </c:pt>
                <c:pt idx="9">
                  <c:v>7.5599968752289186</c:v>
                </c:pt>
                <c:pt idx="10">
                  <c:v>6.770220881907008</c:v>
                </c:pt>
                <c:pt idx="11">
                  <c:v>6.9266388086159765</c:v>
                </c:pt>
                <c:pt idx="12">
                  <c:v>4.3858601482527035</c:v>
                </c:pt>
                <c:pt idx="13">
                  <c:v>2.4529216300249885</c:v>
                </c:pt>
                <c:pt idx="14">
                  <c:v>0.37971644898760815</c:v>
                </c:pt>
                <c:pt idx="15">
                  <c:v>-2.9080099159138229</c:v>
                </c:pt>
                <c:pt idx="16">
                  <c:v>-4.7801755438549804</c:v>
                </c:pt>
                <c:pt idx="17">
                  <c:v>-4.1313503586024325</c:v>
                </c:pt>
                <c:pt idx="18">
                  <c:v>-6.0062002798895975</c:v>
                </c:pt>
                <c:pt idx="19">
                  <c:v>-7.9161241291420055</c:v>
                </c:pt>
                <c:pt idx="20">
                  <c:v>-6.7792334695721763</c:v>
                </c:pt>
                <c:pt idx="21">
                  <c:v>-9.8569457583394353</c:v>
                </c:pt>
                <c:pt idx="22">
                  <c:v>-9.0554931683579412</c:v>
                </c:pt>
                <c:pt idx="23">
                  <c:v>10.031821910907766</c:v>
                </c:pt>
                <c:pt idx="24">
                  <c:v>-11.933087975749615</c:v>
                </c:pt>
                <c:pt idx="25">
                  <c:v>-9.3079373129563976</c:v>
                </c:pt>
                <c:pt idx="26">
                  <c:v>-8.9572811636138141</c:v>
                </c:pt>
                <c:pt idx="27">
                  <c:v>-7.6045805718470803</c:v>
                </c:pt>
                <c:pt idx="28">
                  <c:v>-2.8846552407397752</c:v>
                </c:pt>
                <c:pt idx="29">
                  <c:v>1.7071455051466558</c:v>
                </c:pt>
                <c:pt idx="30">
                  <c:v>6.8837872821824249</c:v>
                </c:pt>
                <c:pt idx="31">
                  <c:v>7.4748514397568044</c:v>
                </c:pt>
                <c:pt idx="32">
                  <c:v>9.0916581125670461</c:v>
                </c:pt>
                <c:pt idx="33">
                  <c:v>7.9669981192615751</c:v>
                </c:pt>
                <c:pt idx="34">
                  <c:v>4.7757012501475629</c:v>
                </c:pt>
                <c:pt idx="35">
                  <c:v>1.1663743109162397</c:v>
                </c:pt>
                <c:pt idx="36">
                  <c:v>-0.19352291039811576</c:v>
                </c:pt>
                <c:pt idx="37">
                  <c:v>5.7209244734227696</c:v>
                </c:pt>
                <c:pt idx="38">
                  <c:v>5.8000485910818895</c:v>
                </c:pt>
                <c:pt idx="39">
                  <c:v>4.8546556422054437</c:v>
                </c:pt>
                <c:pt idx="40">
                  <c:v>4.1431537003076926</c:v>
                </c:pt>
                <c:pt idx="41">
                  <c:v>3.272117652526191</c:v>
                </c:pt>
                <c:pt idx="42">
                  <c:v>1.3958507219912519</c:v>
                </c:pt>
                <c:pt idx="43">
                  <c:v>0.6824669195744093</c:v>
                </c:pt>
                <c:pt idx="44">
                  <c:v>-9.15058798106827E-2</c:v>
                </c:pt>
                <c:pt idx="45">
                  <c:v>-0.78014479874755693</c:v>
                </c:pt>
                <c:pt idx="46">
                  <c:v>-1.682106251679528</c:v>
                </c:pt>
                <c:pt idx="47">
                  <c:v>-3.77285881116768</c:v>
                </c:pt>
                <c:pt idx="48">
                  <c:v>-7.0105133849437777</c:v>
                </c:pt>
                <c:pt idx="49">
                  <c:v>-6.7435767503545208</c:v>
                </c:pt>
                <c:pt idx="50">
                  <c:v>-5.4862274061246126</c:v>
                </c:pt>
                <c:pt idx="51">
                  <c:v>-4.8971868474960161</c:v>
                </c:pt>
                <c:pt idx="52">
                  <c:v>-1.893122126005494</c:v>
                </c:pt>
                <c:pt idx="53">
                  <c:v>-0.83261243668090401</c:v>
                </c:pt>
                <c:pt idx="54">
                  <c:v>2.8970614390765945</c:v>
                </c:pt>
                <c:pt idx="55">
                  <c:v>3.523794006892075</c:v>
                </c:pt>
                <c:pt idx="56">
                  <c:v>6.6276802410614124</c:v>
                </c:pt>
                <c:pt idx="57">
                  <c:v>8.745401140837771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441-48AF-9685-208C27B91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39248"/>
        <c:axId val="416130000"/>
      </c:scatterChart>
      <c:valAx>
        <c:axId val="41613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Х5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16130000"/>
        <c:crosses val="autoZero"/>
        <c:crossBetween val="midCat"/>
      </c:valAx>
      <c:valAx>
        <c:axId val="416130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139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Х6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Х5 и Х6'!$D$3:$D$60</c:f>
              <c:numCache>
                <c:formatCode>0.00</c:formatCode>
                <c:ptCount val="58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</c:numCache>
            </c:numRef>
          </c:xVal>
          <c:yVal>
            <c:numRef>
              <c:f>'АД Y от Х5 и Х6'!$C$26:$C$83</c:f>
              <c:numCache>
                <c:formatCode>General</c:formatCode>
                <c:ptCount val="58"/>
                <c:pt idx="0">
                  <c:v>-9.4027597692843301E-2</c:v>
                </c:pt>
                <c:pt idx="1">
                  <c:v>0.81513521512066234</c:v>
                </c:pt>
                <c:pt idx="2">
                  <c:v>-1.8098498114664494</c:v>
                </c:pt>
                <c:pt idx="3">
                  <c:v>-1.3479634406142225</c:v>
                </c:pt>
                <c:pt idx="4">
                  <c:v>-3.1776899536020125</c:v>
                </c:pt>
                <c:pt idx="5">
                  <c:v>-2.1511049088320249</c:v>
                </c:pt>
                <c:pt idx="6">
                  <c:v>-0.6037130514304323</c:v>
                </c:pt>
                <c:pt idx="7">
                  <c:v>2.9659988013428062</c:v>
                </c:pt>
                <c:pt idx="8">
                  <c:v>5.670819986281245</c:v>
                </c:pt>
                <c:pt idx="9">
                  <c:v>7.5599968752289186</c:v>
                </c:pt>
                <c:pt idx="10">
                  <c:v>6.770220881907008</c:v>
                </c:pt>
                <c:pt idx="11">
                  <c:v>6.9266388086159765</c:v>
                </c:pt>
                <c:pt idx="12">
                  <c:v>4.3858601482527035</c:v>
                </c:pt>
                <c:pt idx="13">
                  <c:v>2.4529216300249885</c:v>
                </c:pt>
                <c:pt idx="14">
                  <c:v>0.37971644898760815</c:v>
                </c:pt>
                <c:pt idx="15">
                  <c:v>-2.9080099159138229</c:v>
                </c:pt>
                <c:pt idx="16">
                  <c:v>-4.7801755438549804</c:v>
                </c:pt>
                <c:pt idx="17">
                  <c:v>-4.1313503586024325</c:v>
                </c:pt>
                <c:pt idx="18">
                  <c:v>-6.0062002798895975</c:v>
                </c:pt>
                <c:pt idx="19">
                  <c:v>-7.9161241291420055</c:v>
                </c:pt>
                <c:pt idx="20">
                  <c:v>-6.7792334695721763</c:v>
                </c:pt>
                <c:pt idx="21">
                  <c:v>-9.8569457583394353</c:v>
                </c:pt>
                <c:pt idx="22">
                  <c:v>-9.0554931683579412</c:v>
                </c:pt>
                <c:pt idx="23">
                  <c:v>10.031821910907766</c:v>
                </c:pt>
                <c:pt idx="24">
                  <c:v>-11.933087975749615</c:v>
                </c:pt>
                <c:pt idx="25">
                  <c:v>-9.3079373129563976</c:v>
                </c:pt>
                <c:pt idx="26">
                  <c:v>-8.9572811636138141</c:v>
                </c:pt>
                <c:pt idx="27">
                  <c:v>-7.6045805718470803</c:v>
                </c:pt>
                <c:pt idx="28">
                  <c:v>-2.8846552407397752</c:v>
                </c:pt>
                <c:pt idx="29">
                  <c:v>1.7071455051466558</c:v>
                </c:pt>
                <c:pt idx="30">
                  <c:v>6.8837872821824249</c:v>
                </c:pt>
                <c:pt idx="31">
                  <c:v>7.4748514397568044</c:v>
                </c:pt>
                <c:pt idx="32">
                  <c:v>9.0916581125670461</c:v>
                </c:pt>
                <c:pt idx="33">
                  <c:v>7.9669981192615751</c:v>
                </c:pt>
                <c:pt idx="34">
                  <c:v>4.7757012501475629</c:v>
                </c:pt>
                <c:pt idx="35">
                  <c:v>1.1663743109162397</c:v>
                </c:pt>
                <c:pt idx="36">
                  <c:v>-0.19352291039811576</c:v>
                </c:pt>
                <c:pt idx="37">
                  <c:v>5.7209244734227696</c:v>
                </c:pt>
                <c:pt idx="38">
                  <c:v>5.8000485910818895</c:v>
                </c:pt>
                <c:pt idx="39">
                  <c:v>4.8546556422054437</c:v>
                </c:pt>
                <c:pt idx="40">
                  <c:v>4.1431537003076926</c:v>
                </c:pt>
                <c:pt idx="41">
                  <c:v>3.272117652526191</c:v>
                </c:pt>
                <c:pt idx="42">
                  <c:v>1.3958507219912519</c:v>
                </c:pt>
                <c:pt idx="43">
                  <c:v>0.6824669195744093</c:v>
                </c:pt>
                <c:pt idx="44">
                  <c:v>-9.15058798106827E-2</c:v>
                </c:pt>
                <c:pt idx="45">
                  <c:v>-0.78014479874755693</c:v>
                </c:pt>
                <c:pt idx="46">
                  <c:v>-1.682106251679528</c:v>
                </c:pt>
                <c:pt idx="47">
                  <c:v>-3.77285881116768</c:v>
                </c:pt>
                <c:pt idx="48">
                  <c:v>-7.0105133849437777</c:v>
                </c:pt>
                <c:pt idx="49">
                  <c:v>-6.7435767503545208</c:v>
                </c:pt>
                <c:pt idx="50">
                  <c:v>-5.4862274061246126</c:v>
                </c:pt>
                <c:pt idx="51">
                  <c:v>-4.8971868474960161</c:v>
                </c:pt>
                <c:pt idx="52">
                  <c:v>-1.893122126005494</c:v>
                </c:pt>
                <c:pt idx="53">
                  <c:v>-0.83261243668090401</c:v>
                </c:pt>
                <c:pt idx="54">
                  <c:v>2.8970614390765945</c:v>
                </c:pt>
                <c:pt idx="55">
                  <c:v>3.523794006892075</c:v>
                </c:pt>
                <c:pt idx="56">
                  <c:v>6.6276802410614124</c:v>
                </c:pt>
                <c:pt idx="57">
                  <c:v>8.745401140837771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21E-45B2-914E-CD896F7E7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19664"/>
        <c:axId val="416124560"/>
      </c:scatterChart>
      <c:valAx>
        <c:axId val="41611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Х6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16124560"/>
        <c:crosses val="autoZero"/>
        <c:crossBetween val="midCat"/>
      </c:valAx>
      <c:valAx>
        <c:axId val="416124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119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Х5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Х5 и Х6'!$C$3:$C$60</c:f>
              <c:numCache>
                <c:formatCode>0.00</c:formatCode>
                <c:ptCount val="58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</c:numCache>
            </c:numRef>
          </c:xVal>
          <c:yVal>
            <c:numRef>
              <c:f>'Y от Х5 и Х6'!$B$3:$B$60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C88-41DE-84FC-D721FA4A1CFB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Х5 и Х6'!$C$3:$C$60</c:f>
              <c:numCache>
                <c:formatCode>0.00</c:formatCode>
                <c:ptCount val="58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</c:numCache>
            </c:numRef>
          </c:xVal>
          <c:yVal>
            <c:numRef>
              <c:f>'АД Y от Х5 и Х6'!$B$26:$B$83</c:f>
              <c:numCache>
                <c:formatCode>General</c:formatCode>
                <c:ptCount val="58"/>
                <c:pt idx="0">
                  <c:v>102.41402759769284</c:v>
                </c:pt>
                <c:pt idx="1">
                  <c:v>101.39486478487933</c:v>
                </c:pt>
                <c:pt idx="2">
                  <c:v>103.96984981146645</c:v>
                </c:pt>
                <c:pt idx="3">
                  <c:v>103.40796344061422</c:v>
                </c:pt>
                <c:pt idx="4">
                  <c:v>105.72768995360201</c:v>
                </c:pt>
                <c:pt idx="5">
                  <c:v>106.50110490883202</c:v>
                </c:pt>
                <c:pt idx="6">
                  <c:v>108.17371305143043</c:v>
                </c:pt>
                <c:pt idx="7">
                  <c:v>108.99400119865719</c:v>
                </c:pt>
                <c:pt idx="8">
                  <c:v>109.59918001371875</c:v>
                </c:pt>
                <c:pt idx="9">
                  <c:v>109.61000312477108</c:v>
                </c:pt>
                <c:pt idx="10">
                  <c:v>110.83977911809299</c:v>
                </c:pt>
                <c:pt idx="11">
                  <c:v>110.33336119138403</c:v>
                </c:pt>
                <c:pt idx="12">
                  <c:v>111.49413985174729</c:v>
                </c:pt>
                <c:pt idx="13">
                  <c:v>110.89707836997501</c:v>
                </c:pt>
                <c:pt idx="14">
                  <c:v>111.01028355101239</c:v>
                </c:pt>
                <c:pt idx="15">
                  <c:v>112.66800991591383</c:v>
                </c:pt>
                <c:pt idx="16">
                  <c:v>114.28017554385498</c:v>
                </c:pt>
                <c:pt idx="17">
                  <c:v>112.99135035860243</c:v>
                </c:pt>
                <c:pt idx="18">
                  <c:v>114.49620027988959</c:v>
                </c:pt>
                <c:pt idx="19">
                  <c:v>116.276124129142</c:v>
                </c:pt>
                <c:pt idx="20">
                  <c:v>114.96923346957217</c:v>
                </c:pt>
                <c:pt idx="21">
                  <c:v>117.65694575833943</c:v>
                </c:pt>
                <c:pt idx="22">
                  <c:v>116.52549316835794</c:v>
                </c:pt>
                <c:pt idx="23">
                  <c:v>96.998178089092235</c:v>
                </c:pt>
                <c:pt idx="24">
                  <c:v>118.54308797574961</c:v>
                </c:pt>
                <c:pt idx="25">
                  <c:v>115.87793731295639</c:v>
                </c:pt>
                <c:pt idx="26">
                  <c:v>115.44728116361381</c:v>
                </c:pt>
                <c:pt idx="27">
                  <c:v>114.64458057184709</c:v>
                </c:pt>
                <c:pt idx="28">
                  <c:v>114.23465524073977</c:v>
                </c:pt>
                <c:pt idx="29">
                  <c:v>115.83285449485335</c:v>
                </c:pt>
                <c:pt idx="30">
                  <c:v>115.69621271781757</c:v>
                </c:pt>
                <c:pt idx="31">
                  <c:v>120.68514856024319</c:v>
                </c:pt>
                <c:pt idx="32">
                  <c:v>123.76834188743297</c:v>
                </c:pt>
                <c:pt idx="33">
                  <c:v>126.95300188073841</c:v>
                </c:pt>
                <c:pt idx="34">
                  <c:v>130.92429874985243</c:v>
                </c:pt>
                <c:pt idx="35">
                  <c:v>134.97362568908375</c:v>
                </c:pt>
                <c:pt idx="36">
                  <c:v>140.34352291039812</c:v>
                </c:pt>
                <c:pt idx="37">
                  <c:v>134.36907552657723</c:v>
                </c:pt>
                <c:pt idx="38">
                  <c:v>133.2999514089181</c:v>
                </c:pt>
                <c:pt idx="39">
                  <c:v>132.64534435779456</c:v>
                </c:pt>
                <c:pt idx="40">
                  <c:v>131.97684629969231</c:v>
                </c:pt>
                <c:pt idx="41">
                  <c:v>131.94788234747381</c:v>
                </c:pt>
                <c:pt idx="42">
                  <c:v>133.33414927800874</c:v>
                </c:pt>
                <c:pt idx="43">
                  <c:v>133.70753308042558</c:v>
                </c:pt>
                <c:pt idx="44">
                  <c:v>134.60150587981067</c:v>
                </c:pt>
                <c:pt idx="45">
                  <c:v>135.24014479874756</c:v>
                </c:pt>
                <c:pt idx="46">
                  <c:v>135.95210625167954</c:v>
                </c:pt>
                <c:pt idx="47">
                  <c:v>137.50285881116767</c:v>
                </c:pt>
                <c:pt idx="48">
                  <c:v>139.02051338494377</c:v>
                </c:pt>
                <c:pt idx="49">
                  <c:v>137.33357675035452</c:v>
                </c:pt>
                <c:pt idx="50">
                  <c:v>135.76622740612461</c:v>
                </c:pt>
                <c:pt idx="51">
                  <c:v>134.05718684749601</c:v>
                </c:pt>
                <c:pt idx="52">
                  <c:v>130.83312212600549</c:v>
                </c:pt>
                <c:pt idx="53">
                  <c:v>130.13261243668092</c:v>
                </c:pt>
                <c:pt idx="54">
                  <c:v>128.3229385609234</c:v>
                </c:pt>
                <c:pt idx="55">
                  <c:v>128.99620599310794</c:v>
                </c:pt>
                <c:pt idx="56">
                  <c:v>127.62231975893859</c:v>
                </c:pt>
                <c:pt idx="57">
                  <c:v>127.31459885916223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C88-41DE-84FC-D721FA4A1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33808"/>
        <c:axId val="416132176"/>
      </c:scatterChart>
      <c:valAx>
        <c:axId val="41613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Х5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16132176"/>
        <c:crosses val="autoZero"/>
        <c:crossBetween val="midCat"/>
      </c:valAx>
      <c:valAx>
        <c:axId val="416132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16133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Х6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Х5 и Х6'!$D$3:$D$60</c:f>
              <c:numCache>
                <c:formatCode>0.00</c:formatCode>
                <c:ptCount val="58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</c:numCache>
            </c:numRef>
          </c:xVal>
          <c:yVal>
            <c:numRef>
              <c:f>'Y от Х5 и Х6'!$B$3:$B$60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711-4D1C-859D-462BE1F3FA77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Х5 и Х6'!$D$3:$D$60</c:f>
              <c:numCache>
                <c:formatCode>0.00</c:formatCode>
                <c:ptCount val="58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</c:numCache>
            </c:numRef>
          </c:xVal>
          <c:yVal>
            <c:numRef>
              <c:f>'АД Y от Х5 и Х6'!$B$26:$B$83</c:f>
              <c:numCache>
                <c:formatCode>General</c:formatCode>
                <c:ptCount val="58"/>
                <c:pt idx="0">
                  <c:v>102.41402759769284</c:v>
                </c:pt>
                <c:pt idx="1">
                  <c:v>101.39486478487933</c:v>
                </c:pt>
                <c:pt idx="2">
                  <c:v>103.96984981146645</c:v>
                </c:pt>
                <c:pt idx="3">
                  <c:v>103.40796344061422</c:v>
                </c:pt>
                <c:pt idx="4">
                  <c:v>105.72768995360201</c:v>
                </c:pt>
                <c:pt idx="5">
                  <c:v>106.50110490883202</c:v>
                </c:pt>
                <c:pt idx="6">
                  <c:v>108.17371305143043</c:v>
                </c:pt>
                <c:pt idx="7">
                  <c:v>108.99400119865719</c:v>
                </c:pt>
                <c:pt idx="8">
                  <c:v>109.59918001371875</c:v>
                </c:pt>
                <c:pt idx="9">
                  <c:v>109.61000312477108</c:v>
                </c:pt>
                <c:pt idx="10">
                  <c:v>110.83977911809299</c:v>
                </c:pt>
                <c:pt idx="11">
                  <c:v>110.33336119138403</c:v>
                </c:pt>
                <c:pt idx="12">
                  <c:v>111.49413985174729</c:v>
                </c:pt>
                <c:pt idx="13">
                  <c:v>110.89707836997501</c:v>
                </c:pt>
                <c:pt idx="14">
                  <c:v>111.01028355101239</c:v>
                </c:pt>
                <c:pt idx="15">
                  <c:v>112.66800991591383</c:v>
                </c:pt>
                <c:pt idx="16">
                  <c:v>114.28017554385498</c:v>
                </c:pt>
                <c:pt idx="17">
                  <c:v>112.99135035860243</c:v>
                </c:pt>
                <c:pt idx="18">
                  <c:v>114.49620027988959</c:v>
                </c:pt>
                <c:pt idx="19">
                  <c:v>116.276124129142</c:v>
                </c:pt>
                <c:pt idx="20">
                  <c:v>114.96923346957217</c:v>
                </c:pt>
                <c:pt idx="21">
                  <c:v>117.65694575833943</c:v>
                </c:pt>
                <c:pt idx="22">
                  <c:v>116.52549316835794</c:v>
                </c:pt>
                <c:pt idx="23">
                  <c:v>96.998178089092235</c:v>
                </c:pt>
                <c:pt idx="24">
                  <c:v>118.54308797574961</c:v>
                </c:pt>
                <c:pt idx="25">
                  <c:v>115.87793731295639</c:v>
                </c:pt>
                <c:pt idx="26">
                  <c:v>115.44728116361381</c:v>
                </c:pt>
                <c:pt idx="27">
                  <c:v>114.64458057184709</c:v>
                </c:pt>
                <c:pt idx="28">
                  <c:v>114.23465524073977</c:v>
                </c:pt>
                <c:pt idx="29">
                  <c:v>115.83285449485335</c:v>
                </c:pt>
                <c:pt idx="30">
                  <c:v>115.69621271781757</c:v>
                </c:pt>
                <c:pt idx="31">
                  <c:v>120.68514856024319</c:v>
                </c:pt>
                <c:pt idx="32">
                  <c:v>123.76834188743297</c:v>
                </c:pt>
                <c:pt idx="33">
                  <c:v>126.95300188073841</c:v>
                </c:pt>
                <c:pt idx="34">
                  <c:v>130.92429874985243</c:v>
                </c:pt>
                <c:pt idx="35">
                  <c:v>134.97362568908375</c:v>
                </c:pt>
                <c:pt idx="36">
                  <c:v>140.34352291039812</c:v>
                </c:pt>
                <c:pt idx="37">
                  <c:v>134.36907552657723</c:v>
                </c:pt>
                <c:pt idx="38">
                  <c:v>133.2999514089181</c:v>
                </c:pt>
                <c:pt idx="39">
                  <c:v>132.64534435779456</c:v>
                </c:pt>
                <c:pt idx="40">
                  <c:v>131.97684629969231</c:v>
                </c:pt>
                <c:pt idx="41">
                  <c:v>131.94788234747381</c:v>
                </c:pt>
                <c:pt idx="42">
                  <c:v>133.33414927800874</c:v>
                </c:pt>
                <c:pt idx="43">
                  <c:v>133.70753308042558</c:v>
                </c:pt>
                <c:pt idx="44">
                  <c:v>134.60150587981067</c:v>
                </c:pt>
                <c:pt idx="45">
                  <c:v>135.24014479874756</c:v>
                </c:pt>
                <c:pt idx="46">
                  <c:v>135.95210625167954</c:v>
                </c:pt>
                <c:pt idx="47">
                  <c:v>137.50285881116767</c:v>
                </c:pt>
                <c:pt idx="48">
                  <c:v>139.02051338494377</c:v>
                </c:pt>
                <c:pt idx="49">
                  <c:v>137.33357675035452</c:v>
                </c:pt>
                <c:pt idx="50">
                  <c:v>135.76622740612461</c:v>
                </c:pt>
                <c:pt idx="51">
                  <c:v>134.05718684749601</c:v>
                </c:pt>
                <c:pt idx="52">
                  <c:v>130.83312212600549</c:v>
                </c:pt>
                <c:pt idx="53">
                  <c:v>130.13261243668092</c:v>
                </c:pt>
                <c:pt idx="54">
                  <c:v>128.3229385609234</c:v>
                </c:pt>
                <c:pt idx="55">
                  <c:v>128.99620599310794</c:v>
                </c:pt>
                <c:pt idx="56">
                  <c:v>127.62231975893859</c:v>
                </c:pt>
                <c:pt idx="57">
                  <c:v>127.31459885916223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711-4D1C-859D-462BE1F3F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43600"/>
        <c:axId val="416126192"/>
      </c:scatterChart>
      <c:valAx>
        <c:axId val="41614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Х6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16126192"/>
        <c:crosses val="autoZero"/>
        <c:crossBetween val="midCat"/>
      </c:valAx>
      <c:valAx>
        <c:axId val="4161261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1614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Y от Х5 и Х6'!$F$26:$F$83</c:f>
              <c:numCache>
                <c:formatCode>General</c:formatCode>
                <c:ptCount val="58"/>
                <c:pt idx="0">
                  <c:v>0.86206896551724133</c:v>
                </c:pt>
                <c:pt idx="1">
                  <c:v>2.5862068965517242</c:v>
                </c:pt>
                <c:pt idx="2">
                  <c:v>4.3103448275862064</c:v>
                </c:pt>
                <c:pt idx="3">
                  <c:v>6.0344827586206895</c:v>
                </c:pt>
                <c:pt idx="4">
                  <c:v>7.7586206896551717</c:v>
                </c:pt>
                <c:pt idx="5">
                  <c:v>9.4827586206896548</c:v>
                </c:pt>
                <c:pt idx="6">
                  <c:v>11.206896551724139</c:v>
                </c:pt>
                <c:pt idx="7">
                  <c:v>12.931034482758621</c:v>
                </c:pt>
                <c:pt idx="8">
                  <c:v>14.655172413793103</c:v>
                </c:pt>
                <c:pt idx="9">
                  <c:v>16.379310344827584</c:v>
                </c:pt>
                <c:pt idx="10">
                  <c:v>18.103448275862068</c:v>
                </c:pt>
                <c:pt idx="11">
                  <c:v>19.827586206896552</c:v>
                </c:pt>
                <c:pt idx="12">
                  <c:v>21.551724137931036</c:v>
                </c:pt>
                <c:pt idx="13">
                  <c:v>23.275862068965516</c:v>
                </c:pt>
                <c:pt idx="14">
                  <c:v>25</c:v>
                </c:pt>
                <c:pt idx="15">
                  <c:v>26.72413793103448</c:v>
                </c:pt>
                <c:pt idx="16">
                  <c:v>28.448275862068964</c:v>
                </c:pt>
                <c:pt idx="17">
                  <c:v>30.172413793103448</c:v>
                </c:pt>
                <c:pt idx="18">
                  <c:v>31.896551724137929</c:v>
                </c:pt>
                <c:pt idx="19">
                  <c:v>33.620689655172406</c:v>
                </c:pt>
                <c:pt idx="20">
                  <c:v>35.34482758620689</c:v>
                </c:pt>
                <c:pt idx="21">
                  <c:v>37.068965517241374</c:v>
                </c:pt>
                <c:pt idx="22">
                  <c:v>38.793103448275858</c:v>
                </c:pt>
                <c:pt idx="23">
                  <c:v>40.517241379310342</c:v>
                </c:pt>
                <c:pt idx="24">
                  <c:v>42.241379310344826</c:v>
                </c:pt>
                <c:pt idx="25">
                  <c:v>43.965517241379303</c:v>
                </c:pt>
                <c:pt idx="26">
                  <c:v>45.689655172413786</c:v>
                </c:pt>
                <c:pt idx="27">
                  <c:v>47.41379310344827</c:v>
                </c:pt>
                <c:pt idx="28">
                  <c:v>49.137931034482754</c:v>
                </c:pt>
                <c:pt idx="29">
                  <c:v>50.862068965517238</c:v>
                </c:pt>
                <c:pt idx="30">
                  <c:v>52.586206896551715</c:v>
                </c:pt>
                <c:pt idx="31">
                  <c:v>54.310344827586199</c:v>
                </c:pt>
                <c:pt idx="32">
                  <c:v>56.034482758620683</c:v>
                </c:pt>
                <c:pt idx="33">
                  <c:v>57.758620689655167</c:v>
                </c:pt>
                <c:pt idx="34">
                  <c:v>59.482758620689651</c:v>
                </c:pt>
                <c:pt idx="35">
                  <c:v>61.206896551724128</c:v>
                </c:pt>
                <c:pt idx="36">
                  <c:v>62.931034482758612</c:v>
                </c:pt>
                <c:pt idx="37">
                  <c:v>64.655172413793096</c:v>
                </c:pt>
                <c:pt idx="38">
                  <c:v>66.379310344827573</c:v>
                </c:pt>
                <c:pt idx="39">
                  <c:v>68.103448275862064</c:v>
                </c:pt>
                <c:pt idx="40">
                  <c:v>69.827586206896541</c:v>
                </c:pt>
                <c:pt idx="41">
                  <c:v>71.551724137931032</c:v>
                </c:pt>
                <c:pt idx="42">
                  <c:v>73.275862068965509</c:v>
                </c:pt>
                <c:pt idx="43">
                  <c:v>74.999999999999986</c:v>
                </c:pt>
                <c:pt idx="44">
                  <c:v>76.724137931034477</c:v>
                </c:pt>
                <c:pt idx="45">
                  <c:v>78.448275862068954</c:v>
                </c:pt>
                <c:pt idx="46">
                  <c:v>80.172413793103445</c:v>
                </c:pt>
                <c:pt idx="47">
                  <c:v>81.896551724137922</c:v>
                </c:pt>
                <c:pt idx="48">
                  <c:v>83.620689655172413</c:v>
                </c:pt>
                <c:pt idx="49">
                  <c:v>85.34482758620689</c:v>
                </c:pt>
                <c:pt idx="50">
                  <c:v>87.068965517241367</c:v>
                </c:pt>
                <c:pt idx="51">
                  <c:v>88.793103448275858</c:v>
                </c:pt>
                <c:pt idx="52">
                  <c:v>90.517241379310335</c:v>
                </c:pt>
                <c:pt idx="53">
                  <c:v>92.241379310344826</c:v>
                </c:pt>
                <c:pt idx="54">
                  <c:v>93.965517241379303</c:v>
                </c:pt>
                <c:pt idx="55">
                  <c:v>95.689655172413779</c:v>
                </c:pt>
                <c:pt idx="56">
                  <c:v>97.41379310344827</c:v>
                </c:pt>
                <c:pt idx="57">
                  <c:v>99.137931034482747</c:v>
                </c:pt>
              </c:numCache>
            </c:numRef>
          </c:xVal>
          <c:yVal>
            <c:numRef>
              <c:f>'АД Y от Х5 и Х6'!$G$26:$G$83</c:f>
              <c:numCache>
                <c:formatCode>General</c:formatCode>
                <c:ptCount val="58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102.32</c:v>
                </c:pt>
                <c:pt idx="4">
                  <c:v>102.55</c:v>
                </c:pt>
                <c:pt idx="5">
                  <c:v>104.35</c:v>
                </c:pt>
                <c:pt idx="6">
                  <c:v>106.49</c:v>
                </c:pt>
                <c:pt idx="7">
                  <c:v>106.57</c:v>
                </c:pt>
                <c:pt idx="8">
                  <c:v>106.61</c:v>
                </c:pt>
                <c:pt idx="9">
                  <c:v>107.03</c:v>
                </c:pt>
                <c:pt idx="10">
                  <c:v>107.04</c:v>
                </c:pt>
                <c:pt idx="11">
                  <c:v>107.47</c:v>
                </c:pt>
                <c:pt idx="12">
                  <c:v>107.57</c:v>
                </c:pt>
                <c:pt idx="13">
                  <c:v>107.8</c:v>
                </c:pt>
                <c:pt idx="14">
                  <c:v>108.19</c:v>
                </c:pt>
                <c:pt idx="15">
                  <c:v>108.36</c:v>
                </c:pt>
                <c:pt idx="16">
                  <c:v>108.49</c:v>
                </c:pt>
                <c:pt idx="17">
                  <c:v>108.86</c:v>
                </c:pt>
                <c:pt idx="18">
                  <c:v>109.5</c:v>
                </c:pt>
                <c:pt idx="19">
                  <c:v>109.76</c:v>
                </c:pt>
                <c:pt idx="20">
                  <c:v>111.35</c:v>
                </c:pt>
                <c:pt idx="21">
                  <c:v>111.39</c:v>
                </c:pt>
                <c:pt idx="22">
                  <c:v>111.96</c:v>
                </c:pt>
                <c:pt idx="23">
                  <c:v>113.35</c:v>
                </c:pt>
                <c:pt idx="24">
                  <c:v>115.27</c:v>
                </c:pt>
                <c:pt idx="25">
                  <c:v>115.88</c:v>
                </c:pt>
                <c:pt idx="26">
                  <c:v>117.17</c:v>
                </c:pt>
                <c:pt idx="27">
                  <c:v>117.26</c:v>
                </c:pt>
                <c:pt idx="28">
                  <c:v>117.54</c:v>
                </c:pt>
                <c:pt idx="29">
                  <c:v>117.61</c:v>
                </c:pt>
                <c:pt idx="30">
                  <c:v>122.58</c:v>
                </c:pt>
                <c:pt idx="31">
                  <c:v>128.16</c:v>
                </c:pt>
                <c:pt idx="32">
                  <c:v>128.94</c:v>
                </c:pt>
                <c:pt idx="33">
                  <c:v>129.16</c:v>
                </c:pt>
                <c:pt idx="34">
                  <c:v>129.30000000000001</c:v>
                </c:pt>
                <c:pt idx="35">
                  <c:v>130.28</c:v>
                </c:pt>
                <c:pt idx="36">
                  <c:v>130.59</c:v>
                </c:pt>
                <c:pt idx="37">
                  <c:v>131.22</c:v>
                </c:pt>
                <c:pt idx="38">
                  <c:v>132.01</c:v>
                </c:pt>
                <c:pt idx="39">
                  <c:v>132.52000000000001</c:v>
                </c:pt>
                <c:pt idx="40">
                  <c:v>132.86000000000001</c:v>
                </c:pt>
                <c:pt idx="41">
                  <c:v>133.72999999999999</c:v>
                </c:pt>
                <c:pt idx="42">
                  <c:v>134.25</c:v>
                </c:pt>
                <c:pt idx="43">
                  <c:v>134.27000000000001</c:v>
                </c:pt>
                <c:pt idx="44">
                  <c:v>134.38999999999999</c:v>
                </c:pt>
                <c:pt idx="45">
                  <c:v>134.46</c:v>
                </c:pt>
                <c:pt idx="46">
                  <c:v>134.51</c:v>
                </c:pt>
                <c:pt idx="47">
                  <c:v>134.72999999999999</c:v>
                </c:pt>
                <c:pt idx="48">
                  <c:v>134.91999999999999</c:v>
                </c:pt>
                <c:pt idx="49">
                  <c:v>135.22</c:v>
                </c:pt>
                <c:pt idx="50">
                  <c:v>135.69999999999999</c:v>
                </c:pt>
                <c:pt idx="51">
                  <c:v>136.06</c:v>
                </c:pt>
                <c:pt idx="52">
                  <c:v>136.12</c:v>
                </c:pt>
                <c:pt idx="53">
                  <c:v>136.13999999999999</c:v>
                </c:pt>
                <c:pt idx="54">
                  <c:v>137.5</c:v>
                </c:pt>
                <c:pt idx="55">
                  <c:v>139.1</c:v>
                </c:pt>
                <c:pt idx="56">
                  <c:v>140.09</c:v>
                </c:pt>
                <c:pt idx="57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6F-4A1E-B5FE-1649D05A6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40336"/>
        <c:axId val="416142512"/>
      </c:scatterChart>
      <c:valAx>
        <c:axId val="41614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142512"/>
        <c:crosses val="autoZero"/>
        <c:crossBetween val="midCat"/>
      </c:valAx>
      <c:valAx>
        <c:axId val="416142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140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t-1'!$C$5:$C$61</c:f>
              <c:numCache>
                <c:formatCode>0.00</c:formatCode>
                <c:ptCount val="57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</c:numCache>
            </c:numRef>
          </c:xVal>
          <c:yVal>
            <c:numRef>
              <c:f>'АД Y от t-1'!$C$25:$C$81</c:f>
              <c:numCache>
                <c:formatCode>General</c:formatCode>
                <c:ptCount val="57"/>
                <c:pt idx="0">
                  <c:v>-1.0352602572016991</c:v>
                </c:pt>
                <c:pt idx="1">
                  <c:v>-0.97726056520649252</c:v>
                </c:pt>
                <c:pt idx="2">
                  <c:v>-1.0281697961177656</c:v>
                </c:pt>
                <c:pt idx="3">
                  <c:v>-0.43998825794031404</c:v>
                </c:pt>
                <c:pt idx="4">
                  <c:v>0.87892220499014684</c:v>
                </c:pt>
                <c:pt idx="5">
                  <c:v>2.3316545177959682</c:v>
                </c:pt>
                <c:pt idx="6">
                  <c:v>3.5602089884819179</c:v>
                </c:pt>
                <c:pt idx="7">
                  <c:v>2.5600394624916305</c:v>
                </c:pt>
                <c:pt idx="8">
                  <c:v>1.2102305488178757</c:v>
                </c:pt>
                <c:pt idx="9">
                  <c:v>-0.21521867655377491</c:v>
                </c:pt>
                <c:pt idx="10">
                  <c:v>-0.99721744453457006</c:v>
                </c:pt>
                <c:pt idx="11">
                  <c:v>-2.0335820609135027</c:v>
                </c:pt>
                <c:pt idx="12">
                  <c:v>-3.2086768340646046</c:v>
                </c:pt>
                <c:pt idx="13">
                  <c:v>-2.6846839181749829</c:v>
                </c:pt>
                <c:pt idx="14">
                  <c:v>-2.3903257698968758</c:v>
                </c:pt>
                <c:pt idx="15">
                  <c:v>-1.0499666976043613</c:v>
                </c:pt>
                <c:pt idx="16">
                  <c:v>-1.4346946983429802</c:v>
                </c:pt>
                <c:pt idx="17">
                  <c:v>-1.1763328540072706</c:v>
                </c:pt>
                <c:pt idx="18">
                  <c:v>-0.94306116275066643</c:v>
                </c:pt>
                <c:pt idx="19">
                  <c:v>-0.9854251631199844</c:v>
                </c:pt>
                <c:pt idx="20">
                  <c:v>-1.2085165482183129</c:v>
                </c:pt>
                <c:pt idx="21">
                  <c:v>-1.1556085493262316</c:v>
                </c:pt>
                <c:pt idx="22">
                  <c:v>-1.2716094733406322</c:v>
                </c:pt>
                <c:pt idx="23">
                  <c:v>-1.2596107053598331</c:v>
                </c:pt>
                <c:pt idx="24">
                  <c:v>-0.8872482450145327</c:v>
                </c:pt>
                <c:pt idx="25">
                  <c:v>-0.92797562974354264</c:v>
                </c:pt>
                <c:pt idx="26">
                  <c:v>-0.29943039920156878</c:v>
                </c:pt>
                <c:pt idx="27">
                  <c:v>3.4705711408224147</c:v>
                </c:pt>
                <c:pt idx="28">
                  <c:v>5.4289468453741136</c:v>
                </c:pt>
                <c:pt idx="29">
                  <c:v>4.3915096321896243</c:v>
                </c:pt>
                <c:pt idx="30">
                  <c:v>5.0231601080459001</c:v>
                </c:pt>
                <c:pt idx="31">
                  <c:v>4.2446302777439087</c:v>
                </c:pt>
                <c:pt idx="32">
                  <c:v>1.6900979834034899</c:v>
                </c:pt>
                <c:pt idx="33">
                  <c:v>0.44755829694793192</c:v>
                </c:pt>
                <c:pt idx="34">
                  <c:v>0.12174229916377044</c:v>
                </c:pt>
                <c:pt idx="35">
                  <c:v>3.6997435311830316</c:v>
                </c:pt>
                <c:pt idx="36">
                  <c:v>-0.2973361497329563</c:v>
                </c:pt>
                <c:pt idx="37">
                  <c:v>-1.2284272268264829</c:v>
                </c:pt>
                <c:pt idx="38">
                  <c:v>-1.8564299988696575</c:v>
                </c:pt>
                <c:pt idx="39">
                  <c:v>-1.6655253880304031</c:v>
                </c:pt>
                <c:pt idx="40">
                  <c:v>-1.2106201611815379</c:v>
                </c:pt>
                <c:pt idx="41">
                  <c:v>-0.81698631758442275</c:v>
                </c:pt>
                <c:pt idx="42">
                  <c:v>-0.67589678051490409</c:v>
                </c:pt>
                <c:pt idx="43">
                  <c:v>-0.22207955071155538</c:v>
                </c:pt>
                <c:pt idx="44">
                  <c:v>-0.38989739652450339</c:v>
                </c:pt>
                <c:pt idx="45">
                  <c:v>-0.53080662743573725</c:v>
                </c:pt>
                <c:pt idx="46">
                  <c:v>-0.8842617048986483</c:v>
                </c:pt>
                <c:pt idx="47">
                  <c:v>-2.0740813987403612</c:v>
                </c:pt>
                <c:pt idx="48">
                  <c:v>-1.8053589420880769</c:v>
                </c:pt>
                <c:pt idx="49">
                  <c:v>-0.72118109996827684</c:v>
                </c:pt>
                <c:pt idx="50">
                  <c:v>-1.5368183316181501</c:v>
                </c:pt>
                <c:pt idx="51">
                  <c:v>-0.65718510403064556</c:v>
                </c:pt>
                <c:pt idx="52">
                  <c:v>-8.1185720040224396E-2</c:v>
                </c:pt>
                <c:pt idx="53">
                  <c:v>1.4853607425208963</c:v>
                </c:pt>
                <c:pt idx="54">
                  <c:v>0.90027520951380779</c:v>
                </c:pt>
                <c:pt idx="55">
                  <c:v>1.3539152132068466</c:v>
                </c:pt>
                <c:pt idx="56">
                  <c:v>1.4653746027369152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D41-46D9-8782-90CEF7F36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18112"/>
        <c:axId val="542300160"/>
      </c:scatterChart>
      <c:valAx>
        <c:axId val="54231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00160"/>
        <c:crosses val="autoZero"/>
        <c:crossBetween val="midCat"/>
      </c:valAx>
      <c:valAx>
        <c:axId val="542300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18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t-1'!$C$5:$C$61</c:f>
              <c:numCache>
                <c:formatCode>0.00</c:formatCode>
                <c:ptCount val="57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</c:numCache>
            </c:numRef>
          </c:xVal>
          <c:yVal>
            <c:numRef>
              <c:f>'Y от t-1'!$B$5:$B$61</c:f>
              <c:numCache>
                <c:formatCode>0.00</c:formatCode>
                <c:ptCount val="57"/>
                <c:pt idx="0">
                  <c:v>102.21</c:v>
                </c:pt>
                <c:pt idx="1">
                  <c:v>102.16</c:v>
                </c:pt>
                <c:pt idx="2">
                  <c:v>102.06</c:v>
                </c:pt>
                <c:pt idx="3">
                  <c:v>102.55</c:v>
                </c:pt>
                <c:pt idx="4">
                  <c:v>104.35</c:v>
                </c:pt>
                <c:pt idx="5">
                  <c:v>107.57</c:v>
                </c:pt>
                <c:pt idx="6">
                  <c:v>111.96</c:v>
                </c:pt>
                <c:pt idx="7">
                  <c:v>115.27</c:v>
                </c:pt>
                <c:pt idx="8">
                  <c:v>117.17</c:v>
                </c:pt>
                <c:pt idx="9">
                  <c:v>117.61</c:v>
                </c:pt>
                <c:pt idx="10">
                  <c:v>117.26</c:v>
                </c:pt>
                <c:pt idx="11">
                  <c:v>115.88</c:v>
                </c:pt>
                <c:pt idx="12">
                  <c:v>113.35</c:v>
                </c:pt>
                <c:pt idx="13">
                  <c:v>111.39</c:v>
                </c:pt>
                <c:pt idx="14">
                  <c:v>109.76</c:v>
                </c:pt>
                <c:pt idx="15">
                  <c:v>109.5</c:v>
                </c:pt>
                <c:pt idx="16">
                  <c:v>108.86</c:v>
                </c:pt>
                <c:pt idx="17">
                  <c:v>108.49</c:v>
                </c:pt>
                <c:pt idx="18">
                  <c:v>108.36</c:v>
                </c:pt>
                <c:pt idx="19">
                  <c:v>108.19</c:v>
                </c:pt>
                <c:pt idx="20">
                  <c:v>107.8</c:v>
                </c:pt>
                <c:pt idx="21">
                  <c:v>107.47</c:v>
                </c:pt>
                <c:pt idx="22">
                  <c:v>107.03</c:v>
                </c:pt>
                <c:pt idx="23">
                  <c:v>106.61</c:v>
                </c:pt>
                <c:pt idx="24">
                  <c:v>106.57</c:v>
                </c:pt>
                <c:pt idx="25">
                  <c:v>106.49</c:v>
                </c:pt>
                <c:pt idx="26">
                  <c:v>107.04</c:v>
                </c:pt>
                <c:pt idx="27">
                  <c:v>111.35</c:v>
                </c:pt>
                <c:pt idx="28">
                  <c:v>117.54</c:v>
                </c:pt>
                <c:pt idx="29">
                  <c:v>122.58</c:v>
                </c:pt>
                <c:pt idx="30">
                  <c:v>128.16</c:v>
                </c:pt>
                <c:pt idx="31">
                  <c:v>132.86000000000001</c:v>
                </c:pt>
                <c:pt idx="32">
                  <c:v>134.91999999999999</c:v>
                </c:pt>
                <c:pt idx="33">
                  <c:v>135.69999999999999</c:v>
                </c:pt>
                <c:pt idx="34">
                  <c:v>136.13999999999999</c:v>
                </c:pt>
                <c:pt idx="35">
                  <c:v>140.15</c:v>
                </c:pt>
                <c:pt idx="36">
                  <c:v>140.09</c:v>
                </c:pt>
                <c:pt idx="37">
                  <c:v>139.1</c:v>
                </c:pt>
                <c:pt idx="38">
                  <c:v>137.5</c:v>
                </c:pt>
                <c:pt idx="39">
                  <c:v>136.12</c:v>
                </c:pt>
                <c:pt idx="40">
                  <c:v>135.22</c:v>
                </c:pt>
                <c:pt idx="41">
                  <c:v>134.72999999999999</c:v>
                </c:pt>
                <c:pt idx="42">
                  <c:v>134.38999999999999</c:v>
                </c:pt>
                <c:pt idx="43">
                  <c:v>134.51</c:v>
                </c:pt>
                <c:pt idx="44">
                  <c:v>134.46</c:v>
                </c:pt>
                <c:pt idx="45">
                  <c:v>134.27000000000001</c:v>
                </c:pt>
                <c:pt idx="46">
                  <c:v>133.72999999999999</c:v>
                </c:pt>
                <c:pt idx="47">
                  <c:v>132.01</c:v>
                </c:pt>
                <c:pt idx="48">
                  <c:v>130.59</c:v>
                </c:pt>
                <c:pt idx="49">
                  <c:v>130.28</c:v>
                </c:pt>
                <c:pt idx="50">
                  <c:v>129.16</c:v>
                </c:pt>
                <c:pt idx="51">
                  <c:v>128.94</c:v>
                </c:pt>
                <c:pt idx="52">
                  <c:v>129.30000000000001</c:v>
                </c:pt>
                <c:pt idx="53">
                  <c:v>131.22</c:v>
                </c:pt>
                <c:pt idx="54">
                  <c:v>132.52000000000001</c:v>
                </c:pt>
                <c:pt idx="55">
                  <c:v>134.25</c:v>
                </c:pt>
                <c:pt idx="56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257-4E0D-B9D1-B53C71C6A084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t-1'!$C$5:$C$61</c:f>
              <c:numCache>
                <c:formatCode>0.00</c:formatCode>
                <c:ptCount val="57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</c:numCache>
            </c:numRef>
          </c:xVal>
          <c:yVal>
            <c:numRef>
              <c:f>'АД Y от t-1'!$B$25:$B$81</c:f>
              <c:numCache>
                <c:formatCode>General</c:formatCode>
                <c:ptCount val="57"/>
                <c:pt idx="0">
                  <c:v>103.24526025720169</c:v>
                </c:pt>
                <c:pt idx="1">
                  <c:v>103.13726056520649</c:v>
                </c:pt>
                <c:pt idx="2">
                  <c:v>103.08816979611777</c:v>
                </c:pt>
                <c:pt idx="3">
                  <c:v>102.98998825794031</c:v>
                </c:pt>
                <c:pt idx="4">
                  <c:v>103.47107779500985</c:v>
                </c:pt>
                <c:pt idx="5">
                  <c:v>105.23834548220402</c:v>
                </c:pt>
                <c:pt idx="6">
                  <c:v>108.39979101151808</c:v>
                </c:pt>
                <c:pt idx="7">
                  <c:v>112.70996053750837</c:v>
                </c:pt>
                <c:pt idx="8">
                  <c:v>115.95976945118213</c:v>
                </c:pt>
                <c:pt idx="9">
                  <c:v>117.82521867655377</c:v>
                </c:pt>
                <c:pt idx="10">
                  <c:v>118.25721744453458</c:v>
                </c:pt>
                <c:pt idx="11">
                  <c:v>117.9135820609135</c:v>
                </c:pt>
                <c:pt idx="12">
                  <c:v>116.5586768340646</c:v>
                </c:pt>
                <c:pt idx="13">
                  <c:v>114.07468391817498</c:v>
                </c:pt>
                <c:pt idx="14">
                  <c:v>112.15032576989688</c:v>
                </c:pt>
                <c:pt idx="15">
                  <c:v>110.54996669760436</c:v>
                </c:pt>
                <c:pt idx="16">
                  <c:v>110.29469469834298</c:v>
                </c:pt>
                <c:pt idx="17">
                  <c:v>109.66633285400727</c:v>
                </c:pt>
                <c:pt idx="18">
                  <c:v>109.30306116275067</c:v>
                </c:pt>
                <c:pt idx="19">
                  <c:v>109.17542516311998</c:v>
                </c:pt>
                <c:pt idx="20">
                  <c:v>109.00851654821831</c:v>
                </c:pt>
                <c:pt idx="21">
                  <c:v>108.62560854932623</c:v>
                </c:pt>
                <c:pt idx="22">
                  <c:v>108.30160947334063</c:v>
                </c:pt>
                <c:pt idx="23">
                  <c:v>107.86961070535983</c:v>
                </c:pt>
                <c:pt idx="24">
                  <c:v>107.45724824501453</c:v>
                </c:pt>
                <c:pt idx="25">
                  <c:v>107.41797562974354</c:v>
                </c:pt>
                <c:pt idx="26">
                  <c:v>107.33943039920158</c:v>
                </c:pt>
                <c:pt idx="27">
                  <c:v>107.87942885917758</c:v>
                </c:pt>
                <c:pt idx="28">
                  <c:v>112.11105315462589</c:v>
                </c:pt>
                <c:pt idx="29">
                  <c:v>118.18849036781037</c:v>
                </c:pt>
                <c:pt idx="30">
                  <c:v>123.1368398919541</c:v>
                </c:pt>
                <c:pt idx="31">
                  <c:v>128.6153697222561</c:v>
                </c:pt>
                <c:pt idx="32">
                  <c:v>133.2299020165965</c:v>
                </c:pt>
                <c:pt idx="33">
                  <c:v>135.25244170305206</c:v>
                </c:pt>
                <c:pt idx="34">
                  <c:v>136.01825770083622</c:v>
                </c:pt>
                <c:pt idx="35">
                  <c:v>136.45025646881697</c:v>
                </c:pt>
                <c:pt idx="36">
                  <c:v>140.38733614973296</c:v>
                </c:pt>
                <c:pt idx="37">
                  <c:v>140.32842722682648</c:v>
                </c:pt>
                <c:pt idx="38">
                  <c:v>139.35642999886966</c:v>
                </c:pt>
                <c:pt idx="39">
                  <c:v>137.78552538803041</c:v>
                </c:pt>
                <c:pt idx="40">
                  <c:v>136.43062016118154</c:v>
                </c:pt>
                <c:pt idx="41">
                  <c:v>135.54698631758441</c:v>
                </c:pt>
                <c:pt idx="42">
                  <c:v>135.06589678051489</c:v>
                </c:pt>
                <c:pt idx="43">
                  <c:v>134.73207955071155</c:v>
                </c:pt>
                <c:pt idx="44">
                  <c:v>134.84989739652451</c:v>
                </c:pt>
                <c:pt idx="45">
                  <c:v>134.80080662743575</c:v>
                </c:pt>
                <c:pt idx="46">
                  <c:v>134.61426170489864</c:v>
                </c:pt>
                <c:pt idx="47">
                  <c:v>134.08408139874035</c:v>
                </c:pt>
                <c:pt idx="48">
                  <c:v>132.39535894208808</c:v>
                </c:pt>
                <c:pt idx="49">
                  <c:v>131.00118109996828</c:v>
                </c:pt>
                <c:pt idx="50">
                  <c:v>130.69681833161815</c:v>
                </c:pt>
                <c:pt idx="51">
                  <c:v>129.59718510403064</c:v>
                </c:pt>
                <c:pt idx="52">
                  <c:v>129.38118572004024</c:v>
                </c:pt>
                <c:pt idx="53">
                  <c:v>129.7346392574791</c:v>
                </c:pt>
                <c:pt idx="54">
                  <c:v>131.6197247904862</c:v>
                </c:pt>
                <c:pt idx="55">
                  <c:v>132.89608478679315</c:v>
                </c:pt>
                <c:pt idx="56">
                  <c:v>134.59462539726309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257-4E0D-B9D1-B53C71C6A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17024"/>
        <c:axId val="542302880"/>
      </c:scatterChart>
      <c:valAx>
        <c:axId val="54231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02880"/>
        <c:crosses val="autoZero"/>
        <c:crossBetween val="midCat"/>
      </c:valAx>
      <c:valAx>
        <c:axId val="542302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17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Y от t-1'!$F$25:$F$81</c:f>
              <c:numCache>
                <c:formatCode>General</c:formatCode>
                <c:ptCount val="57"/>
                <c:pt idx="0">
                  <c:v>0.8771929824561403</c:v>
                </c:pt>
                <c:pt idx="1">
                  <c:v>2.6315789473684208</c:v>
                </c:pt>
                <c:pt idx="2">
                  <c:v>4.3859649122807012</c:v>
                </c:pt>
                <c:pt idx="3">
                  <c:v>6.140350877192982</c:v>
                </c:pt>
                <c:pt idx="4">
                  <c:v>7.8947368421052628</c:v>
                </c:pt>
                <c:pt idx="5">
                  <c:v>9.6491228070175428</c:v>
                </c:pt>
                <c:pt idx="6">
                  <c:v>11.403508771929824</c:v>
                </c:pt>
                <c:pt idx="7">
                  <c:v>13.157894736842104</c:v>
                </c:pt>
                <c:pt idx="8">
                  <c:v>14.912280701754385</c:v>
                </c:pt>
                <c:pt idx="9">
                  <c:v>16.666666666666664</c:v>
                </c:pt>
                <c:pt idx="10">
                  <c:v>18.421052631578945</c:v>
                </c:pt>
                <c:pt idx="11">
                  <c:v>20.175438596491226</c:v>
                </c:pt>
                <c:pt idx="12">
                  <c:v>21.929824561403507</c:v>
                </c:pt>
                <c:pt idx="13">
                  <c:v>23.684210526315788</c:v>
                </c:pt>
                <c:pt idx="14">
                  <c:v>25.438596491228068</c:v>
                </c:pt>
                <c:pt idx="15">
                  <c:v>27.192982456140349</c:v>
                </c:pt>
                <c:pt idx="16">
                  <c:v>28.94736842105263</c:v>
                </c:pt>
                <c:pt idx="17">
                  <c:v>30.701754385964911</c:v>
                </c:pt>
                <c:pt idx="18">
                  <c:v>32.456140350877192</c:v>
                </c:pt>
                <c:pt idx="19">
                  <c:v>34.210526315789465</c:v>
                </c:pt>
                <c:pt idx="20">
                  <c:v>35.964912280701746</c:v>
                </c:pt>
                <c:pt idx="21">
                  <c:v>37.719298245614027</c:v>
                </c:pt>
                <c:pt idx="22">
                  <c:v>39.473684210526308</c:v>
                </c:pt>
                <c:pt idx="23">
                  <c:v>41.228070175438589</c:v>
                </c:pt>
                <c:pt idx="24">
                  <c:v>42.98245614035087</c:v>
                </c:pt>
                <c:pt idx="25">
                  <c:v>44.73684210526315</c:v>
                </c:pt>
                <c:pt idx="26">
                  <c:v>46.491228070175431</c:v>
                </c:pt>
                <c:pt idx="27">
                  <c:v>48.245614035087712</c:v>
                </c:pt>
                <c:pt idx="28">
                  <c:v>49.999999999999993</c:v>
                </c:pt>
                <c:pt idx="29">
                  <c:v>51.754385964912274</c:v>
                </c:pt>
                <c:pt idx="30">
                  <c:v>53.508771929824555</c:v>
                </c:pt>
                <c:pt idx="31">
                  <c:v>55.263157894736835</c:v>
                </c:pt>
                <c:pt idx="32">
                  <c:v>57.017543859649116</c:v>
                </c:pt>
                <c:pt idx="33">
                  <c:v>58.771929824561397</c:v>
                </c:pt>
                <c:pt idx="34">
                  <c:v>60.526315789473678</c:v>
                </c:pt>
                <c:pt idx="35">
                  <c:v>62.280701754385959</c:v>
                </c:pt>
                <c:pt idx="36">
                  <c:v>64.035087719298247</c:v>
                </c:pt>
                <c:pt idx="37">
                  <c:v>65.78947368421052</c:v>
                </c:pt>
                <c:pt idx="38">
                  <c:v>67.543859649122794</c:v>
                </c:pt>
                <c:pt idx="39">
                  <c:v>69.298245614035082</c:v>
                </c:pt>
                <c:pt idx="40">
                  <c:v>71.052631578947356</c:v>
                </c:pt>
                <c:pt idx="41">
                  <c:v>72.807017543859644</c:v>
                </c:pt>
                <c:pt idx="42">
                  <c:v>74.561403508771917</c:v>
                </c:pt>
                <c:pt idx="43">
                  <c:v>76.315789473684205</c:v>
                </c:pt>
                <c:pt idx="44">
                  <c:v>78.070175438596479</c:v>
                </c:pt>
                <c:pt idx="45">
                  <c:v>79.824561403508767</c:v>
                </c:pt>
                <c:pt idx="46">
                  <c:v>81.578947368421041</c:v>
                </c:pt>
                <c:pt idx="47">
                  <c:v>83.333333333333329</c:v>
                </c:pt>
                <c:pt idx="48">
                  <c:v>85.087719298245602</c:v>
                </c:pt>
                <c:pt idx="49">
                  <c:v>86.84210526315789</c:v>
                </c:pt>
                <c:pt idx="50">
                  <c:v>88.596491228070164</c:v>
                </c:pt>
                <c:pt idx="51">
                  <c:v>90.350877192982452</c:v>
                </c:pt>
                <c:pt idx="52">
                  <c:v>92.105263157894726</c:v>
                </c:pt>
                <c:pt idx="53">
                  <c:v>93.859649122807014</c:v>
                </c:pt>
                <c:pt idx="54">
                  <c:v>95.614035087719287</c:v>
                </c:pt>
                <c:pt idx="55">
                  <c:v>97.368421052631575</c:v>
                </c:pt>
                <c:pt idx="56">
                  <c:v>99.122807017543849</c:v>
                </c:pt>
              </c:numCache>
            </c:numRef>
          </c:xVal>
          <c:yVal>
            <c:numRef>
              <c:f>'АД Y от t-1'!$G$25:$G$81</c:f>
              <c:numCache>
                <c:formatCode>General</c:formatCode>
                <c:ptCount val="57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102.55</c:v>
                </c:pt>
                <c:pt idx="4">
                  <c:v>104.35</c:v>
                </c:pt>
                <c:pt idx="5">
                  <c:v>106.49</c:v>
                </c:pt>
                <c:pt idx="6">
                  <c:v>106.57</c:v>
                </c:pt>
                <c:pt idx="7">
                  <c:v>106.61</c:v>
                </c:pt>
                <c:pt idx="8">
                  <c:v>107.03</c:v>
                </c:pt>
                <c:pt idx="9">
                  <c:v>107.04</c:v>
                </c:pt>
                <c:pt idx="10">
                  <c:v>107.47</c:v>
                </c:pt>
                <c:pt idx="11">
                  <c:v>107.57</c:v>
                </c:pt>
                <c:pt idx="12">
                  <c:v>107.8</c:v>
                </c:pt>
                <c:pt idx="13">
                  <c:v>108.19</c:v>
                </c:pt>
                <c:pt idx="14">
                  <c:v>108.36</c:v>
                </c:pt>
                <c:pt idx="15">
                  <c:v>108.49</c:v>
                </c:pt>
                <c:pt idx="16">
                  <c:v>108.86</c:v>
                </c:pt>
                <c:pt idx="17">
                  <c:v>109.5</c:v>
                </c:pt>
                <c:pt idx="18">
                  <c:v>109.76</c:v>
                </c:pt>
                <c:pt idx="19">
                  <c:v>111.35</c:v>
                </c:pt>
                <c:pt idx="20">
                  <c:v>111.39</c:v>
                </c:pt>
                <c:pt idx="21">
                  <c:v>111.96</c:v>
                </c:pt>
                <c:pt idx="22">
                  <c:v>113.35</c:v>
                </c:pt>
                <c:pt idx="23">
                  <c:v>115.27</c:v>
                </c:pt>
                <c:pt idx="24">
                  <c:v>115.88</c:v>
                </c:pt>
                <c:pt idx="25">
                  <c:v>117.17</c:v>
                </c:pt>
                <c:pt idx="26">
                  <c:v>117.26</c:v>
                </c:pt>
                <c:pt idx="27">
                  <c:v>117.54</c:v>
                </c:pt>
                <c:pt idx="28">
                  <c:v>117.61</c:v>
                </c:pt>
                <c:pt idx="29">
                  <c:v>122.58</c:v>
                </c:pt>
                <c:pt idx="30">
                  <c:v>128.16</c:v>
                </c:pt>
                <c:pt idx="31">
                  <c:v>128.94</c:v>
                </c:pt>
                <c:pt idx="32">
                  <c:v>129.16</c:v>
                </c:pt>
                <c:pt idx="33">
                  <c:v>129.30000000000001</c:v>
                </c:pt>
                <c:pt idx="34">
                  <c:v>130.28</c:v>
                </c:pt>
                <c:pt idx="35">
                  <c:v>130.59</c:v>
                </c:pt>
                <c:pt idx="36">
                  <c:v>131.22</c:v>
                </c:pt>
                <c:pt idx="37">
                  <c:v>132.01</c:v>
                </c:pt>
                <c:pt idx="38">
                  <c:v>132.52000000000001</c:v>
                </c:pt>
                <c:pt idx="39">
                  <c:v>132.86000000000001</c:v>
                </c:pt>
                <c:pt idx="40">
                  <c:v>133.72999999999999</c:v>
                </c:pt>
                <c:pt idx="41">
                  <c:v>134.25</c:v>
                </c:pt>
                <c:pt idx="42">
                  <c:v>134.27000000000001</c:v>
                </c:pt>
                <c:pt idx="43">
                  <c:v>134.38999999999999</c:v>
                </c:pt>
                <c:pt idx="44">
                  <c:v>134.46</c:v>
                </c:pt>
                <c:pt idx="45">
                  <c:v>134.51</c:v>
                </c:pt>
                <c:pt idx="46">
                  <c:v>134.72999999999999</c:v>
                </c:pt>
                <c:pt idx="47">
                  <c:v>134.91999999999999</c:v>
                </c:pt>
                <c:pt idx="48">
                  <c:v>135.22</c:v>
                </c:pt>
                <c:pt idx="49">
                  <c:v>135.69999999999999</c:v>
                </c:pt>
                <c:pt idx="50">
                  <c:v>136.06</c:v>
                </c:pt>
                <c:pt idx="51">
                  <c:v>136.12</c:v>
                </c:pt>
                <c:pt idx="52">
                  <c:v>136.13999999999999</c:v>
                </c:pt>
                <c:pt idx="53">
                  <c:v>137.5</c:v>
                </c:pt>
                <c:pt idx="54">
                  <c:v>139.1</c:v>
                </c:pt>
                <c:pt idx="55">
                  <c:v>140.09</c:v>
                </c:pt>
                <c:pt idx="56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FF-4F69-847E-187E91633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15392"/>
        <c:axId val="542303968"/>
      </c:scatterChart>
      <c:valAx>
        <c:axId val="54231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03968"/>
        <c:crosses val="autoZero"/>
        <c:crossBetween val="midCat"/>
      </c:valAx>
      <c:valAx>
        <c:axId val="542303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15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t-2'!$C$6:$C$61</c:f>
              <c:numCache>
                <c:formatCode>0.00</c:formatCode>
                <c:ptCount val="56"/>
                <c:pt idx="0">
                  <c:v>102.21</c:v>
                </c:pt>
                <c:pt idx="1">
                  <c:v>102.16</c:v>
                </c:pt>
                <c:pt idx="2">
                  <c:v>102.06</c:v>
                </c:pt>
                <c:pt idx="3">
                  <c:v>102.55</c:v>
                </c:pt>
                <c:pt idx="4">
                  <c:v>104.35</c:v>
                </c:pt>
                <c:pt idx="5">
                  <c:v>107.57</c:v>
                </c:pt>
                <c:pt idx="6">
                  <c:v>111.96</c:v>
                </c:pt>
                <c:pt idx="7">
                  <c:v>115.27</c:v>
                </c:pt>
                <c:pt idx="8">
                  <c:v>117.17</c:v>
                </c:pt>
                <c:pt idx="9">
                  <c:v>117.61</c:v>
                </c:pt>
                <c:pt idx="10">
                  <c:v>117.26</c:v>
                </c:pt>
                <c:pt idx="11">
                  <c:v>115.88</c:v>
                </c:pt>
                <c:pt idx="12">
                  <c:v>113.35</c:v>
                </c:pt>
                <c:pt idx="13">
                  <c:v>111.39</c:v>
                </c:pt>
                <c:pt idx="14">
                  <c:v>109.76</c:v>
                </c:pt>
                <c:pt idx="15">
                  <c:v>109.5</c:v>
                </c:pt>
                <c:pt idx="16">
                  <c:v>108.86</c:v>
                </c:pt>
                <c:pt idx="17">
                  <c:v>108.49</c:v>
                </c:pt>
                <c:pt idx="18">
                  <c:v>108.36</c:v>
                </c:pt>
                <c:pt idx="19">
                  <c:v>108.19</c:v>
                </c:pt>
                <c:pt idx="20">
                  <c:v>107.8</c:v>
                </c:pt>
                <c:pt idx="21">
                  <c:v>107.47</c:v>
                </c:pt>
                <c:pt idx="22">
                  <c:v>107.03</c:v>
                </c:pt>
                <c:pt idx="23">
                  <c:v>106.61</c:v>
                </c:pt>
                <c:pt idx="24">
                  <c:v>106.57</c:v>
                </c:pt>
                <c:pt idx="25">
                  <c:v>106.49</c:v>
                </c:pt>
                <c:pt idx="26">
                  <c:v>107.04</c:v>
                </c:pt>
                <c:pt idx="27">
                  <c:v>111.35</c:v>
                </c:pt>
                <c:pt idx="28">
                  <c:v>117.54</c:v>
                </c:pt>
                <c:pt idx="29">
                  <c:v>122.58</c:v>
                </c:pt>
                <c:pt idx="30">
                  <c:v>128.16</c:v>
                </c:pt>
                <c:pt idx="31">
                  <c:v>132.86000000000001</c:v>
                </c:pt>
                <c:pt idx="32">
                  <c:v>134.91999999999999</c:v>
                </c:pt>
                <c:pt idx="33">
                  <c:v>135.69999999999999</c:v>
                </c:pt>
                <c:pt idx="34">
                  <c:v>136.13999999999999</c:v>
                </c:pt>
                <c:pt idx="35">
                  <c:v>140.15</c:v>
                </c:pt>
                <c:pt idx="36">
                  <c:v>140.09</c:v>
                </c:pt>
                <c:pt idx="37">
                  <c:v>139.1</c:v>
                </c:pt>
                <c:pt idx="38">
                  <c:v>137.5</c:v>
                </c:pt>
                <c:pt idx="39">
                  <c:v>136.12</c:v>
                </c:pt>
                <c:pt idx="40">
                  <c:v>135.22</c:v>
                </c:pt>
                <c:pt idx="41">
                  <c:v>134.72999999999999</c:v>
                </c:pt>
                <c:pt idx="42">
                  <c:v>134.38999999999999</c:v>
                </c:pt>
                <c:pt idx="43">
                  <c:v>134.51</c:v>
                </c:pt>
                <c:pt idx="44">
                  <c:v>134.46</c:v>
                </c:pt>
                <c:pt idx="45">
                  <c:v>134.27000000000001</c:v>
                </c:pt>
                <c:pt idx="46">
                  <c:v>133.72999999999999</c:v>
                </c:pt>
                <c:pt idx="47">
                  <c:v>132.01</c:v>
                </c:pt>
                <c:pt idx="48">
                  <c:v>130.59</c:v>
                </c:pt>
                <c:pt idx="49">
                  <c:v>130.28</c:v>
                </c:pt>
                <c:pt idx="50">
                  <c:v>129.16</c:v>
                </c:pt>
                <c:pt idx="51">
                  <c:v>128.94</c:v>
                </c:pt>
                <c:pt idx="52">
                  <c:v>129.30000000000001</c:v>
                </c:pt>
                <c:pt idx="53">
                  <c:v>131.22</c:v>
                </c:pt>
                <c:pt idx="54">
                  <c:v>132.52000000000001</c:v>
                </c:pt>
                <c:pt idx="55">
                  <c:v>134.25</c:v>
                </c:pt>
              </c:numCache>
            </c:numRef>
          </c:xVal>
          <c:yVal>
            <c:numRef>
              <c:f>'АД Y от t-2'!$C$26:$C$81</c:f>
              <c:numCache>
                <c:formatCode>General</c:formatCode>
                <c:ptCount val="56"/>
                <c:pt idx="0">
                  <c:v>-0.53881259931404202</c:v>
                </c:pt>
                <c:pt idx="1">
                  <c:v>-0.63905017662467856</c:v>
                </c:pt>
                <c:pt idx="2">
                  <c:v>-1.0511005798520046E-2</c:v>
                </c:pt>
                <c:pt idx="3">
                  <c:v>0.82852974962743531</c:v>
                </c:pt>
                <c:pt idx="4">
                  <c:v>1.2195548310298818</c:v>
                </c:pt>
                <c:pt idx="5">
                  <c:v>1.3039624823972673</c:v>
                </c:pt>
                <c:pt idx="6">
                  <c:v>-0.62973250755686649</c:v>
                </c:pt>
                <c:pt idx="7">
                  <c:v>-1.0788838848520328</c:v>
                </c:pt>
                <c:pt idx="8">
                  <c:v>-1.3412822008084646</c:v>
                </c:pt>
                <c:pt idx="9">
                  <c:v>-0.92706592449238201</c:v>
                </c:pt>
                <c:pt idx="10">
                  <c:v>-1.3192740610114413</c:v>
                </c:pt>
                <c:pt idx="11">
                  <c:v>-1.6594048527151131</c:v>
                </c:pt>
                <c:pt idx="12">
                  <c:v>-0.20840293332111059</c:v>
                </c:pt>
                <c:pt idx="13">
                  <c:v>-0.39051874067811809</c:v>
                </c:pt>
                <c:pt idx="14">
                  <c:v>0.67136737533380142</c:v>
                </c:pt>
                <c:pt idx="15">
                  <c:v>-0.83502776976030191</c:v>
                </c:pt>
                <c:pt idx="16">
                  <c:v>-0.269313196903056</c:v>
                </c:pt>
                <c:pt idx="17">
                  <c:v>-0.25878601824958025</c:v>
                </c:pt>
                <c:pt idx="18">
                  <c:v>-0.4980931506548103</c:v>
                </c:pt>
                <c:pt idx="19">
                  <c:v>-0.68937446992755724</c:v>
                </c:pt>
                <c:pt idx="20">
                  <c:v>-0.45862842055140618</c:v>
                </c:pt>
                <c:pt idx="21">
                  <c:v>-0.62543870521132305</c:v>
                </c:pt>
                <c:pt idx="22">
                  <c:v>-0.52581679945384963</c:v>
                </c:pt>
                <c:pt idx="23">
                  <c:v>-0.17203048700102386</c:v>
                </c:pt>
                <c:pt idx="24">
                  <c:v>-0.52370734913513672</c:v>
                </c:pt>
                <c:pt idx="25">
                  <c:v>0.13712398752582544</c:v>
                </c:pt>
                <c:pt idx="26">
                  <c:v>3.3948639271944643</c:v>
                </c:pt>
                <c:pt idx="27">
                  <c:v>2.3013668860965737</c:v>
                </c:pt>
                <c:pt idx="28">
                  <c:v>-0.24066422675829813</c:v>
                </c:pt>
                <c:pt idx="29">
                  <c:v>1.3580355306145009</c:v>
                </c:pt>
                <c:pt idx="30">
                  <c:v>0.16744528237654777</c:v>
                </c:pt>
                <c:pt idx="31">
                  <c:v>-1.6426235629527071</c:v>
                </c:pt>
                <c:pt idx="32">
                  <c:v>-0.71545651495949869</c:v>
                </c:pt>
                <c:pt idx="33">
                  <c:v>9.549267285933638E-3</c:v>
                </c:pt>
                <c:pt idx="34">
                  <c:v>3.867906458301178</c:v>
                </c:pt>
                <c:pt idx="35">
                  <c:v>-3.0272638172718018</c:v>
                </c:pt>
                <c:pt idx="36">
                  <c:v>-0.63050575708359702</c:v>
                </c:pt>
                <c:pt idx="37">
                  <c:v>-0.50325483902406631</c:v>
                </c:pt>
                <c:pt idx="38">
                  <c:v>0.17800294222422508</c:v>
                </c:pt>
                <c:pt idx="39">
                  <c:v>0.4457079928186829</c:v>
                </c:pt>
                <c:pt idx="40">
                  <c:v>0.44207039692420835</c:v>
                </c:pt>
                <c:pt idx="41">
                  <c:v>0.24529831533675406</c:v>
                </c:pt>
                <c:pt idx="42">
                  <c:v>0.57465747177408844</c:v>
                </c:pt>
                <c:pt idx="43">
                  <c:v>3.1317936318060902E-2</c:v>
                </c:pt>
                <c:pt idx="44">
                  <c:v>2.9158564024584166E-2</c:v>
                </c:pt>
                <c:pt idx="45">
                  <c:v>-0.21081910172839002</c:v>
                </c:pt>
                <c:pt idx="46">
                  <c:v>-1.1172890731740495</c:v>
                </c:pt>
                <c:pt idx="47">
                  <c:v>0.10725868940807004</c:v>
                </c:pt>
                <c:pt idx="48">
                  <c:v>0.93860627571680766</c:v>
                </c:pt>
                <c:pt idx="49">
                  <c:v>-0.78635242231629832</c:v>
                </c:pt>
                <c:pt idx="50">
                  <c:v>0.74971912247744399</c:v>
                </c:pt>
                <c:pt idx="51">
                  <c:v>0.58859665887194978</c:v>
                </c:pt>
                <c:pt idx="52">
                  <c:v>1.6827631134330261</c:v>
                </c:pt>
                <c:pt idx="53">
                  <c:v>-0.16782776212667727</c:v>
                </c:pt>
                <c:pt idx="54">
                  <c:v>0.79968180135796274</c:v>
                </c:pt>
                <c:pt idx="55">
                  <c:v>0.56866727294516295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62B-44B6-BFFD-CFE252B49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09408"/>
        <c:axId val="542316480"/>
      </c:scatterChart>
      <c:valAx>
        <c:axId val="54230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16480"/>
        <c:crosses val="autoZero"/>
        <c:crossBetween val="midCat"/>
      </c:valAx>
      <c:valAx>
        <c:axId val="542316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09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2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t-2'!$D$6:$D$61</c:f>
              <c:numCache>
                <c:formatCode>0.00</c:formatCode>
                <c:ptCount val="56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</c:numCache>
            </c:numRef>
          </c:xVal>
          <c:yVal>
            <c:numRef>
              <c:f>'АД Y от t-2'!$C$26:$C$81</c:f>
              <c:numCache>
                <c:formatCode>General</c:formatCode>
                <c:ptCount val="56"/>
                <c:pt idx="0">
                  <c:v>-0.53881259931404202</c:v>
                </c:pt>
                <c:pt idx="1">
                  <c:v>-0.63905017662467856</c:v>
                </c:pt>
                <c:pt idx="2">
                  <c:v>-1.0511005798520046E-2</c:v>
                </c:pt>
                <c:pt idx="3">
                  <c:v>0.82852974962743531</c:v>
                </c:pt>
                <c:pt idx="4">
                  <c:v>1.2195548310298818</c:v>
                </c:pt>
                <c:pt idx="5">
                  <c:v>1.3039624823972673</c:v>
                </c:pt>
                <c:pt idx="6">
                  <c:v>-0.62973250755686649</c:v>
                </c:pt>
                <c:pt idx="7">
                  <c:v>-1.0788838848520328</c:v>
                </c:pt>
                <c:pt idx="8">
                  <c:v>-1.3412822008084646</c:v>
                </c:pt>
                <c:pt idx="9">
                  <c:v>-0.92706592449238201</c:v>
                </c:pt>
                <c:pt idx="10">
                  <c:v>-1.3192740610114413</c:v>
                </c:pt>
                <c:pt idx="11">
                  <c:v>-1.6594048527151131</c:v>
                </c:pt>
                <c:pt idx="12">
                  <c:v>-0.20840293332111059</c:v>
                </c:pt>
                <c:pt idx="13">
                  <c:v>-0.39051874067811809</c:v>
                </c:pt>
                <c:pt idx="14">
                  <c:v>0.67136737533380142</c:v>
                </c:pt>
                <c:pt idx="15">
                  <c:v>-0.83502776976030191</c:v>
                </c:pt>
                <c:pt idx="16">
                  <c:v>-0.269313196903056</c:v>
                </c:pt>
                <c:pt idx="17">
                  <c:v>-0.25878601824958025</c:v>
                </c:pt>
                <c:pt idx="18">
                  <c:v>-0.4980931506548103</c:v>
                </c:pt>
                <c:pt idx="19">
                  <c:v>-0.68937446992755724</c:v>
                </c:pt>
                <c:pt idx="20">
                  <c:v>-0.45862842055140618</c:v>
                </c:pt>
                <c:pt idx="21">
                  <c:v>-0.62543870521132305</c:v>
                </c:pt>
                <c:pt idx="22">
                  <c:v>-0.52581679945384963</c:v>
                </c:pt>
                <c:pt idx="23">
                  <c:v>-0.17203048700102386</c:v>
                </c:pt>
                <c:pt idx="24">
                  <c:v>-0.52370734913513672</c:v>
                </c:pt>
                <c:pt idx="25">
                  <c:v>0.13712398752582544</c:v>
                </c:pt>
                <c:pt idx="26">
                  <c:v>3.3948639271944643</c:v>
                </c:pt>
                <c:pt idx="27">
                  <c:v>2.3013668860965737</c:v>
                </c:pt>
                <c:pt idx="28">
                  <c:v>-0.24066422675829813</c:v>
                </c:pt>
                <c:pt idx="29">
                  <c:v>1.3580355306145009</c:v>
                </c:pt>
                <c:pt idx="30">
                  <c:v>0.16744528237654777</c:v>
                </c:pt>
                <c:pt idx="31">
                  <c:v>-1.6426235629527071</c:v>
                </c:pt>
                <c:pt idx="32">
                  <c:v>-0.71545651495949869</c:v>
                </c:pt>
                <c:pt idx="33">
                  <c:v>9.549267285933638E-3</c:v>
                </c:pt>
                <c:pt idx="34">
                  <c:v>3.867906458301178</c:v>
                </c:pt>
                <c:pt idx="35">
                  <c:v>-3.0272638172718018</c:v>
                </c:pt>
                <c:pt idx="36">
                  <c:v>-0.63050575708359702</c:v>
                </c:pt>
                <c:pt idx="37">
                  <c:v>-0.50325483902406631</c:v>
                </c:pt>
                <c:pt idx="38">
                  <c:v>0.17800294222422508</c:v>
                </c:pt>
                <c:pt idx="39">
                  <c:v>0.4457079928186829</c:v>
                </c:pt>
                <c:pt idx="40">
                  <c:v>0.44207039692420835</c:v>
                </c:pt>
                <c:pt idx="41">
                  <c:v>0.24529831533675406</c:v>
                </c:pt>
                <c:pt idx="42">
                  <c:v>0.57465747177408844</c:v>
                </c:pt>
                <c:pt idx="43">
                  <c:v>3.1317936318060902E-2</c:v>
                </c:pt>
                <c:pt idx="44">
                  <c:v>2.9158564024584166E-2</c:v>
                </c:pt>
                <c:pt idx="45">
                  <c:v>-0.21081910172839002</c:v>
                </c:pt>
                <c:pt idx="46">
                  <c:v>-1.1172890731740495</c:v>
                </c:pt>
                <c:pt idx="47">
                  <c:v>0.10725868940807004</c:v>
                </c:pt>
                <c:pt idx="48">
                  <c:v>0.93860627571680766</c:v>
                </c:pt>
                <c:pt idx="49">
                  <c:v>-0.78635242231629832</c:v>
                </c:pt>
                <c:pt idx="50">
                  <c:v>0.74971912247744399</c:v>
                </c:pt>
                <c:pt idx="51">
                  <c:v>0.58859665887194978</c:v>
                </c:pt>
                <c:pt idx="52">
                  <c:v>1.6827631134330261</c:v>
                </c:pt>
                <c:pt idx="53">
                  <c:v>-0.16782776212667727</c:v>
                </c:pt>
                <c:pt idx="54">
                  <c:v>0.79968180135796274</c:v>
                </c:pt>
                <c:pt idx="55">
                  <c:v>0.56866727294516295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5B8-4BA3-9E27-BDB29E913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90368"/>
        <c:axId val="542309952"/>
      </c:scatterChart>
      <c:valAx>
        <c:axId val="54229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2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09952"/>
        <c:crosses val="autoZero"/>
        <c:crossBetween val="midCat"/>
      </c:valAx>
      <c:valAx>
        <c:axId val="542309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90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t-2'!$C$6:$C$61</c:f>
              <c:numCache>
                <c:formatCode>0.00</c:formatCode>
                <c:ptCount val="56"/>
                <c:pt idx="0">
                  <c:v>102.21</c:v>
                </c:pt>
                <c:pt idx="1">
                  <c:v>102.16</c:v>
                </c:pt>
                <c:pt idx="2">
                  <c:v>102.06</c:v>
                </c:pt>
                <c:pt idx="3">
                  <c:v>102.55</c:v>
                </c:pt>
                <c:pt idx="4">
                  <c:v>104.35</c:v>
                </c:pt>
                <c:pt idx="5">
                  <c:v>107.57</c:v>
                </c:pt>
                <c:pt idx="6">
                  <c:v>111.96</c:v>
                </c:pt>
                <c:pt idx="7">
                  <c:v>115.27</c:v>
                </c:pt>
                <c:pt idx="8">
                  <c:v>117.17</c:v>
                </c:pt>
                <c:pt idx="9">
                  <c:v>117.61</c:v>
                </c:pt>
                <c:pt idx="10">
                  <c:v>117.26</c:v>
                </c:pt>
                <c:pt idx="11">
                  <c:v>115.88</c:v>
                </c:pt>
                <c:pt idx="12">
                  <c:v>113.35</c:v>
                </c:pt>
                <c:pt idx="13">
                  <c:v>111.39</c:v>
                </c:pt>
                <c:pt idx="14">
                  <c:v>109.76</c:v>
                </c:pt>
                <c:pt idx="15">
                  <c:v>109.5</c:v>
                </c:pt>
                <c:pt idx="16">
                  <c:v>108.86</c:v>
                </c:pt>
                <c:pt idx="17">
                  <c:v>108.49</c:v>
                </c:pt>
                <c:pt idx="18">
                  <c:v>108.36</c:v>
                </c:pt>
                <c:pt idx="19">
                  <c:v>108.19</c:v>
                </c:pt>
                <c:pt idx="20">
                  <c:v>107.8</c:v>
                </c:pt>
                <c:pt idx="21">
                  <c:v>107.47</c:v>
                </c:pt>
                <c:pt idx="22">
                  <c:v>107.03</c:v>
                </c:pt>
                <c:pt idx="23">
                  <c:v>106.61</c:v>
                </c:pt>
                <c:pt idx="24">
                  <c:v>106.57</c:v>
                </c:pt>
                <c:pt idx="25">
                  <c:v>106.49</c:v>
                </c:pt>
                <c:pt idx="26">
                  <c:v>107.04</c:v>
                </c:pt>
                <c:pt idx="27">
                  <c:v>111.35</c:v>
                </c:pt>
                <c:pt idx="28">
                  <c:v>117.54</c:v>
                </c:pt>
                <c:pt idx="29">
                  <c:v>122.58</c:v>
                </c:pt>
                <c:pt idx="30">
                  <c:v>128.16</c:v>
                </c:pt>
                <c:pt idx="31">
                  <c:v>132.86000000000001</c:v>
                </c:pt>
                <c:pt idx="32">
                  <c:v>134.91999999999999</c:v>
                </c:pt>
                <c:pt idx="33">
                  <c:v>135.69999999999999</c:v>
                </c:pt>
                <c:pt idx="34">
                  <c:v>136.13999999999999</c:v>
                </c:pt>
                <c:pt idx="35">
                  <c:v>140.15</c:v>
                </c:pt>
                <c:pt idx="36">
                  <c:v>140.09</c:v>
                </c:pt>
                <c:pt idx="37">
                  <c:v>139.1</c:v>
                </c:pt>
                <c:pt idx="38">
                  <c:v>137.5</c:v>
                </c:pt>
                <c:pt idx="39">
                  <c:v>136.12</c:v>
                </c:pt>
                <c:pt idx="40">
                  <c:v>135.22</c:v>
                </c:pt>
                <c:pt idx="41">
                  <c:v>134.72999999999999</c:v>
                </c:pt>
                <c:pt idx="42">
                  <c:v>134.38999999999999</c:v>
                </c:pt>
                <c:pt idx="43">
                  <c:v>134.51</c:v>
                </c:pt>
                <c:pt idx="44">
                  <c:v>134.46</c:v>
                </c:pt>
                <c:pt idx="45">
                  <c:v>134.27000000000001</c:v>
                </c:pt>
                <c:pt idx="46">
                  <c:v>133.72999999999999</c:v>
                </c:pt>
                <c:pt idx="47">
                  <c:v>132.01</c:v>
                </c:pt>
                <c:pt idx="48">
                  <c:v>130.59</c:v>
                </c:pt>
                <c:pt idx="49">
                  <c:v>130.28</c:v>
                </c:pt>
                <c:pt idx="50">
                  <c:v>129.16</c:v>
                </c:pt>
                <c:pt idx="51">
                  <c:v>128.94</c:v>
                </c:pt>
                <c:pt idx="52">
                  <c:v>129.30000000000001</c:v>
                </c:pt>
                <c:pt idx="53">
                  <c:v>131.22</c:v>
                </c:pt>
                <c:pt idx="54">
                  <c:v>132.52000000000001</c:v>
                </c:pt>
                <c:pt idx="55">
                  <c:v>134.25</c:v>
                </c:pt>
              </c:numCache>
            </c:numRef>
          </c:xVal>
          <c:yVal>
            <c:numRef>
              <c:f>'Y от t-2'!$B$6:$B$61</c:f>
              <c:numCache>
                <c:formatCode>0.00</c:formatCode>
                <c:ptCount val="56"/>
                <c:pt idx="0">
                  <c:v>102.16</c:v>
                </c:pt>
                <c:pt idx="1">
                  <c:v>102.06</c:v>
                </c:pt>
                <c:pt idx="2">
                  <c:v>102.55</c:v>
                </c:pt>
                <c:pt idx="3">
                  <c:v>104.35</c:v>
                </c:pt>
                <c:pt idx="4">
                  <c:v>107.57</c:v>
                </c:pt>
                <c:pt idx="5">
                  <c:v>111.96</c:v>
                </c:pt>
                <c:pt idx="6">
                  <c:v>115.27</c:v>
                </c:pt>
                <c:pt idx="7">
                  <c:v>117.17</c:v>
                </c:pt>
                <c:pt idx="8">
                  <c:v>117.61</c:v>
                </c:pt>
                <c:pt idx="9">
                  <c:v>117.26</c:v>
                </c:pt>
                <c:pt idx="10">
                  <c:v>115.88</c:v>
                </c:pt>
                <c:pt idx="11">
                  <c:v>113.35</c:v>
                </c:pt>
                <c:pt idx="12">
                  <c:v>111.39</c:v>
                </c:pt>
                <c:pt idx="13">
                  <c:v>109.76</c:v>
                </c:pt>
                <c:pt idx="14">
                  <c:v>109.5</c:v>
                </c:pt>
                <c:pt idx="15">
                  <c:v>108.86</c:v>
                </c:pt>
                <c:pt idx="16">
                  <c:v>108.49</c:v>
                </c:pt>
                <c:pt idx="17">
                  <c:v>108.36</c:v>
                </c:pt>
                <c:pt idx="18">
                  <c:v>108.19</c:v>
                </c:pt>
                <c:pt idx="19">
                  <c:v>107.8</c:v>
                </c:pt>
                <c:pt idx="20">
                  <c:v>107.47</c:v>
                </c:pt>
                <c:pt idx="21">
                  <c:v>107.03</c:v>
                </c:pt>
                <c:pt idx="22">
                  <c:v>106.61</c:v>
                </c:pt>
                <c:pt idx="23">
                  <c:v>106.57</c:v>
                </c:pt>
                <c:pt idx="24">
                  <c:v>106.49</c:v>
                </c:pt>
                <c:pt idx="25">
                  <c:v>107.04</c:v>
                </c:pt>
                <c:pt idx="26">
                  <c:v>111.35</c:v>
                </c:pt>
                <c:pt idx="27">
                  <c:v>117.54</c:v>
                </c:pt>
                <c:pt idx="28">
                  <c:v>122.58</c:v>
                </c:pt>
                <c:pt idx="29">
                  <c:v>128.16</c:v>
                </c:pt>
                <c:pt idx="30">
                  <c:v>132.86000000000001</c:v>
                </c:pt>
                <c:pt idx="31">
                  <c:v>134.91999999999999</c:v>
                </c:pt>
                <c:pt idx="32">
                  <c:v>135.69999999999999</c:v>
                </c:pt>
                <c:pt idx="33">
                  <c:v>136.13999999999999</c:v>
                </c:pt>
                <c:pt idx="34">
                  <c:v>140.15</c:v>
                </c:pt>
                <c:pt idx="35">
                  <c:v>140.09</c:v>
                </c:pt>
                <c:pt idx="36">
                  <c:v>139.1</c:v>
                </c:pt>
                <c:pt idx="37">
                  <c:v>137.5</c:v>
                </c:pt>
                <c:pt idx="38">
                  <c:v>136.12</c:v>
                </c:pt>
                <c:pt idx="39">
                  <c:v>135.22</c:v>
                </c:pt>
                <c:pt idx="40">
                  <c:v>134.72999999999999</c:v>
                </c:pt>
                <c:pt idx="41">
                  <c:v>134.38999999999999</c:v>
                </c:pt>
                <c:pt idx="42">
                  <c:v>134.51</c:v>
                </c:pt>
                <c:pt idx="43">
                  <c:v>134.46</c:v>
                </c:pt>
                <c:pt idx="44">
                  <c:v>134.27000000000001</c:v>
                </c:pt>
                <c:pt idx="45">
                  <c:v>133.72999999999999</c:v>
                </c:pt>
                <c:pt idx="46">
                  <c:v>132.01</c:v>
                </c:pt>
                <c:pt idx="47">
                  <c:v>130.59</c:v>
                </c:pt>
                <c:pt idx="48">
                  <c:v>130.28</c:v>
                </c:pt>
                <c:pt idx="49">
                  <c:v>129.16</c:v>
                </c:pt>
                <c:pt idx="50">
                  <c:v>128.94</c:v>
                </c:pt>
                <c:pt idx="51">
                  <c:v>129.30000000000001</c:v>
                </c:pt>
                <c:pt idx="52">
                  <c:v>131.22</c:v>
                </c:pt>
                <c:pt idx="53">
                  <c:v>132.52000000000001</c:v>
                </c:pt>
                <c:pt idx="54">
                  <c:v>134.25</c:v>
                </c:pt>
                <c:pt idx="55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7D1-4E81-A8E3-052D18F3A826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t-2'!$C$6:$C$61</c:f>
              <c:numCache>
                <c:formatCode>0.00</c:formatCode>
                <c:ptCount val="56"/>
                <c:pt idx="0">
                  <c:v>102.21</c:v>
                </c:pt>
                <c:pt idx="1">
                  <c:v>102.16</c:v>
                </c:pt>
                <c:pt idx="2">
                  <c:v>102.06</c:v>
                </c:pt>
                <c:pt idx="3">
                  <c:v>102.55</c:v>
                </c:pt>
                <c:pt idx="4">
                  <c:v>104.35</c:v>
                </c:pt>
                <c:pt idx="5">
                  <c:v>107.57</c:v>
                </c:pt>
                <c:pt idx="6">
                  <c:v>111.96</c:v>
                </c:pt>
                <c:pt idx="7">
                  <c:v>115.27</c:v>
                </c:pt>
                <c:pt idx="8">
                  <c:v>117.17</c:v>
                </c:pt>
                <c:pt idx="9">
                  <c:v>117.61</c:v>
                </c:pt>
                <c:pt idx="10">
                  <c:v>117.26</c:v>
                </c:pt>
                <c:pt idx="11">
                  <c:v>115.88</c:v>
                </c:pt>
                <c:pt idx="12">
                  <c:v>113.35</c:v>
                </c:pt>
                <c:pt idx="13">
                  <c:v>111.39</c:v>
                </c:pt>
                <c:pt idx="14">
                  <c:v>109.76</c:v>
                </c:pt>
                <c:pt idx="15">
                  <c:v>109.5</c:v>
                </c:pt>
                <c:pt idx="16">
                  <c:v>108.86</c:v>
                </c:pt>
                <c:pt idx="17">
                  <c:v>108.49</c:v>
                </c:pt>
                <c:pt idx="18">
                  <c:v>108.36</c:v>
                </c:pt>
                <c:pt idx="19">
                  <c:v>108.19</c:v>
                </c:pt>
                <c:pt idx="20">
                  <c:v>107.8</c:v>
                </c:pt>
                <c:pt idx="21">
                  <c:v>107.47</c:v>
                </c:pt>
                <c:pt idx="22">
                  <c:v>107.03</c:v>
                </c:pt>
                <c:pt idx="23">
                  <c:v>106.61</c:v>
                </c:pt>
                <c:pt idx="24">
                  <c:v>106.57</c:v>
                </c:pt>
                <c:pt idx="25">
                  <c:v>106.49</c:v>
                </c:pt>
                <c:pt idx="26">
                  <c:v>107.04</c:v>
                </c:pt>
                <c:pt idx="27">
                  <c:v>111.35</c:v>
                </c:pt>
                <c:pt idx="28">
                  <c:v>117.54</c:v>
                </c:pt>
                <c:pt idx="29">
                  <c:v>122.58</c:v>
                </c:pt>
                <c:pt idx="30">
                  <c:v>128.16</c:v>
                </c:pt>
                <c:pt idx="31">
                  <c:v>132.86000000000001</c:v>
                </c:pt>
                <c:pt idx="32">
                  <c:v>134.91999999999999</c:v>
                </c:pt>
                <c:pt idx="33">
                  <c:v>135.69999999999999</c:v>
                </c:pt>
                <c:pt idx="34">
                  <c:v>136.13999999999999</c:v>
                </c:pt>
                <c:pt idx="35">
                  <c:v>140.15</c:v>
                </c:pt>
                <c:pt idx="36">
                  <c:v>140.09</c:v>
                </c:pt>
                <c:pt idx="37">
                  <c:v>139.1</c:v>
                </c:pt>
                <c:pt idx="38">
                  <c:v>137.5</c:v>
                </c:pt>
                <c:pt idx="39">
                  <c:v>136.12</c:v>
                </c:pt>
                <c:pt idx="40">
                  <c:v>135.22</c:v>
                </c:pt>
                <c:pt idx="41">
                  <c:v>134.72999999999999</c:v>
                </c:pt>
                <c:pt idx="42">
                  <c:v>134.38999999999999</c:v>
                </c:pt>
                <c:pt idx="43">
                  <c:v>134.51</c:v>
                </c:pt>
                <c:pt idx="44">
                  <c:v>134.46</c:v>
                </c:pt>
                <c:pt idx="45">
                  <c:v>134.27000000000001</c:v>
                </c:pt>
                <c:pt idx="46">
                  <c:v>133.72999999999999</c:v>
                </c:pt>
                <c:pt idx="47">
                  <c:v>132.01</c:v>
                </c:pt>
                <c:pt idx="48">
                  <c:v>130.59</c:v>
                </c:pt>
                <c:pt idx="49">
                  <c:v>130.28</c:v>
                </c:pt>
                <c:pt idx="50">
                  <c:v>129.16</c:v>
                </c:pt>
                <c:pt idx="51">
                  <c:v>128.94</c:v>
                </c:pt>
                <c:pt idx="52">
                  <c:v>129.30000000000001</c:v>
                </c:pt>
                <c:pt idx="53">
                  <c:v>131.22</c:v>
                </c:pt>
                <c:pt idx="54">
                  <c:v>132.52000000000001</c:v>
                </c:pt>
                <c:pt idx="55">
                  <c:v>134.25</c:v>
                </c:pt>
              </c:numCache>
            </c:numRef>
          </c:xVal>
          <c:yVal>
            <c:numRef>
              <c:f>'АД Y от t-2'!$B$26:$B$81</c:f>
              <c:numCache>
                <c:formatCode>General</c:formatCode>
                <c:ptCount val="56"/>
                <c:pt idx="0">
                  <c:v>102.69881259931404</c:v>
                </c:pt>
                <c:pt idx="1">
                  <c:v>102.69905017662468</c:v>
                </c:pt>
                <c:pt idx="2">
                  <c:v>102.56051100579852</c:v>
                </c:pt>
                <c:pt idx="3">
                  <c:v>103.52147025037256</c:v>
                </c:pt>
                <c:pt idx="4">
                  <c:v>106.35044516897011</c:v>
                </c:pt>
                <c:pt idx="5">
                  <c:v>110.65603751760273</c:v>
                </c:pt>
                <c:pt idx="6">
                  <c:v>115.89973250755686</c:v>
                </c:pt>
                <c:pt idx="7">
                  <c:v>118.24888388485203</c:v>
                </c:pt>
                <c:pt idx="8">
                  <c:v>118.95128220080846</c:v>
                </c:pt>
                <c:pt idx="9">
                  <c:v>118.18706592449239</c:v>
                </c:pt>
                <c:pt idx="10">
                  <c:v>117.19927406101144</c:v>
                </c:pt>
                <c:pt idx="11">
                  <c:v>115.00940485271511</c:v>
                </c:pt>
                <c:pt idx="12">
                  <c:v>111.59840293332111</c:v>
                </c:pt>
                <c:pt idx="13">
                  <c:v>110.15051874067812</c:v>
                </c:pt>
                <c:pt idx="14">
                  <c:v>108.8286326246662</c:v>
                </c:pt>
                <c:pt idx="15">
                  <c:v>109.6950277697603</c:v>
                </c:pt>
                <c:pt idx="16">
                  <c:v>108.75931319690305</c:v>
                </c:pt>
                <c:pt idx="17">
                  <c:v>108.61878601824958</c:v>
                </c:pt>
                <c:pt idx="18">
                  <c:v>108.68809315065481</c:v>
                </c:pt>
                <c:pt idx="19">
                  <c:v>108.48937446992755</c:v>
                </c:pt>
                <c:pt idx="20">
                  <c:v>107.92862842055141</c:v>
                </c:pt>
                <c:pt idx="21">
                  <c:v>107.65543870521132</c:v>
                </c:pt>
                <c:pt idx="22">
                  <c:v>107.13581679945385</c:v>
                </c:pt>
                <c:pt idx="23">
                  <c:v>106.74203048700102</c:v>
                </c:pt>
                <c:pt idx="24">
                  <c:v>107.01370734913513</c:v>
                </c:pt>
                <c:pt idx="25">
                  <c:v>106.90287601247418</c:v>
                </c:pt>
                <c:pt idx="26">
                  <c:v>107.95513607280553</c:v>
                </c:pt>
                <c:pt idx="27">
                  <c:v>115.23863311390343</c:v>
                </c:pt>
                <c:pt idx="28">
                  <c:v>122.8206642267583</c:v>
                </c:pt>
                <c:pt idx="29">
                  <c:v>126.8019644693855</c:v>
                </c:pt>
                <c:pt idx="30">
                  <c:v>132.69255471762347</c:v>
                </c:pt>
                <c:pt idx="31">
                  <c:v>136.56262356295269</c:v>
                </c:pt>
                <c:pt idx="32">
                  <c:v>136.41545651495949</c:v>
                </c:pt>
                <c:pt idx="33">
                  <c:v>136.13045073271405</c:v>
                </c:pt>
                <c:pt idx="34">
                  <c:v>136.28209354169883</c:v>
                </c:pt>
                <c:pt idx="35">
                  <c:v>143.11726381727181</c:v>
                </c:pt>
                <c:pt idx="36">
                  <c:v>139.73050575708359</c:v>
                </c:pt>
                <c:pt idx="37">
                  <c:v>138.00325483902407</c:v>
                </c:pt>
                <c:pt idx="38">
                  <c:v>135.94199705777578</c:v>
                </c:pt>
                <c:pt idx="39">
                  <c:v>134.77429200718132</c:v>
                </c:pt>
                <c:pt idx="40">
                  <c:v>134.28792960307578</c:v>
                </c:pt>
                <c:pt idx="41">
                  <c:v>134.14470168466323</c:v>
                </c:pt>
                <c:pt idx="42">
                  <c:v>133.9353425282259</c:v>
                </c:pt>
                <c:pt idx="43">
                  <c:v>134.42868206368195</c:v>
                </c:pt>
                <c:pt idx="44">
                  <c:v>134.24084143597543</c:v>
                </c:pt>
                <c:pt idx="45">
                  <c:v>133.94081910172838</c:v>
                </c:pt>
                <c:pt idx="46">
                  <c:v>133.12728907317404</c:v>
                </c:pt>
                <c:pt idx="47">
                  <c:v>130.48274131059193</c:v>
                </c:pt>
                <c:pt idx="48">
                  <c:v>129.34139372428319</c:v>
                </c:pt>
                <c:pt idx="49">
                  <c:v>129.94635242231629</c:v>
                </c:pt>
                <c:pt idx="50">
                  <c:v>128.19028087752255</c:v>
                </c:pt>
                <c:pt idx="51">
                  <c:v>128.71140334112806</c:v>
                </c:pt>
                <c:pt idx="52">
                  <c:v>129.53723688656697</c:v>
                </c:pt>
                <c:pt idx="53">
                  <c:v>132.68782776212669</c:v>
                </c:pt>
                <c:pt idx="54">
                  <c:v>133.45031819864204</c:v>
                </c:pt>
                <c:pt idx="55">
                  <c:v>135.49133272705484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7D1-4E81-A8E3-052D18F3A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13216"/>
        <c:axId val="542321376"/>
      </c:scatterChart>
      <c:valAx>
        <c:axId val="54231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21376"/>
        <c:crosses val="autoZero"/>
        <c:crossBetween val="midCat"/>
      </c:valAx>
      <c:valAx>
        <c:axId val="542321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13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-US"/>
              <a:t>X 2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t-2'!$D$6:$D$61</c:f>
              <c:numCache>
                <c:formatCode>0.00</c:formatCode>
                <c:ptCount val="56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</c:numCache>
            </c:numRef>
          </c:xVal>
          <c:yVal>
            <c:numRef>
              <c:f>'Y от t-2'!$B$6:$B$61</c:f>
              <c:numCache>
                <c:formatCode>0.00</c:formatCode>
                <c:ptCount val="56"/>
                <c:pt idx="0">
                  <c:v>102.16</c:v>
                </c:pt>
                <c:pt idx="1">
                  <c:v>102.06</c:v>
                </c:pt>
                <c:pt idx="2">
                  <c:v>102.55</c:v>
                </c:pt>
                <c:pt idx="3">
                  <c:v>104.35</c:v>
                </c:pt>
                <c:pt idx="4">
                  <c:v>107.57</c:v>
                </c:pt>
                <c:pt idx="5">
                  <c:v>111.96</c:v>
                </c:pt>
                <c:pt idx="6">
                  <c:v>115.27</c:v>
                </c:pt>
                <c:pt idx="7">
                  <c:v>117.17</c:v>
                </c:pt>
                <c:pt idx="8">
                  <c:v>117.61</c:v>
                </c:pt>
                <c:pt idx="9">
                  <c:v>117.26</c:v>
                </c:pt>
                <c:pt idx="10">
                  <c:v>115.88</c:v>
                </c:pt>
                <c:pt idx="11">
                  <c:v>113.35</c:v>
                </c:pt>
                <c:pt idx="12">
                  <c:v>111.39</c:v>
                </c:pt>
                <c:pt idx="13">
                  <c:v>109.76</c:v>
                </c:pt>
                <c:pt idx="14">
                  <c:v>109.5</c:v>
                </c:pt>
                <c:pt idx="15">
                  <c:v>108.86</c:v>
                </c:pt>
                <c:pt idx="16">
                  <c:v>108.49</c:v>
                </c:pt>
                <c:pt idx="17">
                  <c:v>108.36</c:v>
                </c:pt>
                <c:pt idx="18">
                  <c:v>108.19</c:v>
                </c:pt>
                <c:pt idx="19">
                  <c:v>107.8</c:v>
                </c:pt>
                <c:pt idx="20">
                  <c:v>107.47</c:v>
                </c:pt>
                <c:pt idx="21">
                  <c:v>107.03</c:v>
                </c:pt>
                <c:pt idx="22">
                  <c:v>106.61</c:v>
                </c:pt>
                <c:pt idx="23">
                  <c:v>106.57</c:v>
                </c:pt>
                <c:pt idx="24">
                  <c:v>106.49</c:v>
                </c:pt>
                <c:pt idx="25">
                  <c:v>107.04</c:v>
                </c:pt>
                <c:pt idx="26">
                  <c:v>111.35</c:v>
                </c:pt>
                <c:pt idx="27">
                  <c:v>117.54</c:v>
                </c:pt>
                <c:pt idx="28">
                  <c:v>122.58</c:v>
                </c:pt>
                <c:pt idx="29">
                  <c:v>128.16</c:v>
                </c:pt>
                <c:pt idx="30">
                  <c:v>132.86000000000001</c:v>
                </c:pt>
                <c:pt idx="31">
                  <c:v>134.91999999999999</c:v>
                </c:pt>
                <c:pt idx="32">
                  <c:v>135.69999999999999</c:v>
                </c:pt>
                <c:pt idx="33">
                  <c:v>136.13999999999999</c:v>
                </c:pt>
                <c:pt idx="34">
                  <c:v>140.15</c:v>
                </c:pt>
                <c:pt idx="35">
                  <c:v>140.09</c:v>
                </c:pt>
                <c:pt idx="36">
                  <c:v>139.1</c:v>
                </c:pt>
                <c:pt idx="37">
                  <c:v>137.5</c:v>
                </c:pt>
                <c:pt idx="38">
                  <c:v>136.12</c:v>
                </c:pt>
                <c:pt idx="39">
                  <c:v>135.22</c:v>
                </c:pt>
                <c:pt idx="40">
                  <c:v>134.72999999999999</c:v>
                </c:pt>
                <c:pt idx="41">
                  <c:v>134.38999999999999</c:v>
                </c:pt>
                <c:pt idx="42">
                  <c:v>134.51</c:v>
                </c:pt>
                <c:pt idx="43">
                  <c:v>134.46</c:v>
                </c:pt>
                <c:pt idx="44">
                  <c:v>134.27000000000001</c:v>
                </c:pt>
                <c:pt idx="45">
                  <c:v>133.72999999999999</c:v>
                </c:pt>
                <c:pt idx="46">
                  <c:v>132.01</c:v>
                </c:pt>
                <c:pt idx="47">
                  <c:v>130.59</c:v>
                </c:pt>
                <c:pt idx="48">
                  <c:v>130.28</c:v>
                </c:pt>
                <c:pt idx="49">
                  <c:v>129.16</c:v>
                </c:pt>
                <c:pt idx="50">
                  <c:v>128.94</c:v>
                </c:pt>
                <c:pt idx="51">
                  <c:v>129.30000000000001</c:v>
                </c:pt>
                <c:pt idx="52">
                  <c:v>131.22</c:v>
                </c:pt>
                <c:pt idx="53">
                  <c:v>132.52000000000001</c:v>
                </c:pt>
                <c:pt idx="54">
                  <c:v>134.25</c:v>
                </c:pt>
                <c:pt idx="55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05B-438C-A020-230D50CCB434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t-2'!$D$6:$D$61</c:f>
              <c:numCache>
                <c:formatCode>0.00</c:formatCode>
                <c:ptCount val="56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</c:numCache>
            </c:numRef>
          </c:xVal>
          <c:yVal>
            <c:numRef>
              <c:f>'АД Y от t-2'!$B$26:$B$81</c:f>
              <c:numCache>
                <c:formatCode>General</c:formatCode>
                <c:ptCount val="56"/>
                <c:pt idx="0">
                  <c:v>102.69881259931404</c:v>
                </c:pt>
                <c:pt idx="1">
                  <c:v>102.69905017662468</c:v>
                </c:pt>
                <c:pt idx="2">
                  <c:v>102.56051100579852</c:v>
                </c:pt>
                <c:pt idx="3">
                  <c:v>103.52147025037256</c:v>
                </c:pt>
                <c:pt idx="4">
                  <c:v>106.35044516897011</c:v>
                </c:pt>
                <c:pt idx="5">
                  <c:v>110.65603751760273</c:v>
                </c:pt>
                <c:pt idx="6">
                  <c:v>115.89973250755686</c:v>
                </c:pt>
                <c:pt idx="7">
                  <c:v>118.24888388485203</c:v>
                </c:pt>
                <c:pt idx="8">
                  <c:v>118.95128220080846</c:v>
                </c:pt>
                <c:pt idx="9">
                  <c:v>118.18706592449239</c:v>
                </c:pt>
                <c:pt idx="10">
                  <c:v>117.19927406101144</c:v>
                </c:pt>
                <c:pt idx="11">
                  <c:v>115.00940485271511</c:v>
                </c:pt>
                <c:pt idx="12">
                  <c:v>111.59840293332111</c:v>
                </c:pt>
                <c:pt idx="13">
                  <c:v>110.15051874067812</c:v>
                </c:pt>
                <c:pt idx="14">
                  <c:v>108.8286326246662</c:v>
                </c:pt>
                <c:pt idx="15">
                  <c:v>109.6950277697603</c:v>
                </c:pt>
                <c:pt idx="16">
                  <c:v>108.75931319690305</c:v>
                </c:pt>
                <c:pt idx="17">
                  <c:v>108.61878601824958</c:v>
                </c:pt>
                <c:pt idx="18">
                  <c:v>108.68809315065481</c:v>
                </c:pt>
                <c:pt idx="19">
                  <c:v>108.48937446992755</c:v>
                </c:pt>
                <c:pt idx="20">
                  <c:v>107.92862842055141</c:v>
                </c:pt>
                <c:pt idx="21">
                  <c:v>107.65543870521132</c:v>
                </c:pt>
                <c:pt idx="22">
                  <c:v>107.13581679945385</c:v>
                </c:pt>
                <c:pt idx="23">
                  <c:v>106.74203048700102</c:v>
                </c:pt>
                <c:pt idx="24">
                  <c:v>107.01370734913513</c:v>
                </c:pt>
                <c:pt idx="25">
                  <c:v>106.90287601247418</c:v>
                </c:pt>
                <c:pt idx="26">
                  <c:v>107.95513607280553</c:v>
                </c:pt>
                <c:pt idx="27">
                  <c:v>115.23863311390343</c:v>
                </c:pt>
                <c:pt idx="28">
                  <c:v>122.8206642267583</c:v>
                </c:pt>
                <c:pt idx="29">
                  <c:v>126.8019644693855</c:v>
                </c:pt>
                <c:pt idx="30">
                  <c:v>132.69255471762347</c:v>
                </c:pt>
                <c:pt idx="31">
                  <c:v>136.56262356295269</c:v>
                </c:pt>
                <c:pt idx="32">
                  <c:v>136.41545651495949</c:v>
                </c:pt>
                <c:pt idx="33">
                  <c:v>136.13045073271405</c:v>
                </c:pt>
                <c:pt idx="34">
                  <c:v>136.28209354169883</c:v>
                </c:pt>
                <c:pt idx="35">
                  <c:v>143.11726381727181</c:v>
                </c:pt>
                <c:pt idx="36">
                  <c:v>139.73050575708359</c:v>
                </c:pt>
                <c:pt idx="37">
                  <c:v>138.00325483902407</c:v>
                </c:pt>
                <c:pt idx="38">
                  <c:v>135.94199705777578</c:v>
                </c:pt>
                <c:pt idx="39">
                  <c:v>134.77429200718132</c:v>
                </c:pt>
                <c:pt idx="40">
                  <c:v>134.28792960307578</c:v>
                </c:pt>
                <c:pt idx="41">
                  <c:v>134.14470168466323</c:v>
                </c:pt>
                <c:pt idx="42">
                  <c:v>133.9353425282259</c:v>
                </c:pt>
                <c:pt idx="43">
                  <c:v>134.42868206368195</c:v>
                </c:pt>
                <c:pt idx="44">
                  <c:v>134.24084143597543</c:v>
                </c:pt>
                <c:pt idx="45">
                  <c:v>133.94081910172838</c:v>
                </c:pt>
                <c:pt idx="46">
                  <c:v>133.12728907317404</c:v>
                </c:pt>
                <c:pt idx="47">
                  <c:v>130.48274131059193</c:v>
                </c:pt>
                <c:pt idx="48">
                  <c:v>129.34139372428319</c:v>
                </c:pt>
                <c:pt idx="49">
                  <c:v>129.94635242231629</c:v>
                </c:pt>
                <c:pt idx="50">
                  <c:v>128.19028087752255</c:v>
                </c:pt>
                <c:pt idx="51">
                  <c:v>128.71140334112806</c:v>
                </c:pt>
                <c:pt idx="52">
                  <c:v>129.53723688656697</c:v>
                </c:pt>
                <c:pt idx="53">
                  <c:v>132.68782776212669</c:v>
                </c:pt>
                <c:pt idx="54">
                  <c:v>133.45031819864204</c:v>
                </c:pt>
                <c:pt idx="55">
                  <c:v>135.49133272705484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05B-438C-A020-230D50CCB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03424"/>
        <c:axId val="542324640"/>
      </c:scatterChart>
      <c:valAx>
        <c:axId val="54230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-US"/>
                  <a:t>X 2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24640"/>
        <c:crosses val="autoZero"/>
        <c:crossBetween val="midCat"/>
      </c:valAx>
      <c:valAx>
        <c:axId val="542324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03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Y от t-2'!$F$26:$F$81</c:f>
              <c:numCache>
                <c:formatCode>General</c:formatCode>
                <c:ptCount val="56"/>
                <c:pt idx="0">
                  <c:v>0.8928571428571429</c:v>
                </c:pt>
                <c:pt idx="1">
                  <c:v>2.6785714285714288</c:v>
                </c:pt>
                <c:pt idx="2">
                  <c:v>4.4642857142857144</c:v>
                </c:pt>
                <c:pt idx="3">
                  <c:v>6.2500000000000009</c:v>
                </c:pt>
                <c:pt idx="4">
                  <c:v>8.0357142857142865</c:v>
                </c:pt>
                <c:pt idx="5">
                  <c:v>9.8214285714285712</c:v>
                </c:pt>
                <c:pt idx="6">
                  <c:v>11.607142857142858</c:v>
                </c:pt>
                <c:pt idx="7">
                  <c:v>13.392857142857142</c:v>
                </c:pt>
                <c:pt idx="8">
                  <c:v>15.178571428571429</c:v>
                </c:pt>
                <c:pt idx="9">
                  <c:v>16.964285714285715</c:v>
                </c:pt>
                <c:pt idx="10">
                  <c:v>18.75</c:v>
                </c:pt>
                <c:pt idx="11">
                  <c:v>20.535714285714285</c:v>
                </c:pt>
                <c:pt idx="12">
                  <c:v>22.321428571428573</c:v>
                </c:pt>
                <c:pt idx="13">
                  <c:v>24.107142857142858</c:v>
                </c:pt>
                <c:pt idx="14">
                  <c:v>25.892857142857142</c:v>
                </c:pt>
                <c:pt idx="15">
                  <c:v>27.678571428571431</c:v>
                </c:pt>
                <c:pt idx="16">
                  <c:v>29.464285714285715</c:v>
                </c:pt>
                <c:pt idx="17">
                  <c:v>31.25</c:v>
                </c:pt>
                <c:pt idx="18">
                  <c:v>33.035714285714292</c:v>
                </c:pt>
                <c:pt idx="19">
                  <c:v>34.821428571428577</c:v>
                </c:pt>
                <c:pt idx="20">
                  <c:v>36.607142857142861</c:v>
                </c:pt>
                <c:pt idx="21">
                  <c:v>38.392857142857146</c:v>
                </c:pt>
                <c:pt idx="22">
                  <c:v>40.178571428571431</c:v>
                </c:pt>
                <c:pt idx="23">
                  <c:v>41.964285714285722</c:v>
                </c:pt>
                <c:pt idx="24">
                  <c:v>43.750000000000007</c:v>
                </c:pt>
                <c:pt idx="25">
                  <c:v>45.535714285714292</c:v>
                </c:pt>
                <c:pt idx="26">
                  <c:v>47.321428571428577</c:v>
                </c:pt>
                <c:pt idx="27">
                  <c:v>49.107142857142861</c:v>
                </c:pt>
                <c:pt idx="28">
                  <c:v>50.892857142857146</c:v>
                </c:pt>
                <c:pt idx="29">
                  <c:v>52.678571428571438</c:v>
                </c:pt>
                <c:pt idx="30">
                  <c:v>54.464285714285722</c:v>
                </c:pt>
                <c:pt idx="31">
                  <c:v>56.250000000000007</c:v>
                </c:pt>
                <c:pt idx="32">
                  <c:v>58.035714285714292</c:v>
                </c:pt>
                <c:pt idx="33">
                  <c:v>59.821428571428577</c:v>
                </c:pt>
                <c:pt idx="34">
                  <c:v>61.607142857142861</c:v>
                </c:pt>
                <c:pt idx="35">
                  <c:v>63.392857142857146</c:v>
                </c:pt>
                <c:pt idx="36">
                  <c:v>65.178571428571431</c:v>
                </c:pt>
                <c:pt idx="37">
                  <c:v>66.964285714285708</c:v>
                </c:pt>
                <c:pt idx="38">
                  <c:v>68.75</c:v>
                </c:pt>
                <c:pt idx="39">
                  <c:v>70.535714285714292</c:v>
                </c:pt>
                <c:pt idx="40">
                  <c:v>72.321428571428569</c:v>
                </c:pt>
                <c:pt idx="41">
                  <c:v>74.107142857142861</c:v>
                </c:pt>
                <c:pt idx="42">
                  <c:v>75.892857142857139</c:v>
                </c:pt>
                <c:pt idx="43">
                  <c:v>77.678571428571431</c:v>
                </c:pt>
                <c:pt idx="44">
                  <c:v>79.464285714285708</c:v>
                </c:pt>
                <c:pt idx="45">
                  <c:v>81.25</c:v>
                </c:pt>
                <c:pt idx="46">
                  <c:v>83.035714285714292</c:v>
                </c:pt>
                <c:pt idx="47">
                  <c:v>84.821428571428569</c:v>
                </c:pt>
                <c:pt idx="48">
                  <c:v>86.607142857142861</c:v>
                </c:pt>
                <c:pt idx="49">
                  <c:v>88.392857142857139</c:v>
                </c:pt>
                <c:pt idx="50">
                  <c:v>90.178571428571431</c:v>
                </c:pt>
                <c:pt idx="51">
                  <c:v>91.964285714285708</c:v>
                </c:pt>
                <c:pt idx="52">
                  <c:v>93.75</c:v>
                </c:pt>
                <c:pt idx="53">
                  <c:v>95.535714285714292</c:v>
                </c:pt>
                <c:pt idx="54">
                  <c:v>97.321428571428569</c:v>
                </c:pt>
                <c:pt idx="55">
                  <c:v>99.107142857142861</c:v>
                </c:pt>
              </c:numCache>
            </c:numRef>
          </c:xVal>
          <c:yVal>
            <c:numRef>
              <c:f>'АД Y от t-2'!$G$26:$G$81</c:f>
              <c:numCache>
                <c:formatCode>General</c:formatCode>
                <c:ptCount val="56"/>
                <c:pt idx="0">
                  <c:v>102.06</c:v>
                </c:pt>
                <c:pt idx="1">
                  <c:v>102.16</c:v>
                </c:pt>
                <c:pt idx="2">
                  <c:v>102.55</c:v>
                </c:pt>
                <c:pt idx="3">
                  <c:v>104.35</c:v>
                </c:pt>
                <c:pt idx="4">
                  <c:v>106.49</c:v>
                </c:pt>
                <c:pt idx="5">
                  <c:v>106.57</c:v>
                </c:pt>
                <c:pt idx="6">
                  <c:v>106.61</c:v>
                </c:pt>
                <c:pt idx="7">
                  <c:v>107.03</c:v>
                </c:pt>
                <c:pt idx="8">
                  <c:v>107.04</c:v>
                </c:pt>
                <c:pt idx="9">
                  <c:v>107.47</c:v>
                </c:pt>
                <c:pt idx="10">
                  <c:v>107.57</c:v>
                </c:pt>
                <c:pt idx="11">
                  <c:v>107.8</c:v>
                </c:pt>
                <c:pt idx="12">
                  <c:v>108.19</c:v>
                </c:pt>
                <c:pt idx="13">
                  <c:v>108.36</c:v>
                </c:pt>
                <c:pt idx="14">
                  <c:v>108.49</c:v>
                </c:pt>
                <c:pt idx="15">
                  <c:v>108.86</c:v>
                </c:pt>
                <c:pt idx="16">
                  <c:v>109.5</c:v>
                </c:pt>
                <c:pt idx="17">
                  <c:v>109.76</c:v>
                </c:pt>
                <c:pt idx="18">
                  <c:v>111.35</c:v>
                </c:pt>
                <c:pt idx="19">
                  <c:v>111.39</c:v>
                </c:pt>
                <c:pt idx="20">
                  <c:v>111.96</c:v>
                </c:pt>
                <c:pt idx="21">
                  <c:v>113.35</c:v>
                </c:pt>
                <c:pt idx="22">
                  <c:v>115.27</c:v>
                </c:pt>
                <c:pt idx="23">
                  <c:v>115.88</c:v>
                </c:pt>
                <c:pt idx="24">
                  <c:v>117.17</c:v>
                </c:pt>
                <c:pt idx="25">
                  <c:v>117.26</c:v>
                </c:pt>
                <c:pt idx="26">
                  <c:v>117.54</c:v>
                </c:pt>
                <c:pt idx="27">
                  <c:v>117.61</c:v>
                </c:pt>
                <c:pt idx="28">
                  <c:v>122.58</c:v>
                </c:pt>
                <c:pt idx="29">
                  <c:v>128.16</c:v>
                </c:pt>
                <c:pt idx="30">
                  <c:v>128.94</c:v>
                </c:pt>
                <c:pt idx="31">
                  <c:v>129.16</c:v>
                </c:pt>
                <c:pt idx="32">
                  <c:v>129.30000000000001</c:v>
                </c:pt>
                <c:pt idx="33">
                  <c:v>130.28</c:v>
                </c:pt>
                <c:pt idx="34">
                  <c:v>130.59</c:v>
                </c:pt>
                <c:pt idx="35">
                  <c:v>131.22</c:v>
                </c:pt>
                <c:pt idx="36">
                  <c:v>132.01</c:v>
                </c:pt>
                <c:pt idx="37">
                  <c:v>132.52000000000001</c:v>
                </c:pt>
                <c:pt idx="38">
                  <c:v>132.86000000000001</c:v>
                </c:pt>
                <c:pt idx="39">
                  <c:v>133.72999999999999</c:v>
                </c:pt>
                <c:pt idx="40">
                  <c:v>134.25</c:v>
                </c:pt>
                <c:pt idx="41">
                  <c:v>134.27000000000001</c:v>
                </c:pt>
                <c:pt idx="42">
                  <c:v>134.38999999999999</c:v>
                </c:pt>
                <c:pt idx="43">
                  <c:v>134.46</c:v>
                </c:pt>
                <c:pt idx="44">
                  <c:v>134.51</c:v>
                </c:pt>
                <c:pt idx="45">
                  <c:v>134.72999999999999</c:v>
                </c:pt>
                <c:pt idx="46">
                  <c:v>134.91999999999999</c:v>
                </c:pt>
                <c:pt idx="47">
                  <c:v>135.22</c:v>
                </c:pt>
                <c:pt idx="48">
                  <c:v>135.69999999999999</c:v>
                </c:pt>
                <c:pt idx="49">
                  <c:v>136.06</c:v>
                </c:pt>
                <c:pt idx="50">
                  <c:v>136.12</c:v>
                </c:pt>
                <c:pt idx="51">
                  <c:v>136.13999999999999</c:v>
                </c:pt>
                <c:pt idx="52">
                  <c:v>137.5</c:v>
                </c:pt>
                <c:pt idx="53">
                  <c:v>139.1</c:v>
                </c:pt>
                <c:pt idx="54">
                  <c:v>140.09</c:v>
                </c:pt>
                <c:pt idx="55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633-4428-8168-26418F66C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02336"/>
        <c:axId val="542315936"/>
      </c:scatterChart>
      <c:valAx>
        <c:axId val="54230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15936"/>
        <c:crosses val="autoZero"/>
        <c:crossBetween val="midCat"/>
      </c:valAx>
      <c:valAx>
        <c:axId val="542315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02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Х5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Х6'!$C$3:$C$60</c:f>
              <c:numCache>
                <c:formatCode>0.00</c:formatCode>
                <c:ptCount val="58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</c:numCache>
            </c:numRef>
          </c:xVal>
          <c:yVal>
            <c:numRef>
              <c:f>'АД Y от Х6'!$C$25:$C$82</c:f>
              <c:numCache>
                <c:formatCode>General</c:formatCode>
                <c:ptCount val="58"/>
                <c:pt idx="0">
                  <c:v>6.6004178395545097</c:v>
                </c:pt>
                <c:pt idx="1">
                  <c:v>6.6538811668623765</c:v>
                </c:pt>
                <c:pt idx="2">
                  <c:v>2.3538346568579271</c:v>
                </c:pt>
                <c:pt idx="3">
                  <c:v>1.2161978835123648</c:v>
                </c:pt>
                <c:pt idx="4">
                  <c:v>0.64013270541758516</c:v>
                </c:pt>
                <c:pt idx="5">
                  <c:v>-2.1048585038597594</c:v>
                </c:pt>
                <c:pt idx="6">
                  <c:v>-0.7646867679002014</c:v>
                </c:pt>
                <c:pt idx="7">
                  <c:v>3.9842218420583748</c:v>
                </c:pt>
                <c:pt idx="8">
                  <c:v>8.218144996407176</c:v>
                </c:pt>
                <c:pt idx="9">
                  <c:v>10.089716591657989</c:v>
                </c:pt>
                <c:pt idx="10">
                  <c:v>7.2995391020308489</c:v>
                </c:pt>
                <c:pt idx="11">
                  <c:v>5.7662067543456743</c:v>
                </c:pt>
                <c:pt idx="12">
                  <c:v>1.3372603449946325</c:v>
                </c:pt>
                <c:pt idx="13">
                  <c:v>-2.1379841129160582</c:v>
                </c:pt>
                <c:pt idx="14">
                  <c:v>-6.9088426324925791</c:v>
                </c:pt>
                <c:pt idx="15">
                  <c:v>-10.379581840002871</c:v>
                </c:pt>
                <c:pt idx="16">
                  <c:v>-9.8471400576191002</c:v>
                </c:pt>
                <c:pt idx="17">
                  <c:v>-12.128880431885037</c:v>
                </c:pt>
                <c:pt idx="18">
                  <c:v>-13.93806842231298</c:v>
                </c:pt>
                <c:pt idx="19">
                  <c:v>-13.716266913541702</c:v>
                </c:pt>
                <c:pt idx="20">
                  <c:v>-10.453537040076554</c:v>
                </c:pt>
                <c:pt idx="21">
                  <c:v>-12.87616797964391</c:v>
                </c:pt>
                <c:pt idx="22">
                  <c:v>-12.747759953063166</c:v>
                </c:pt>
                <c:pt idx="23">
                  <c:v>-14.680251202395823</c:v>
                </c:pt>
                <c:pt idx="24">
                  <c:v>-16.393743618484152</c:v>
                </c:pt>
                <c:pt idx="25">
                  <c:v>-16.973883308718825</c:v>
                </c:pt>
                <c:pt idx="26">
                  <c:v>-18.436214489648378</c:v>
                </c:pt>
                <c:pt idx="27">
                  <c:v>-18.291319257324375</c:v>
                </c:pt>
                <c:pt idx="28">
                  <c:v>-12.904593427448674</c:v>
                </c:pt>
                <c:pt idx="29">
                  <c:v>-8.3989764088383936</c:v>
                </c:pt>
                <c:pt idx="30">
                  <c:v>-3.0000677988798401</c:v>
                </c:pt>
                <c:pt idx="31">
                  <c:v>2.0433460614791272</c:v>
                </c:pt>
                <c:pt idx="32">
                  <c:v>6.1854386182762369</c:v>
                </c:pt>
                <c:pt idx="33">
                  <c:v>7.4210148805495919</c:v>
                </c:pt>
                <c:pt idx="34">
                  <c:v>9.5833460614791193</c:v>
                </c:pt>
                <c:pt idx="35">
                  <c:v>8.6872110382670229</c:v>
                </c:pt>
                <c:pt idx="36">
                  <c:v>13.422135359371481</c:v>
                </c:pt>
                <c:pt idx="37">
                  <c:v>12.214338517622792</c:v>
                </c:pt>
                <c:pt idx="38">
                  <c:v>10.513628398892934</c:v>
                </c:pt>
                <c:pt idx="39">
                  <c:v>8.6222372502136864</c:v>
                </c:pt>
                <c:pt idx="40">
                  <c:v>7.2386836996200543</c:v>
                </c:pt>
                <c:pt idx="41">
                  <c:v>8.6769199902412311</c:v>
                </c:pt>
                <c:pt idx="42">
                  <c:v>5.8024520063966634</c:v>
                </c:pt>
                <c:pt idx="43">
                  <c:v>4.4817075780554205</c:v>
                </c:pt>
                <c:pt idx="44">
                  <c:v>5.269775089661465</c:v>
                </c:pt>
                <c:pt idx="45">
                  <c:v>6.3071615713181473</c:v>
                </c:pt>
                <c:pt idx="46">
                  <c:v>7.7660090467713871</c:v>
                </c:pt>
                <c:pt idx="47">
                  <c:v>6.6716551541620959</c:v>
                </c:pt>
                <c:pt idx="48">
                  <c:v>3.981535842095866</c:v>
                </c:pt>
                <c:pt idx="49">
                  <c:v>2.2168414345119061</c:v>
                </c:pt>
                <c:pt idx="50">
                  <c:v>2.7561400263940499</c:v>
                </c:pt>
                <c:pt idx="51">
                  <c:v>2.6062593384602906</c:v>
                </c:pt>
                <c:pt idx="52">
                  <c:v>1.5547284995463713</c:v>
                </c:pt>
                <c:pt idx="53">
                  <c:v>0.73850325304849207</c:v>
                </c:pt>
                <c:pt idx="54">
                  <c:v>2.3848443218315367</c:v>
                </c:pt>
                <c:pt idx="55">
                  <c:v>3.1731685718520168</c:v>
                </c:pt>
                <c:pt idx="56">
                  <c:v>5.244309428842314</c:v>
                </c:pt>
                <c:pt idx="57">
                  <c:v>7.3598792443902425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19B-4D1D-8475-C6A39D751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91456"/>
        <c:axId val="542292544"/>
      </c:scatterChart>
      <c:valAx>
        <c:axId val="54229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Х5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292544"/>
        <c:crosses val="autoZero"/>
        <c:crossBetween val="midCat"/>
      </c:valAx>
      <c:valAx>
        <c:axId val="542292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91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Х5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Х6'!$C$3:$C$60</c:f>
              <c:numCache>
                <c:formatCode>0.00</c:formatCode>
                <c:ptCount val="58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</c:numCache>
            </c:numRef>
          </c:xVal>
          <c:yVal>
            <c:numRef>
              <c:f>'Y от Х6'!$B$3:$B$60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742-4998-97D9-78F7A1B11FA4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Х6'!$C$3:$C$60</c:f>
              <c:numCache>
                <c:formatCode>0.00</c:formatCode>
                <c:ptCount val="58"/>
                <c:pt idx="0">
                  <c:v>21675</c:v>
                </c:pt>
                <c:pt idx="1">
                  <c:v>21721</c:v>
                </c:pt>
                <c:pt idx="2">
                  <c:v>20525</c:v>
                </c:pt>
                <c:pt idx="3">
                  <c:v>20233</c:v>
                </c:pt>
                <c:pt idx="4">
                  <c:v>19933</c:v>
                </c:pt>
                <c:pt idx="5">
                  <c:v>18654</c:v>
                </c:pt>
                <c:pt idx="6">
                  <c:v>18125</c:v>
                </c:pt>
                <c:pt idx="7">
                  <c:v>18226</c:v>
                </c:pt>
                <c:pt idx="8">
                  <c:v>18486</c:v>
                </c:pt>
                <c:pt idx="9">
                  <c:v>18478</c:v>
                </c:pt>
                <c:pt idx="10">
                  <c:v>17569</c:v>
                </c:pt>
                <c:pt idx="11">
                  <c:v>17236</c:v>
                </c:pt>
                <c:pt idx="12">
                  <c:v>16378</c:v>
                </c:pt>
                <c:pt idx="13">
                  <c:v>16112</c:v>
                </c:pt>
                <c:pt idx="14">
                  <c:v>15321</c:v>
                </c:pt>
                <c:pt idx="15">
                  <c:v>14803</c:v>
                </c:pt>
                <c:pt idx="16">
                  <c:v>15026</c:v>
                </c:pt>
                <c:pt idx="17">
                  <c:v>14564</c:v>
                </c:pt>
                <c:pt idx="18">
                  <c:v>14159</c:v>
                </c:pt>
                <c:pt idx="19">
                  <c:v>14258</c:v>
                </c:pt>
                <c:pt idx="20">
                  <c:v>15224</c:v>
                </c:pt>
                <c:pt idx="21">
                  <c:v>14652</c:v>
                </c:pt>
                <c:pt idx="22">
                  <c:v>14781</c:v>
                </c:pt>
                <c:pt idx="23">
                  <c:v>14361</c:v>
                </c:pt>
                <c:pt idx="24">
                  <c:v>13997</c:v>
                </c:pt>
                <c:pt idx="25">
                  <c:v>13845</c:v>
                </c:pt>
                <c:pt idx="26">
                  <c:v>13456</c:v>
                </c:pt>
                <c:pt idx="27">
                  <c:v>13342</c:v>
                </c:pt>
                <c:pt idx="28">
                  <c:v>13645</c:v>
                </c:pt>
                <c:pt idx="29">
                  <c:v>13171</c:v>
                </c:pt>
                <c:pt idx="30">
                  <c:v>13272</c:v>
                </c:pt>
                <c:pt idx="31">
                  <c:v>13121</c:v>
                </c:pt>
                <c:pt idx="32">
                  <c:v>12964</c:v>
                </c:pt>
                <c:pt idx="33">
                  <c:v>12732</c:v>
                </c:pt>
                <c:pt idx="34">
                  <c:v>13121</c:v>
                </c:pt>
                <c:pt idx="35">
                  <c:v>12745</c:v>
                </c:pt>
                <c:pt idx="36">
                  <c:v>12949</c:v>
                </c:pt>
                <c:pt idx="37">
                  <c:v>12626</c:v>
                </c:pt>
                <c:pt idx="38">
                  <c:v>12426</c:v>
                </c:pt>
                <c:pt idx="39">
                  <c:v>12344</c:v>
                </c:pt>
                <c:pt idx="40">
                  <c:v>12343</c:v>
                </c:pt>
                <c:pt idx="41">
                  <c:v>13001</c:v>
                </c:pt>
                <c:pt idx="42">
                  <c:v>12329.99</c:v>
                </c:pt>
                <c:pt idx="43">
                  <c:v>12054</c:v>
                </c:pt>
                <c:pt idx="44">
                  <c:v>12242</c:v>
                </c:pt>
                <c:pt idx="45">
                  <c:v>12548</c:v>
                </c:pt>
                <c:pt idx="46">
                  <c:v>13012</c:v>
                </c:pt>
                <c:pt idx="47">
                  <c:v>12856</c:v>
                </c:pt>
                <c:pt idx="48">
                  <c:v>12583</c:v>
                </c:pt>
                <c:pt idx="49">
                  <c:v>12486</c:v>
                </c:pt>
                <c:pt idx="50">
                  <c:v>12725</c:v>
                </c:pt>
                <c:pt idx="51">
                  <c:v>12998</c:v>
                </c:pt>
                <c:pt idx="52">
                  <c:v>12764</c:v>
                </c:pt>
                <c:pt idx="53">
                  <c:v>12433</c:v>
                </c:pt>
                <c:pt idx="54">
                  <c:v>12355.99</c:v>
                </c:pt>
                <c:pt idx="55">
                  <c:v>12212</c:v>
                </c:pt>
                <c:pt idx="56">
                  <c:v>12308</c:v>
                </c:pt>
                <c:pt idx="57">
                  <c:v>12393.99</c:v>
                </c:pt>
              </c:numCache>
            </c:numRef>
          </c:xVal>
          <c:yVal>
            <c:numRef>
              <c:f>'АД Y от Х6'!$B$25:$B$82</c:f>
              <c:numCache>
                <c:formatCode>General</c:formatCode>
                <c:ptCount val="58"/>
                <c:pt idx="0">
                  <c:v>95.719582160445484</c:v>
                </c:pt>
                <c:pt idx="1">
                  <c:v>95.556118833137617</c:v>
                </c:pt>
                <c:pt idx="2">
                  <c:v>99.806165343142069</c:v>
                </c:pt>
                <c:pt idx="3">
                  <c:v>100.84380211648764</c:v>
                </c:pt>
                <c:pt idx="4">
                  <c:v>101.90986729458241</c:v>
                </c:pt>
                <c:pt idx="5">
                  <c:v>106.45485850385975</c:v>
                </c:pt>
                <c:pt idx="6">
                  <c:v>108.33468676790019</c:v>
                </c:pt>
                <c:pt idx="7">
                  <c:v>107.97577815794162</c:v>
                </c:pt>
                <c:pt idx="8">
                  <c:v>107.05185500359282</c:v>
                </c:pt>
                <c:pt idx="9">
                  <c:v>107.08028340834201</c:v>
                </c:pt>
                <c:pt idx="10">
                  <c:v>110.31046089796915</c:v>
                </c:pt>
                <c:pt idx="11">
                  <c:v>111.49379324565433</c:v>
                </c:pt>
                <c:pt idx="12">
                  <c:v>114.54273965500536</c:v>
                </c:pt>
                <c:pt idx="13">
                  <c:v>115.48798411291605</c:v>
                </c:pt>
                <c:pt idx="14">
                  <c:v>118.29884263249258</c:v>
                </c:pt>
                <c:pt idx="15">
                  <c:v>120.13958184000288</c:v>
                </c:pt>
                <c:pt idx="16">
                  <c:v>119.3471400576191</c:v>
                </c:pt>
                <c:pt idx="17">
                  <c:v>120.98888043188504</c:v>
                </c:pt>
                <c:pt idx="18">
                  <c:v>122.42806842231298</c:v>
                </c:pt>
                <c:pt idx="19">
                  <c:v>122.0762669135417</c:v>
                </c:pt>
                <c:pt idx="20">
                  <c:v>118.64353704007655</c:v>
                </c:pt>
                <c:pt idx="21">
                  <c:v>120.67616797964391</c:v>
                </c:pt>
                <c:pt idx="22">
                  <c:v>120.21775995306317</c:v>
                </c:pt>
                <c:pt idx="23">
                  <c:v>121.71025120239582</c:v>
                </c:pt>
                <c:pt idx="24">
                  <c:v>123.00374361848415</c:v>
                </c:pt>
                <c:pt idx="25">
                  <c:v>123.54388330871882</c:v>
                </c:pt>
                <c:pt idx="26">
                  <c:v>124.92621448964837</c:v>
                </c:pt>
                <c:pt idx="27">
                  <c:v>125.33131925732438</c:v>
                </c:pt>
                <c:pt idx="28">
                  <c:v>124.25459342744867</c:v>
                </c:pt>
                <c:pt idx="29">
                  <c:v>125.9389764088384</c:v>
                </c:pt>
                <c:pt idx="30">
                  <c:v>125.58006779887984</c:v>
                </c:pt>
                <c:pt idx="31">
                  <c:v>126.11665393852087</c:v>
                </c:pt>
                <c:pt idx="32">
                  <c:v>126.67456138172378</c:v>
                </c:pt>
                <c:pt idx="33">
                  <c:v>127.4989851194504</c:v>
                </c:pt>
                <c:pt idx="34">
                  <c:v>126.11665393852087</c:v>
                </c:pt>
                <c:pt idx="35">
                  <c:v>127.45278896173296</c:v>
                </c:pt>
                <c:pt idx="36">
                  <c:v>126.72786464062852</c:v>
                </c:pt>
                <c:pt idx="37">
                  <c:v>127.87566148237721</c:v>
                </c:pt>
                <c:pt idx="38">
                  <c:v>128.58637160110706</c:v>
                </c:pt>
                <c:pt idx="39">
                  <c:v>128.87776274978631</c:v>
                </c:pt>
                <c:pt idx="40">
                  <c:v>128.88131630037995</c:v>
                </c:pt>
                <c:pt idx="41">
                  <c:v>126.54308000975877</c:v>
                </c:pt>
                <c:pt idx="42">
                  <c:v>128.92754799360333</c:v>
                </c:pt>
                <c:pt idx="43">
                  <c:v>129.90829242194457</c:v>
                </c:pt>
                <c:pt idx="44">
                  <c:v>129.24022491033853</c:v>
                </c:pt>
                <c:pt idx="45">
                  <c:v>128.15283842868186</c:v>
                </c:pt>
                <c:pt idx="46">
                  <c:v>126.50399095322862</c:v>
                </c:pt>
                <c:pt idx="47">
                  <c:v>127.05834484583789</c:v>
                </c:pt>
                <c:pt idx="48">
                  <c:v>128.02846415790412</c:v>
                </c:pt>
                <c:pt idx="49">
                  <c:v>128.3731585654881</c:v>
                </c:pt>
                <c:pt idx="50">
                  <c:v>127.52385997360595</c:v>
                </c:pt>
                <c:pt idx="51">
                  <c:v>126.55374066153971</c:v>
                </c:pt>
                <c:pt idx="52">
                  <c:v>127.38527150045363</c:v>
                </c:pt>
                <c:pt idx="53">
                  <c:v>128.56149674695152</c:v>
                </c:pt>
                <c:pt idx="54">
                  <c:v>128.83515567816846</c:v>
                </c:pt>
                <c:pt idx="55">
                  <c:v>129.34683142814799</c:v>
                </c:pt>
                <c:pt idx="56">
                  <c:v>129.00569057115769</c:v>
                </c:pt>
                <c:pt idx="57">
                  <c:v>128.70012075560976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742-4998-97D9-78F7A1B11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06688"/>
        <c:axId val="542321920"/>
      </c:scatterChart>
      <c:valAx>
        <c:axId val="54230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Х5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21920"/>
        <c:crosses val="autoZero"/>
        <c:crossBetween val="midCat"/>
      </c:valAx>
      <c:valAx>
        <c:axId val="542321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06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Y от Х6'!$F$25:$F$82</c:f>
              <c:numCache>
                <c:formatCode>General</c:formatCode>
                <c:ptCount val="58"/>
                <c:pt idx="0">
                  <c:v>0.86206896551724133</c:v>
                </c:pt>
                <c:pt idx="1">
                  <c:v>2.5862068965517242</c:v>
                </c:pt>
                <c:pt idx="2">
                  <c:v>4.3103448275862064</c:v>
                </c:pt>
                <c:pt idx="3">
                  <c:v>6.0344827586206895</c:v>
                </c:pt>
                <c:pt idx="4">
                  <c:v>7.7586206896551717</c:v>
                </c:pt>
                <c:pt idx="5">
                  <c:v>9.4827586206896548</c:v>
                </c:pt>
                <c:pt idx="6">
                  <c:v>11.206896551724139</c:v>
                </c:pt>
                <c:pt idx="7">
                  <c:v>12.931034482758621</c:v>
                </c:pt>
                <c:pt idx="8">
                  <c:v>14.655172413793103</c:v>
                </c:pt>
                <c:pt idx="9">
                  <c:v>16.379310344827584</c:v>
                </c:pt>
                <c:pt idx="10">
                  <c:v>18.103448275862068</c:v>
                </c:pt>
                <c:pt idx="11">
                  <c:v>19.827586206896552</c:v>
                </c:pt>
                <c:pt idx="12">
                  <c:v>21.551724137931036</c:v>
                </c:pt>
                <c:pt idx="13">
                  <c:v>23.275862068965516</c:v>
                </c:pt>
                <c:pt idx="14">
                  <c:v>25</c:v>
                </c:pt>
                <c:pt idx="15">
                  <c:v>26.72413793103448</c:v>
                </c:pt>
                <c:pt idx="16">
                  <c:v>28.448275862068964</c:v>
                </c:pt>
                <c:pt idx="17">
                  <c:v>30.172413793103448</c:v>
                </c:pt>
                <c:pt idx="18">
                  <c:v>31.896551724137929</c:v>
                </c:pt>
                <c:pt idx="19">
                  <c:v>33.620689655172406</c:v>
                </c:pt>
                <c:pt idx="20">
                  <c:v>35.34482758620689</c:v>
                </c:pt>
                <c:pt idx="21">
                  <c:v>37.068965517241374</c:v>
                </c:pt>
                <c:pt idx="22">
                  <c:v>38.793103448275858</c:v>
                </c:pt>
                <c:pt idx="23">
                  <c:v>40.517241379310342</c:v>
                </c:pt>
                <c:pt idx="24">
                  <c:v>42.241379310344826</c:v>
                </c:pt>
                <c:pt idx="25">
                  <c:v>43.965517241379303</c:v>
                </c:pt>
                <c:pt idx="26">
                  <c:v>45.689655172413786</c:v>
                </c:pt>
                <c:pt idx="27">
                  <c:v>47.41379310344827</c:v>
                </c:pt>
                <c:pt idx="28">
                  <c:v>49.137931034482754</c:v>
                </c:pt>
                <c:pt idx="29">
                  <c:v>50.862068965517238</c:v>
                </c:pt>
                <c:pt idx="30">
                  <c:v>52.586206896551715</c:v>
                </c:pt>
                <c:pt idx="31">
                  <c:v>54.310344827586199</c:v>
                </c:pt>
                <c:pt idx="32">
                  <c:v>56.034482758620683</c:v>
                </c:pt>
                <c:pt idx="33">
                  <c:v>57.758620689655167</c:v>
                </c:pt>
                <c:pt idx="34">
                  <c:v>59.482758620689651</c:v>
                </c:pt>
                <c:pt idx="35">
                  <c:v>61.206896551724128</c:v>
                </c:pt>
                <c:pt idx="36">
                  <c:v>62.931034482758612</c:v>
                </c:pt>
                <c:pt idx="37">
                  <c:v>64.655172413793096</c:v>
                </c:pt>
                <c:pt idx="38">
                  <c:v>66.379310344827573</c:v>
                </c:pt>
                <c:pt idx="39">
                  <c:v>68.103448275862064</c:v>
                </c:pt>
                <c:pt idx="40">
                  <c:v>69.827586206896541</c:v>
                </c:pt>
                <c:pt idx="41">
                  <c:v>71.551724137931032</c:v>
                </c:pt>
                <c:pt idx="42">
                  <c:v>73.275862068965509</c:v>
                </c:pt>
                <c:pt idx="43">
                  <c:v>74.999999999999986</c:v>
                </c:pt>
                <c:pt idx="44">
                  <c:v>76.724137931034477</c:v>
                </c:pt>
                <c:pt idx="45">
                  <c:v>78.448275862068954</c:v>
                </c:pt>
                <c:pt idx="46">
                  <c:v>80.172413793103445</c:v>
                </c:pt>
                <c:pt idx="47">
                  <c:v>81.896551724137922</c:v>
                </c:pt>
                <c:pt idx="48">
                  <c:v>83.620689655172413</c:v>
                </c:pt>
                <c:pt idx="49">
                  <c:v>85.34482758620689</c:v>
                </c:pt>
                <c:pt idx="50">
                  <c:v>87.068965517241367</c:v>
                </c:pt>
                <c:pt idx="51">
                  <c:v>88.793103448275858</c:v>
                </c:pt>
                <c:pt idx="52">
                  <c:v>90.517241379310335</c:v>
                </c:pt>
                <c:pt idx="53">
                  <c:v>92.241379310344826</c:v>
                </c:pt>
                <c:pt idx="54">
                  <c:v>93.965517241379303</c:v>
                </c:pt>
                <c:pt idx="55">
                  <c:v>95.689655172413779</c:v>
                </c:pt>
                <c:pt idx="56">
                  <c:v>97.41379310344827</c:v>
                </c:pt>
                <c:pt idx="57">
                  <c:v>99.137931034482747</c:v>
                </c:pt>
              </c:numCache>
            </c:numRef>
          </c:xVal>
          <c:yVal>
            <c:numRef>
              <c:f>'АД Y от Х6'!$G$25:$G$82</c:f>
              <c:numCache>
                <c:formatCode>General</c:formatCode>
                <c:ptCount val="58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102.32</c:v>
                </c:pt>
                <c:pt idx="4">
                  <c:v>102.55</c:v>
                </c:pt>
                <c:pt idx="5">
                  <c:v>104.35</c:v>
                </c:pt>
                <c:pt idx="6">
                  <c:v>106.49</c:v>
                </c:pt>
                <c:pt idx="7">
                  <c:v>106.57</c:v>
                </c:pt>
                <c:pt idx="8">
                  <c:v>106.61</c:v>
                </c:pt>
                <c:pt idx="9">
                  <c:v>107.03</c:v>
                </c:pt>
                <c:pt idx="10">
                  <c:v>107.04</c:v>
                </c:pt>
                <c:pt idx="11">
                  <c:v>107.47</c:v>
                </c:pt>
                <c:pt idx="12">
                  <c:v>107.57</c:v>
                </c:pt>
                <c:pt idx="13">
                  <c:v>107.8</c:v>
                </c:pt>
                <c:pt idx="14">
                  <c:v>108.19</c:v>
                </c:pt>
                <c:pt idx="15">
                  <c:v>108.36</c:v>
                </c:pt>
                <c:pt idx="16">
                  <c:v>108.49</c:v>
                </c:pt>
                <c:pt idx="17">
                  <c:v>108.86</c:v>
                </c:pt>
                <c:pt idx="18">
                  <c:v>109.5</c:v>
                </c:pt>
                <c:pt idx="19">
                  <c:v>109.76</c:v>
                </c:pt>
                <c:pt idx="20">
                  <c:v>111.35</c:v>
                </c:pt>
                <c:pt idx="21">
                  <c:v>111.39</c:v>
                </c:pt>
                <c:pt idx="22">
                  <c:v>111.96</c:v>
                </c:pt>
                <c:pt idx="23">
                  <c:v>113.35</c:v>
                </c:pt>
                <c:pt idx="24">
                  <c:v>115.27</c:v>
                </c:pt>
                <c:pt idx="25">
                  <c:v>115.88</c:v>
                </c:pt>
                <c:pt idx="26">
                  <c:v>117.17</c:v>
                </c:pt>
                <c:pt idx="27">
                  <c:v>117.26</c:v>
                </c:pt>
                <c:pt idx="28">
                  <c:v>117.54</c:v>
                </c:pt>
                <c:pt idx="29">
                  <c:v>117.61</c:v>
                </c:pt>
                <c:pt idx="30">
                  <c:v>122.58</c:v>
                </c:pt>
                <c:pt idx="31">
                  <c:v>128.16</c:v>
                </c:pt>
                <c:pt idx="32">
                  <c:v>128.94</c:v>
                </c:pt>
                <c:pt idx="33">
                  <c:v>129.16</c:v>
                </c:pt>
                <c:pt idx="34">
                  <c:v>129.30000000000001</c:v>
                </c:pt>
                <c:pt idx="35">
                  <c:v>130.28</c:v>
                </c:pt>
                <c:pt idx="36">
                  <c:v>130.59</c:v>
                </c:pt>
                <c:pt idx="37">
                  <c:v>131.22</c:v>
                </c:pt>
                <c:pt idx="38">
                  <c:v>132.01</c:v>
                </c:pt>
                <c:pt idx="39">
                  <c:v>132.52000000000001</c:v>
                </c:pt>
                <c:pt idx="40">
                  <c:v>132.86000000000001</c:v>
                </c:pt>
                <c:pt idx="41">
                  <c:v>133.72999999999999</c:v>
                </c:pt>
                <c:pt idx="42">
                  <c:v>134.25</c:v>
                </c:pt>
                <c:pt idx="43">
                  <c:v>134.27000000000001</c:v>
                </c:pt>
                <c:pt idx="44">
                  <c:v>134.38999999999999</c:v>
                </c:pt>
                <c:pt idx="45">
                  <c:v>134.46</c:v>
                </c:pt>
                <c:pt idx="46">
                  <c:v>134.51</c:v>
                </c:pt>
                <c:pt idx="47">
                  <c:v>134.72999999999999</c:v>
                </c:pt>
                <c:pt idx="48">
                  <c:v>134.91999999999999</c:v>
                </c:pt>
                <c:pt idx="49">
                  <c:v>135.22</c:v>
                </c:pt>
                <c:pt idx="50">
                  <c:v>135.69999999999999</c:v>
                </c:pt>
                <c:pt idx="51">
                  <c:v>136.06</c:v>
                </c:pt>
                <c:pt idx="52">
                  <c:v>136.12</c:v>
                </c:pt>
                <c:pt idx="53">
                  <c:v>136.13999999999999</c:v>
                </c:pt>
                <c:pt idx="54">
                  <c:v>137.5</c:v>
                </c:pt>
                <c:pt idx="55">
                  <c:v>139.1</c:v>
                </c:pt>
                <c:pt idx="56">
                  <c:v>140.09</c:v>
                </c:pt>
                <c:pt idx="57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7A-4971-A271-855A11CFB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13760"/>
        <c:axId val="542311040"/>
      </c:scatterChart>
      <c:valAx>
        <c:axId val="54231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11040"/>
        <c:crosses val="autoZero"/>
        <c:crossBetween val="midCat"/>
      </c:valAx>
      <c:valAx>
        <c:axId val="542311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13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Х5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Х5'!$C$3:$C$60</c:f>
              <c:numCache>
                <c:formatCode>0.00</c:formatCode>
                <c:ptCount val="58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</c:numCache>
            </c:numRef>
          </c:xVal>
          <c:yVal>
            <c:numRef>
              <c:f>'АД Y от Х5'!$C$25:$C$82</c:f>
              <c:numCache>
                <c:formatCode>General</c:formatCode>
                <c:ptCount val="58"/>
                <c:pt idx="0">
                  <c:v>-7.403353257155203</c:v>
                </c:pt>
                <c:pt idx="1">
                  <c:v>-6.3111763847755782</c:v>
                </c:pt>
                <c:pt idx="2">
                  <c:v>-7.5633532571551996</c:v>
                </c:pt>
                <c:pt idx="3">
                  <c:v>-6.4611763847755697</c:v>
                </c:pt>
                <c:pt idx="4">
                  <c:v>-8.3755301295348374</c:v>
                </c:pt>
                <c:pt idx="5">
                  <c:v>-5.3733532571552018</c:v>
                </c:pt>
                <c:pt idx="6">
                  <c:v>-3.3555301295348414</c:v>
                </c:pt>
                <c:pt idx="7">
                  <c:v>-0.16770700191446508</c:v>
                </c:pt>
                <c:pt idx="8">
                  <c:v>1.940116125705913</c:v>
                </c:pt>
                <c:pt idx="9">
                  <c:v>3.8401161257059186</c:v>
                </c:pt>
                <c:pt idx="10">
                  <c:v>4.2801161257059164</c:v>
                </c:pt>
                <c:pt idx="11">
                  <c:v>5.1322929980855463</c:v>
                </c:pt>
                <c:pt idx="12">
                  <c:v>3.7522929980855366</c:v>
                </c:pt>
                <c:pt idx="13">
                  <c:v>2.4244698704651597</c:v>
                </c:pt>
                <c:pt idx="14">
                  <c:v>1.6666467428448044</c:v>
                </c:pt>
                <c:pt idx="15">
                  <c:v>-1.1655301295348295</c:v>
                </c:pt>
                <c:pt idx="16">
                  <c:v>-3.8298838742940831</c:v>
                </c:pt>
                <c:pt idx="17">
                  <c:v>-2.0655301295348352</c:v>
                </c:pt>
                <c:pt idx="18">
                  <c:v>-3.6377070019144639</c:v>
                </c:pt>
                <c:pt idx="19">
                  <c:v>-6.1720607466737221</c:v>
                </c:pt>
                <c:pt idx="20">
                  <c:v>-6.3420607466737238</c:v>
                </c:pt>
                <c:pt idx="21">
                  <c:v>-9.1364144914329728</c:v>
                </c:pt>
                <c:pt idx="22">
                  <c:v>-8.2642376190533469</c:v>
                </c:pt>
                <c:pt idx="23">
                  <c:v>16.541476700918849</c:v>
                </c:pt>
                <c:pt idx="24">
                  <c:v>-10.326414491432971</c:v>
                </c:pt>
                <c:pt idx="25">
                  <c:v>-6.7598838742940899</c:v>
                </c:pt>
                <c:pt idx="26">
                  <c:v>-5.6377070019144639</c:v>
                </c:pt>
                <c:pt idx="27">
                  <c:v>-3.8855301295348283</c:v>
                </c:pt>
                <c:pt idx="28">
                  <c:v>0.42446987046515972</c:v>
                </c:pt>
                <c:pt idx="29">
                  <c:v>5.4122929980855474</c:v>
                </c:pt>
                <c:pt idx="30">
                  <c:v>10.452292998085539</c:v>
                </c:pt>
                <c:pt idx="31">
                  <c:v>10.021408636187402</c:v>
                </c:pt>
                <c:pt idx="32">
                  <c:v>11.114878019048533</c:v>
                </c:pt>
                <c:pt idx="33">
                  <c:v>9.5683474019096195</c:v>
                </c:pt>
                <c:pt idx="34">
                  <c:v>4.6981161017253612</c:v>
                </c:pt>
                <c:pt idx="35">
                  <c:v>0.69006167392075213</c:v>
                </c:pt>
                <c:pt idx="36">
                  <c:v>-2.3927818731190484</c:v>
                </c:pt>
                <c:pt idx="37">
                  <c:v>5.6018031718244572</c:v>
                </c:pt>
                <c:pt idx="38">
                  <c:v>6.2948507931559163</c:v>
                </c:pt>
                <c:pt idx="39">
                  <c:v>5.6565922910596385</c:v>
                </c:pt>
                <c:pt idx="40">
                  <c:v>5.1181161017253771</c:v>
                </c:pt>
                <c:pt idx="41">
                  <c:v>3.1361569165837011</c:v>
                </c:pt>
                <c:pt idx="42">
                  <c:v>2.0450684803938941</c:v>
                </c:pt>
                <c:pt idx="43">
                  <c:v>1.7050684803938907</c:v>
                </c:pt>
                <c:pt idx="44">
                  <c:v>0.3824562335383348</c:v>
                </c:pt>
                <c:pt idx="45">
                  <c:v>-0.98993832607922627</c:v>
                </c:pt>
                <c:pt idx="46">
                  <c:v>-2.8629859474107207</c:v>
                </c:pt>
                <c:pt idx="47">
                  <c:v>-5.0860335687422094</c:v>
                </c:pt>
                <c:pt idx="48">
                  <c:v>-8.2486458155977687</c:v>
                </c:pt>
                <c:pt idx="49">
                  <c:v>-7.3845097580764616</c:v>
                </c:pt>
                <c:pt idx="50">
                  <c:v>-6.1316798239829495</c:v>
                </c:pt>
                <c:pt idx="51">
                  <c:v>-5.5686322026514574</c:v>
                </c:pt>
                <c:pt idx="52">
                  <c:v>-1.3405777748468495</c:v>
                </c:pt>
                <c:pt idx="53">
                  <c:v>0.46203447200872461</c:v>
                </c:pt>
                <c:pt idx="54">
                  <c:v>4.7863882167679606</c:v>
                </c:pt>
                <c:pt idx="55">
                  <c:v>5.4852997805781598</c:v>
                </c:pt>
                <c:pt idx="56">
                  <c:v>8.7781297146716639</c:v>
                </c:pt>
                <c:pt idx="57">
                  <c:v>10.828565089147602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BA5-44E3-9ADA-D3A8948A8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94176"/>
        <c:axId val="542322464"/>
      </c:scatterChart>
      <c:valAx>
        <c:axId val="54229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Х5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22464"/>
        <c:crosses val="autoZero"/>
        <c:crossBetween val="midCat"/>
      </c:valAx>
      <c:valAx>
        <c:axId val="542322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9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Х5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Х5'!$C$3:$C$60</c:f>
              <c:numCache>
                <c:formatCode>0.00</c:formatCode>
                <c:ptCount val="58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</c:numCache>
            </c:numRef>
          </c:xVal>
          <c:yVal>
            <c:numRef>
              <c:f>'Y от Х5'!$B$3:$B$60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2F9-4ABD-8818-AE8B39AEEF38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Х5'!$C$3:$C$60</c:f>
              <c:numCache>
                <c:formatCode>0.00</c:formatCode>
                <c:ptCount val="58"/>
                <c:pt idx="0">
                  <c:v>-5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-6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-7</c:v>
                </c:pt>
                <c:pt idx="12">
                  <c:v>-7</c:v>
                </c:pt>
                <c:pt idx="13">
                  <c:v>-6</c:v>
                </c:pt>
                <c:pt idx="14">
                  <c:v>-5</c:v>
                </c:pt>
                <c:pt idx="15">
                  <c:v>-6</c:v>
                </c:pt>
                <c:pt idx="16">
                  <c:v>-8</c:v>
                </c:pt>
                <c:pt idx="17">
                  <c:v>-6</c:v>
                </c:pt>
                <c:pt idx="18">
                  <c:v>-7</c:v>
                </c:pt>
                <c:pt idx="19">
                  <c:v>-9</c:v>
                </c:pt>
                <c:pt idx="20">
                  <c:v>-9</c:v>
                </c:pt>
                <c:pt idx="21">
                  <c:v>-11</c:v>
                </c:pt>
                <c:pt idx="22">
                  <c:v>-10</c:v>
                </c:pt>
                <c:pt idx="23">
                  <c:v>11</c:v>
                </c:pt>
                <c:pt idx="24">
                  <c:v>-11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-6</c:v>
                </c:pt>
                <c:pt idx="29">
                  <c:v>-7</c:v>
                </c:pt>
                <c:pt idx="30">
                  <c:v>-7</c:v>
                </c:pt>
                <c:pt idx="31">
                  <c:v>-12</c:v>
                </c:pt>
                <c:pt idx="32">
                  <c:v>-15</c:v>
                </c:pt>
                <c:pt idx="33">
                  <c:v>-18</c:v>
                </c:pt>
                <c:pt idx="34">
                  <c:v>-22.7</c:v>
                </c:pt>
                <c:pt idx="35">
                  <c:v>-26.4</c:v>
                </c:pt>
                <c:pt idx="36">
                  <c:v>-32.299999999999997</c:v>
                </c:pt>
                <c:pt idx="37">
                  <c:v>-25.6</c:v>
                </c:pt>
                <c:pt idx="38">
                  <c:v>-24.2</c:v>
                </c:pt>
                <c:pt idx="39">
                  <c:v>-23.4</c:v>
                </c:pt>
                <c:pt idx="40">
                  <c:v>-22.7</c:v>
                </c:pt>
                <c:pt idx="41">
                  <c:v>-23.6</c:v>
                </c:pt>
                <c:pt idx="42">
                  <c:v>-24.1</c:v>
                </c:pt>
                <c:pt idx="43">
                  <c:v>-24.1</c:v>
                </c:pt>
                <c:pt idx="44">
                  <c:v>-25.3</c:v>
                </c:pt>
                <c:pt idx="45">
                  <c:v>-26.4</c:v>
                </c:pt>
                <c:pt idx="46">
                  <c:v>-27.8</c:v>
                </c:pt>
                <c:pt idx="47">
                  <c:v>-29.2</c:v>
                </c:pt>
                <c:pt idx="48">
                  <c:v>-30.4</c:v>
                </c:pt>
                <c:pt idx="49">
                  <c:v>-28.5</c:v>
                </c:pt>
                <c:pt idx="50">
                  <c:v>-27.2</c:v>
                </c:pt>
                <c:pt idx="51">
                  <c:v>-25.8</c:v>
                </c:pt>
                <c:pt idx="52">
                  <c:v>-22.1</c:v>
                </c:pt>
                <c:pt idx="53">
                  <c:v>-20.9</c:v>
                </c:pt>
                <c:pt idx="54">
                  <c:v>-18.899999999999999</c:v>
                </c:pt>
                <c:pt idx="55">
                  <c:v>-19.399999999999999</c:v>
                </c:pt>
                <c:pt idx="56">
                  <c:v>-18.100000000000001</c:v>
                </c:pt>
                <c:pt idx="57">
                  <c:v>-17.899999999999999</c:v>
                </c:pt>
              </c:numCache>
            </c:numRef>
          </c:xVal>
          <c:yVal>
            <c:numRef>
              <c:f>'АД Y от Х5'!$B$25:$B$82</c:f>
              <c:numCache>
                <c:formatCode>General</c:formatCode>
                <c:ptCount val="58"/>
                <c:pt idx="0">
                  <c:v>109.7233532571552</c:v>
                </c:pt>
                <c:pt idx="1">
                  <c:v>108.52117638477557</c:v>
                </c:pt>
                <c:pt idx="2">
                  <c:v>109.7233532571552</c:v>
                </c:pt>
                <c:pt idx="3">
                  <c:v>108.52117638477557</c:v>
                </c:pt>
                <c:pt idx="4">
                  <c:v>110.92553012953483</c:v>
                </c:pt>
                <c:pt idx="5">
                  <c:v>109.7233532571552</c:v>
                </c:pt>
                <c:pt idx="6">
                  <c:v>110.92553012953483</c:v>
                </c:pt>
                <c:pt idx="7">
                  <c:v>112.12770700191446</c:v>
                </c:pt>
                <c:pt idx="8">
                  <c:v>113.32988387429408</c:v>
                </c:pt>
                <c:pt idx="9">
                  <c:v>113.32988387429408</c:v>
                </c:pt>
                <c:pt idx="10">
                  <c:v>113.32988387429408</c:v>
                </c:pt>
                <c:pt idx="11">
                  <c:v>112.12770700191446</c:v>
                </c:pt>
                <c:pt idx="12">
                  <c:v>112.12770700191446</c:v>
                </c:pt>
                <c:pt idx="13">
                  <c:v>110.92553012953483</c:v>
                </c:pt>
                <c:pt idx="14">
                  <c:v>109.7233532571552</c:v>
                </c:pt>
                <c:pt idx="15">
                  <c:v>110.92553012953483</c:v>
                </c:pt>
                <c:pt idx="16">
                  <c:v>113.32988387429408</c:v>
                </c:pt>
                <c:pt idx="17">
                  <c:v>110.92553012953483</c:v>
                </c:pt>
                <c:pt idx="18">
                  <c:v>112.12770700191446</c:v>
                </c:pt>
                <c:pt idx="19">
                  <c:v>114.53206074667372</c:v>
                </c:pt>
                <c:pt idx="20">
                  <c:v>114.53206074667372</c:v>
                </c:pt>
                <c:pt idx="21">
                  <c:v>116.93641449143297</c:v>
                </c:pt>
                <c:pt idx="22">
                  <c:v>115.73423761905335</c:v>
                </c:pt>
                <c:pt idx="23">
                  <c:v>90.488523299081152</c:v>
                </c:pt>
                <c:pt idx="24">
                  <c:v>116.93641449143297</c:v>
                </c:pt>
                <c:pt idx="25">
                  <c:v>113.32988387429408</c:v>
                </c:pt>
                <c:pt idx="26">
                  <c:v>112.12770700191446</c:v>
                </c:pt>
                <c:pt idx="27">
                  <c:v>110.92553012953483</c:v>
                </c:pt>
                <c:pt idx="28">
                  <c:v>110.92553012953483</c:v>
                </c:pt>
                <c:pt idx="29">
                  <c:v>112.12770700191446</c:v>
                </c:pt>
                <c:pt idx="30">
                  <c:v>112.12770700191446</c:v>
                </c:pt>
                <c:pt idx="31">
                  <c:v>118.13859136381259</c:v>
                </c:pt>
                <c:pt idx="32">
                  <c:v>121.74512198095148</c:v>
                </c:pt>
                <c:pt idx="33">
                  <c:v>125.35165259809037</c:v>
                </c:pt>
                <c:pt idx="34">
                  <c:v>131.00188389827463</c:v>
                </c:pt>
                <c:pt idx="35">
                  <c:v>135.44993832607923</c:v>
                </c:pt>
                <c:pt idx="36">
                  <c:v>142.54278187311905</c:v>
                </c:pt>
                <c:pt idx="37">
                  <c:v>134.48819682817555</c:v>
                </c:pt>
                <c:pt idx="38">
                  <c:v>132.80514920684408</c:v>
                </c:pt>
                <c:pt idx="39">
                  <c:v>131.84340770894036</c:v>
                </c:pt>
                <c:pt idx="40">
                  <c:v>131.00188389827463</c:v>
                </c:pt>
                <c:pt idx="41">
                  <c:v>132.0838430834163</c:v>
                </c:pt>
                <c:pt idx="42">
                  <c:v>132.6849315196061</c:v>
                </c:pt>
                <c:pt idx="43">
                  <c:v>132.6849315196061</c:v>
                </c:pt>
                <c:pt idx="44">
                  <c:v>134.12754376646166</c:v>
                </c:pt>
                <c:pt idx="45">
                  <c:v>135.44993832607923</c:v>
                </c:pt>
                <c:pt idx="46">
                  <c:v>137.13298594741073</c:v>
                </c:pt>
                <c:pt idx="47">
                  <c:v>138.8160335687422</c:v>
                </c:pt>
                <c:pt idx="48">
                  <c:v>140.25864581559776</c:v>
                </c:pt>
                <c:pt idx="49">
                  <c:v>137.97450975807647</c:v>
                </c:pt>
                <c:pt idx="50">
                  <c:v>136.41167982398295</c:v>
                </c:pt>
                <c:pt idx="51">
                  <c:v>134.72863220265145</c:v>
                </c:pt>
                <c:pt idx="52">
                  <c:v>130.28057777484685</c:v>
                </c:pt>
                <c:pt idx="53">
                  <c:v>128.83796552799129</c:v>
                </c:pt>
                <c:pt idx="54">
                  <c:v>126.43361178323204</c:v>
                </c:pt>
                <c:pt idx="55">
                  <c:v>127.03470021942185</c:v>
                </c:pt>
                <c:pt idx="56">
                  <c:v>125.47187028532834</c:v>
                </c:pt>
                <c:pt idx="57">
                  <c:v>125.2314349108524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2F9-4ABD-8818-AE8B39AE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14304"/>
        <c:axId val="542319200"/>
      </c:scatterChart>
      <c:valAx>
        <c:axId val="54231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Х5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19200"/>
        <c:crosses val="autoZero"/>
        <c:crossBetween val="midCat"/>
      </c:valAx>
      <c:valAx>
        <c:axId val="542319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14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Y от Х5'!$F$25:$F$82</c:f>
              <c:numCache>
                <c:formatCode>General</c:formatCode>
                <c:ptCount val="58"/>
                <c:pt idx="0">
                  <c:v>0.86206896551724133</c:v>
                </c:pt>
                <c:pt idx="1">
                  <c:v>2.5862068965517242</c:v>
                </c:pt>
                <c:pt idx="2">
                  <c:v>4.3103448275862064</c:v>
                </c:pt>
                <c:pt idx="3">
                  <c:v>6.0344827586206895</c:v>
                </c:pt>
                <c:pt idx="4">
                  <c:v>7.7586206896551717</c:v>
                </c:pt>
                <c:pt idx="5">
                  <c:v>9.4827586206896548</c:v>
                </c:pt>
                <c:pt idx="6">
                  <c:v>11.206896551724139</c:v>
                </c:pt>
                <c:pt idx="7">
                  <c:v>12.931034482758621</c:v>
                </c:pt>
                <c:pt idx="8">
                  <c:v>14.655172413793103</c:v>
                </c:pt>
                <c:pt idx="9">
                  <c:v>16.379310344827584</c:v>
                </c:pt>
                <c:pt idx="10">
                  <c:v>18.103448275862068</c:v>
                </c:pt>
                <c:pt idx="11">
                  <c:v>19.827586206896552</c:v>
                </c:pt>
                <c:pt idx="12">
                  <c:v>21.551724137931036</c:v>
                </c:pt>
                <c:pt idx="13">
                  <c:v>23.275862068965516</c:v>
                </c:pt>
                <c:pt idx="14">
                  <c:v>25</c:v>
                </c:pt>
                <c:pt idx="15">
                  <c:v>26.72413793103448</c:v>
                </c:pt>
                <c:pt idx="16">
                  <c:v>28.448275862068964</c:v>
                </c:pt>
                <c:pt idx="17">
                  <c:v>30.172413793103448</c:v>
                </c:pt>
                <c:pt idx="18">
                  <c:v>31.896551724137929</c:v>
                </c:pt>
                <c:pt idx="19">
                  <c:v>33.620689655172406</c:v>
                </c:pt>
                <c:pt idx="20">
                  <c:v>35.34482758620689</c:v>
                </c:pt>
                <c:pt idx="21">
                  <c:v>37.068965517241374</c:v>
                </c:pt>
                <c:pt idx="22">
                  <c:v>38.793103448275858</c:v>
                </c:pt>
                <c:pt idx="23">
                  <c:v>40.517241379310342</c:v>
                </c:pt>
                <c:pt idx="24">
                  <c:v>42.241379310344826</c:v>
                </c:pt>
                <c:pt idx="25">
                  <c:v>43.965517241379303</c:v>
                </c:pt>
                <c:pt idx="26">
                  <c:v>45.689655172413786</c:v>
                </c:pt>
                <c:pt idx="27">
                  <c:v>47.41379310344827</c:v>
                </c:pt>
                <c:pt idx="28">
                  <c:v>49.137931034482754</c:v>
                </c:pt>
                <c:pt idx="29">
                  <c:v>50.862068965517238</c:v>
                </c:pt>
                <c:pt idx="30">
                  <c:v>52.586206896551715</c:v>
                </c:pt>
                <c:pt idx="31">
                  <c:v>54.310344827586199</c:v>
                </c:pt>
                <c:pt idx="32">
                  <c:v>56.034482758620683</c:v>
                </c:pt>
                <c:pt idx="33">
                  <c:v>57.758620689655167</c:v>
                </c:pt>
                <c:pt idx="34">
                  <c:v>59.482758620689651</c:v>
                </c:pt>
                <c:pt idx="35">
                  <c:v>61.206896551724128</c:v>
                </c:pt>
                <c:pt idx="36">
                  <c:v>62.931034482758612</c:v>
                </c:pt>
                <c:pt idx="37">
                  <c:v>64.655172413793096</c:v>
                </c:pt>
                <c:pt idx="38">
                  <c:v>66.379310344827573</c:v>
                </c:pt>
                <c:pt idx="39">
                  <c:v>68.103448275862064</c:v>
                </c:pt>
                <c:pt idx="40">
                  <c:v>69.827586206896541</c:v>
                </c:pt>
                <c:pt idx="41">
                  <c:v>71.551724137931032</c:v>
                </c:pt>
                <c:pt idx="42">
                  <c:v>73.275862068965509</c:v>
                </c:pt>
                <c:pt idx="43">
                  <c:v>74.999999999999986</c:v>
                </c:pt>
                <c:pt idx="44">
                  <c:v>76.724137931034477</c:v>
                </c:pt>
                <c:pt idx="45">
                  <c:v>78.448275862068954</c:v>
                </c:pt>
                <c:pt idx="46">
                  <c:v>80.172413793103445</c:v>
                </c:pt>
                <c:pt idx="47">
                  <c:v>81.896551724137922</c:v>
                </c:pt>
                <c:pt idx="48">
                  <c:v>83.620689655172413</c:v>
                </c:pt>
                <c:pt idx="49">
                  <c:v>85.34482758620689</c:v>
                </c:pt>
                <c:pt idx="50">
                  <c:v>87.068965517241367</c:v>
                </c:pt>
                <c:pt idx="51">
                  <c:v>88.793103448275858</c:v>
                </c:pt>
                <c:pt idx="52">
                  <c:v>90.517241379310335</c:v>
                </c:pt>
                <c:pt idx="53">
                  <c:v>92.241379310344826</c:v>
                </c:pt>
                <c:pt idx="54">
                  <c:v>93.965517241379303</c:v>
                </c:pt>
                <c:pt idx="55">
                  <c:v>95.689655172413779</c:v>
                </c:pt>
                <c:pt idx="56">
                  <c:v>97.41379310344827</c:v>
                </c:pt>
                <c:pt idx="57">
                  <c:v>99.137931034482747</c:v>
                </c:pt>
              </c:numCache>
            </c:numRef>
          </c:xVal>
          <c:yVal>
            <c:numRef>
              <c:f>'АД Y от Х5'!$G$25:$G$82</c:f>
              <c:numCache>
                <c:formatCode>General</c:formatCode>
                <c:ptCount val="58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102.32</c:v>
                </c:pt>
                <c:pt idx="4">
                  <c:v>102.55</c:v>
                </c:pt>
                <c:pt idx="5">
                  <c:v>104.35</c:v>
                </c:pt>
                <c:pt idx="6">
                  <c:v>106.49</c:v>
                </c:pt>
                <c:pt idx="7">
                  <c:v>106.57</c:v>
                </c:pt>
                <c:pt idx="8">
                  <c:v>106.61</c:v>
                </c:pt>
                <c:pt idx="9">
                  <c:v>107.03</c:v>
                </c:pt>
                <c:pt idx="10">
                  <c:v>107.04</c:v>
                </c:pt>
                <c:pt idx="11">
                  <c:v>107.47</c:v>
                </c:pt>
                <c:pt idx="12">
                  <c:v>107.57</c:v>
                </c:pt>
                <c:pt idx="13">
                  <c:v>107.8</c:v>
                </c:pt>
                <c:pt idx="14">
                  <c:v>108.19</c:v>
                </c:pt>
                <c:pt idx="15">
                  <c:v>108.36</c:v>
                </c:pt>
                <c:pt idx="16">
                  <c:v>108.49</c:v>
                </c:pt>
                <c:pt idx="17">
                  <c:v>108.86</c:v>
                </c:pt>
                <c:pt idx="18">
                  <c:v>109.5</c:v>
                </c:pt>
                <c:pt idx="19">
                  <c:v>109.76</c:v>
                </c:pt>
                <c:pt idx="20">
                  <c:v>111.35</c:v>
                </c:pt>
                <c:pt idx="21">
                  <c:v>111.39</c:v>
                </c:pt>
                <c:pt idx="22">
                  <c:v>111.96</c:v>
                </c:pt>
                <c:pt idx="23">
                  <c:v>113.35</c:v>
                </c:pt>
                <c:pt idx="24">
                  <c:v>115.27</c:v>
                </c:pt>
                <c:pt idx="25">
                  <c:v>115.88</c:v>
                </c:pt>
                <c:pt idx="26">
                  <c:v>117.17</c:v>
                </c:pt>
                <c:pt idx="27">
                  <c:v>117.26</c:v>
                </c:pt>
                <c:pt idx="28">
                  <c:v>117.54</c:v>
                </c:pt>
                <c:pt idx="29">
                  <c:v>117.61</c:v>
                </c:pt>
                <c:pt idx="30">
                  <c:v>122.58</c:v>
                </c:pt>
                <c:pt idx="31">
                  <c:v>128.16</c:v>
                </c:pt>
                <c:pt idx="32">
                  <c:v>128.94</c:v>
                </c:pt>
                <c:pt idx="33">
                  <c:v>129.16</c:v>
                </c:pt>
                <c:pt idx="34">
                  <c:v>129.30000000000001</c:v>
                </c:pt>
                <c:pt idx="35">
                  <c:v>130.28</c:v>
                </c:pt>
                <c:pt idx="36">
                  <c:v>130.59</c:v>
                </c:pt>
                <c:pt idx="37">
                  <c:v>131.22</c:v>
                </c:pt>
                <c:pt idx="38">
                  <c:v>132.01</c:v>
                </c:pt>
                <c:pt idx="39">
                  <c:v>132.52000000000001</c:v>
                </c:pt>
                <c:pt idx="40">
                  <c:v>132.86000000000001</c:v>
                </c:pt>
                <c:pt idx="41">
                  <c:v>133.72999999999999</c:v>
                </c:pt>
                <c:pt idx="42">
                  <c:v>134.25</c:v>
                </c:pt>
                <c:pt idx="43">
                  <c:v>134.27000000000001</c:v>
                </c:pt>
                <c:pt idx="44">
                  <c:v>134.38999999999999</c:v>
                </c:pt>
                <c:pt idx="45">
                  <c:v>134.46</c:v>
                </c:pt>
                <c:pt idx="46">
                  <c:v>134.51</c:v>
                </c:pt>
                <c:pt idx="47">
                  <c:v>134.72999999999999</c:v>
                </c:pt>
                <c:pt idx="48">
                  <c:v>134.91999999999999</c:v>
                </c:pt>
                <c:pt idx="49">
                  <c:v>135.22</c:v>
                </c:pt>
                <c:pt idx="50">
                  <c:v>135.69999999999999</c:v>
                </c:pt>
                <c:pt idx="51">
                  <c:v>136.06</c:v>
                </c:pt>
                <c:pt idx="52">
                  <c:v>136.12</c:v>
                </c:pt>
                <c:pt idx="53">
                  <c:v>136.13999999999999</c:v>
                </c:pt>
                <c:pt idx="54">
                  <c:v>137.5</c:v>
                </c:pt>
                <c:pt idx="55">
                  <c:v>139.1</c:v>
                </c:pt>
                <c:pt idx="56">
                  <c:v>140.09</c:v>
                </c:pt>
                <c:pt idx="57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03-468F-9D49-6817098F2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94720"/>
        <c:axId val="542293632"/>
      </c:scatterChart>
      <c:valAx>
        <c:axId val="54229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93632"/>
        <c:crosses val="autoZero"/>
        <c:crossBetween val="midCat"/>
      </c:valAx>
      <c:valAx>
        <c:axId val="542293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94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Х4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Х4'!$C$3:$C$60</c:f>
              <c:numCache>
                <c:formatCode>0.00</c:formatCode>
                <c:ptCount val="58"/>
                <c:pt idx="0">
                  <c:v>2710.03</c:v>
                </c:pt>
                <c:pt idx="1">
                  <c:v>2802.63</c:v>
                </c:pt>
                <c:pt idx="2">
                  <c:v>2739.21</c:v>
                </c:pt>
                <c:pt idx="3">
                  <c:v>3487.76</c:v>
                </c:pt>
                <c:pt idx="4">
                  <c:v>2649.2</c:v>
                </c:pt>
                <c:pt idx="5">
                  <c:v>2645.58</c:v>
                </c:pt>
                <c:pt idx="6">
                  <c:v>3077.61</c:v>
                </c:pt>
                <c:pt idx="7">
                  <c:v>3099.03</c:v>
                </c:pt>
                <c:pt idx="8">
                  <c:v>3279.89</c:v>
                </c:pt>
                <c:pt idx="9">
                  <c:v>3087.95</c:v>
                </c:pt>
                <c:pt idx="10">
                  <c:v>3004.93</c:v>
                </c:pt>
                <c:pt idx="11">
                  <c:v>2833.66</c:v>
                </c:pt>
                <c:pt idx="12">
                  <c:v>3534.59</c:v>
                </c:pt>
                <c:pt idx="13">
                  <c:v>3518.38</c:v>
                </c:pt>
                <c:pt idx="14">
                  <c:v>3585.83</c:v>
                </c:pt>
                <c:pt idx="15">
                  <c:v>3185.23</c:v>
                </c:pt>
                <c:pt idx="16">
                  <c:v>3405.33</c:v>
                </c:pt>
                <c:pt idx="17">
                  <c:v>3370.77</c:v>
                </c:pt>
                <c:pt idx="18">
                  <c:v>3789.67</c:v>
                </c:pt>
                <c:pt idx="19">
                  <c:v>3843.62</c:v>
                </c:pt>
                <c:pt idx="20" formatCode="General">
                  <c:v>3837</c:v>
                </c:pt>
                <c:pt idx="21">
                  <c:v>3673.56</c:v>
                </c:pt>
                <c:pt idx="22">
                  <c:v>3495.5</c:v>
                </c:pt>
                <c:pt idx="23">
                  <c:v>3518.73</c:v>
                </c:pt>
                <c:pt idx="24">
                  <c:v>3664.96</c:v>
                </c:pt>
                <c:pt idx="25">
                  <c:v>3675.08</c:v>
                </c:pt>
                <c:pt idx="26">
                  <c:v>3610.9</c:v>
                </c:pt>
                <c:pt idx="27">
                  <c:v>3918.14</c:v>
                </c:pt>
                <c:pt idx="28">
                  <c:v>3896.81</c:v>
                </c:pt>
                <c:pt idx="29">
                  <c:v>3995.53</c:v>
                </c:pt>
                <c:pt idx="30">
                  <c:v>4005.55</c:v>
                </c:pt>
                <c:pt idx="31">
                  <c:v>4088.28</c:v>
                </c:pt>
                <c:pt idx="32">
                  <c:v>3942.97</c:v>
                </c:pt>
                <c:pt idx="33">
                  <c:v>3667.51</c:v>
                </c:pt>
                <c:pt idx="34">
                  <c:v>3931.27</c:v>
                </c:pt>
                <c:pt idx="35">
                  <c:v>3877.77</c:v>
                </c:pt>
                <c:pt idx="36">
                  <c:v>3963.93</c:v>
                </c:pt>
                <c:pt idx="37">
                  <c:v>4197.93</c:v>
                </c:pt>
                <c:pt idx="38">
                  <c:v>4405.04</c:v>
                </c:pt>
                <c:pt idx="39">
                  <c:v>4407.75</c:v>
                </c:pt>
                <c:pt idx="40">
                  <c:v>4450.25</c:v>
                </c:pt>
                <c:pt idx="41">
                  <c:v>4434.34</c:v>
                </c:pt>
                <c:pt idx="42">
                  <c:v>4768.6099999999997</c:v>
                </c:pt>
                <c:pt idx="43">
                  <c:v>4761.05</c:v>
                </c:pt>
                <c:pt idx="44">
                  <c:v>4728.13</c:v>
                </c:pt>
                <c:pt idx="45">
                  <c:v>4789.46</c:v>
                </c:pt>
                <c:pt idx="46">
                  <c:v>4849.1000000000004</c:v>
                </c:pt>
                <c:pt idx="47">
                  <c:v>4694.05</c:v>
                </c:pt>
                <c:pt idx="48">
                  <c:v>4493.75</c:v>
                </c:pt>
                <c:pt idx="49">
                  <c:v>4625.6400000000003</c:v>
                </c:pt>
                <c:pt idx="50">
                  <c:v>4615.66</c:v>
                </c:pt>
                <c:pt idx="51">
                  <c:v>4951.17</c:v>
                </c:pt>
                <c:pt idx="52">
                  <c:v>4934.33</c:v>
                </c:pt>
                <c:pt idx="53">
                  <c:v>5018.21</c:v>
                </c:pt>
                <c:pt idx="54">
                  <c:v>5337.03</c:v>
                </c:pt>
                <c:pt idx="55">
                  <c:v>4828.42</c:v>
                </c:pt>
                <c:pt idx="56">
                  <c:v>4839.95</c:v>
                </c:pt>
                <c:pt idx="57">
                  <c:v>4872.42</c:v>
                </c:pt>
              </c:numCache>
            </c:numRef>
          </c:xVal>
          <c:yVal>
            <c:numRef>
              <c:f>'АД Y от Х4'!$C$25:$C$82</c:f>
              <c:numCache>
                <c:formatCode>General</c:formatCode>
                <c:ptCount val="58"/>
                <c:pt idx="0">
                  <c:v>-1.3953624637100575</c:v>
                </c:pt>
                <c:pt idx="1">
                  <c:v>-2.8206817233250945</c:v>
                </c:pt>
                <c:pt idx="2">
                  <c:v>-1.9698442779170477</c:v>
                </c:pt>
                <c:pt idx="3">
                  <c:v>-12.702481770193828</c:v>
                </c:pt>
                <c:pt idx="4">
                  <c:v>-0.30131418549858324</c:v>
                </c:pt>
                <c:pt idx="5">
                  <c:v>1.5501054227066646</c:v>
                </c:pt>
                <c:pt idx="6">
                  <c:v>-1.3665833432920635</c:v>
                </c:pt>
                <c:pt idx="7">
                  <c:v>2.7191603009740959</c:v>
                </c:pt>
                <c:pt idx="8">
                  <c:v>3.460168494343705</c:v>
                </c:pt>
                <c:pt idx="9">
                  <c:v>8.0865440741548156</c:v>
                </c:pt>
                <c:pt idx="10">
                  <c:v>9.7057860280774975</c:v>
                </c:pt>
                <c:pt idx="11">
                  <c:v>11.788558485898946</c:v>
                </c:pt>
                <c:pt idx="12">
                  <c:v>0.45233031481942021</c:v>
                </c:pt>
                <c:pt idx="13">
                  <c:v>-1.8474177931896492</c:v>
                </c:pt>
                <c:pt idx="14">
                  <c:v>-4.7654986145830946</c:v>
                </c:pt>
                <c:pt idx="15">
                  <c:v>-0.70525136402390842</c:v>
                </c:pt>
                <c:pt idx="16">
                  <c:v>-4.0916203601499035</c:v>
                </c:pt>
                <c:pt idx="17">
                  <c:v>-4.2407193492179971</c:v>
                </c:pt>
                <c:pt idx="18">
                  <c:v>-10.560905503135231</c:v>
                </c:pt>
                <c:pt idx="19">
                  <c:v>-11.457228117133397</c:v>
                </c:pt>
                <c:pt idx="20">
                  <c:v>-11.533195573951417</c:v>
                </c:pt>
                <c:pt idx="21">
                  <c:v>-9.6016428764192341</c:v>
                </c:pt>
                <c:pt idx="22">
                  <c:v>-7.4024231424338041</c:v>
                </c:pt>
                <c:pt idx="23">
                  <c:v>-8.1723893022702612</c:v>
                </c:pt>
                <c:pt idx="24">
                  <c:v>-10.669485796152614</c:v>
                </c:pt>
                <c:pt idx="25">
                  <c:v>-10.85323343014079</c:v>
                </c:pt>
                <c:pt idx="26">
                  <c:v>-10.021600707871968</c:v>
                </c:pt>
                <c:pt idx="27">
                  <c:v>-13.835733421955339</c:v>
                </c:pt>
                <c:pt idx="28">
                  <c:v>-9.2227554542708106</c:v>
                </c:pt>
                <c:pt idx="29">
                  <c:v>-4.4350051012383602</c:v>
                </c:pt>
                <c:pt idx="30">
                  <c:v>0.46266769593934498</c:v>
                </c:pt>
                <c:pt idx="31">
                  <c:v>4.8675449923977681</c:v>
                </c:pt>
                <c:pt idx="32">
                  <c:v>11.631573519553939</c:v>
                </c:pt>
                <c:pt idx="33">
                  <c:v>17.604293209117145</c:v>
                </c:pt>
                <c:pt idx="34">
                  <c:v>14.63776396596316</c:v>
                </c:pt>
                <c:pt idx="35">
                  <c:v>15.837694639714812</c:v>
                </c:pt>
                <c:pt idx="36">
                  <c:v>18.623851147183188</c:v>
                </c:pt>
                <c:pt idx="37">
                  <c:v>15.240042218998326</c:v>
                </c:pt>
                <c:pt idx="38">
                  <c:v>11.308187231321554</c:v>
                </c:pt>
                <c:pt idx="39">
                  <c:v>9.6696935467259095</c:v>
                </c:pt>
                <c:pt idx="40">
                  <c:v>7.686010301222268</c:v>
                </c:pt>
                <c:pt idx="41">
                  <c:v>7.0120008997155026</c:v>
                </c:pt>
                <c:pt idx="42">
                  <c:v>1.7739256414917861</c:v>
                </c:pt>
                <c:pt idx="43">
                  <c:v>1.5413102376331267</c:v>
                </c:pt>
                <c:pt idx="44">
                  <c:v>2.1289161774444381</c:v>
                </c:pt>
                <c:pt idx="45">
                  <c:v>1.2077657434035416</c:v>
                </c:pt>
                <c:pt idx="46">
                  <c:v>0.17062059606615776</c:v>
                </c:pt>
                <c:pt idx="47">
                  <c:v>1.8329991187800658</c:v>
                </c:pt>
                <c:pt idx="48">
                  <c:v>2.9581227440596649</c:v>
                </c:pt>
                <c:pt idx="49">
                  <c:v>-0.33528392063388424</c:v>
                </c:pt>
                <c:pt idx="50">
                  <c:v>-0.50352489027798697</c:v>
                </c:pt>
                <c:pt idx="51">
                  <c:v>-6.3892134949587387</c:v>
                </c:pt>
                <c:pt idx="52">
                  <c:v>-6.3700128866227033</c:v>
                </c:pt>
                <c:pt idx="53">
                  <c:v>-7.2014705485720469</c:v>
                </c:pt>
                <c:pt idx="54">
                  <c:v>-9.810089191665611</c:v>
                </c:pt>
                <c:pt idx="55">
                  <c:v>-1.2856342388275834</c:v>
                </c:pt>
                <c:pt idx="56">
                  <c:v>0.28059004774519281</c:v>
                </c:pt>
                <c:pt idx="57">
                  <c:v>1.6293760481804043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880-4DB2-A2A0-E6EB8C9B7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95808"/>
        <c:axId val="542297984"/>
      </c:scatterChart>
      <c:valAx>
        <c:axId val="54229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Х4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297984"/>
        <c:crosses val="autoZero"/>
        <c:crossBetween val="midCat"/>
      </c:valAx>
      <c:valAx>
        <c:axId val="542297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95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Х4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Х4'!$C$3:$C$60</c:f>
              <c:numCache>
                <c:formatCode>0.00</c:formatCode>
                <c:ptCount val="58"/>
                <c:pt idx="0">
                  <c:v>2710.03</c:v>
                </c:pt>
                <c:pt idx="1">
                  <c:v>2802.63</c:v>
                </c:pt>
                <c:pt idx="2">
                  <c:v>2739.21</c:v>
                </c:pt>
                <c:pt idx="3">
                  <c:v>3487.76</c:v>
                </c:pt>
                <c:pt idx="4">
                  <c:v>2649.2</c:v>
                </c:pt>
                <c:pt idx="5">
                  <c:v>2645.58</c:v>
                </c:pt>
                <c:pt idx="6">
                  <c:v>3077.61</c:v>
                </c:pt>
                <c:pt idx="7">
                  <c:v>3099.03</c:v>
                </c:pt>
                <c:pt idx="8">
                  <c:v>3279.89</c:v>
                </c:pt>
                <c:pt idx="9">
                  <c:v>3087.95</c:v>
                </c:pt>
                <c:pt idx="10">
                  <c:v>3004.93</c:v>
                </c:pt>
                <c:pt idx="11">
                  <c:v>2833.66</c:v>
                </c:pt>
                <c:pt idx="12">
                  <c:v>3534.59</c:v>
                </c:pt>
                <c:pt idx="13">
                  <c:v>3518.38</c:v>
                </c:pt>
                <c:pt idx="14">
                  <c:v>3585.83</c:v>
                </c:pt>
                <c:pt idx="15">
                  <c:v>3185.23</c:v>
                </c:pt>
                <c:pt idx="16">
                  <c:v>3405.33</c:v>
                </c:pt>
                <c:pt idx="17">
                  <c:v>3370.77</c:v>
                </c:pt>
                <c:pt idx="18">
                  <c:v>3789.67</c:v>
                </c:pt>
                <c:pt idx="19">
                  <c:v>3843.62</c:v>
                </c:pt>
                <c:pt idx="20" formatCode="General">
                  <c:v>3837</c:v>
                </c:pt>
                <c:pt idx="21">
                  <c:v>3673.56</c:v>
                </c:pt>
                <c:pt idx="22">
                  <c:v>3495.5</c:v>
                </c:pt>
                <c:pt idx="23">
                  <c:v>3518.73</c:v>
                </c:pt>
                <c:pt idx="24">
                  <c:v>3664.96</c:v>
                </c:pt>
                <c:pt idx="25">
                  <c:v>3675.08</c:v>
                </c:pt>
                <c:pt idx="26">
                  <c:v>3610.9</c:v>
                </c:pt>
                <c:pt idx="27">
                  <c:v>3918.14</c:v>
                </c:pt>
                <c:pt idx="28">
                  <c:v>3896.81</c:v>
                </c:pt>
                <c:pt idx="29">
                  <c:v>3995.53</c:v>
                </c:pt>
                <c:pt idx="30">
                  <c:v>4005.55</c:v>
                </c:pt>
                <c:pt idx="31">
                  <c:v>4088.28</c:v>
                </c:pt>
                <c:pt idx="32">
                  <c:v>3942.97</c:v>
                </c:pt>
                <c:pt idx="33">
                  <c:v>3667.51</c:v>
                </c:pt>
                <c:pt idx="34">
                  <c:v>3931.27</c:v>
                </c:pt>
                <c:pt idx="35">
                  <c:v>3877.77</c:v>
                </c:pt>
                <c:pt idx="36">
                  <c:v>3963.93</c:v>
                </c:pt>
                <c:pt idx="37">
                  <c:v>4197.93</c:v>
                </c:pt>
                <c:pt idx="38">
                  <c:v>4405.04</c:v>
                </c:pt>
                <c:pt idx="39">
                  <c:v>4407.75</c:v>
                </c:pt>
                <c:pt idx="40">
                  <c:v>4450.25</c:v>
                </c:pt>
                <c:pt idx="41">
                  <c:v>4434.34</c:v>
                </c:pt>
                <c:pt idx="42">
                  <c:v>4768.6099999999997</c:v>
                </c:pt>
                <c:pt idx="43">
                  <c:v>4761.05</c:v>
                </c:pt>
                <c:pt idx="44">
                  <c:v>4728.13</c:v>
                </c:pt>
                <c:pt idx="45">
                  <c:v>4789.46</c:v>
                </c:pt>
                <c:pt idx="46">
                  <c:v>4849.1000000000004</c:v>
                </c:pt>
                <c:pt idx="47">
                  <c:v>4694.05</c:v>
                </c:pt>
                <c:pt idx="48">
                  <c:v>4493.75</c:v>
                </c:pt>
                <c:pt idx="49">
                  <c:v>4625.6400000000003</c:v>
                </c:pt>
                <c:pt idx="50">
                  <c:v>4615.66</c:v>
                </c:pt>
                <c:pt idx="51">
                  <c:v>4951.17</c:v>
                </c:pt>
                <c:pt idx="52">
                  <c:v>4934.33</c:v>
                </c:pt>
                <c:pt idx="53">
                  <c:v>5018.21</c:v>
                </c:pt>
                <c:pt idx="54">
                  <c:v>5337.03</c:v>
                </c:pt>
                <c:pt idx="55">
                  <c:v>4828.42</c:v>
                </c:pt>
                <c:pt idx="56">
                  <c:v>4839.95</c:v>
                </c:pt>
                <c:pt idx="57">
                  <c:v>4872.42</c:v>
                </c:pt>
              </c:numCache>
            </c:numRef>
          </c:xVal>
          <c:yVal>
            <c:numRef>
              <c:f>'Y от Х4'!$B$3:$B$60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2CA-4B0D-9C79-1E3EAA27434F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Х4'!$C$3:$C$60</c:f>
              <c:numCache>
                <c:formatCode>0.00</c:formatCode>
                <c:ptCount val="58"/>
                <c:pt idx="0">
                  <c:v>2710.03</c:v>
                </c:pt>
                <c:pt idx="1">
                  <c:v>2802.63</c:v>
                </c:pt>
                <c:pt idx="2">
                  <c:v>2739.21</c:v>
                </c:pt>
                <c:pt idx="3">
                  <c:v>3487.76</c:v>
                </c:pt>
                <c:pt idx="4">
                  <c:v>2649.2</c:v>
                </c:pt>
                <c:pt idx="5">
                  <c:v>2645.58</c:v>
                </c:pt>
                <c:pt idx="6">
                  <c:v>3077.61</c:v>
                </c:pt>
                <c:pt idx="7">
                  <c:v>3099.03</c:v>
                </c:pt>
                <c:pt idx="8">
                  <c:v>3279.89</c:v>
                </c:pt>
                <c:pt idx="9">
                  <c:v>3087.95</c:v>
                </c:pt>
                <c:pt idx="10">
                  <c:v>3004.93</c:v>
                </c:pt>
                <c:pt idx="11">
                  <c:v>2833.66</c:v>
                </c:pt>
                <c:pt idx="12">
                  <c:v>3534.59</c:v>
                </c:pt>
                <c:pt idx="13">
                  <c:v>3518.38</c:v>
                </c:pt>
                <c:pt idx="14">
                  <c:v>3585.83</c:v>
                </c:pt>
                <c:pt idx="15">
                  <c:v>3185.23</c:v>
                </c:pt>
                <c:pt idx="16">
                  <c:v>3405.33</c:v>
                </c:pt>
                <c:pt idx="17">
                  <c:v>3370.77</c:v>
                </c:pt>
                <c:pt idx="18">
                  <c:v>3789.67</c:v>
                </c:pt>
                <c:pt idx="19">
                  <c:v>3843.62</c:v>
                </c:pt>
                <c:pt idx="20" formatCode="General">
                  <c:v>3837</c:v>
                </c:pt>
                <c:pt idx="21">
                  <c:v>3673.56</c:v>
                </c:pt>
                <c:pt idx="22">
                  <c:v>3495.5</c:v>
                </c:pt>
                <c:pt idx="23">
                  <c:v>3518.73</c:v>
                </c:pt>
                <c:pt idx="24">
                  <c:v>3664.96</c:v>
                </c:pt>
                <c:pt idx="25">
                  <c:v>3675.08</c:v>
                </c:pt>
                <c:pt idx="26">
                  <c:v>3610.9</c:v>
                </c:pt>
                <c:pt idx="27">
                  <c:v>3918.14</c:v>
                </c:pt>
                <c:pt idx="28">
                  <c:v>3896.81</c:v>
                </c:pt>
                <c:pt idx="29">
                  <c:v>3995.53</c:v>
                </c:pt>
                <c:pt idx="30">
                  <c:v>4005.55</c:v>
                </c:pt>
                <c:pt idx="31">
                  <c:v>4088.28</c:v>
                </c:pt>
                <c:pt idx="32">
                  <c:v>3942.97</c:v>
                </c:pt>
                <c:pt idx="33">
                  <c:v>3667.51</c:v>
                </c:pt>
                <c:pt idx="34">
                  <c:v>3931.27</c:v>
                </c:pt>
                <c:pt idx="35">
                  <c:v>3877.77</c:v>
                </c:pt>
                <c:pt idx="36">
                  <c:v>3963.93</c:v>
                </c:pt>
                <c:pt idx="37">
                  <c:v>4197.93</c:v>
                </c:pt>
                <c:pt idx="38">
                  <c:v>4405.04</c:v>
                </c:pt>
                <c:pt idx="39">
                  <c:v>4407.75</c:v>
                </c:pt>
                <c:pt idx="40">
                  <c:v>4450.25</c:v>
                </c:pt>
                <c:pt idx="41">
                  <c:v>4434.34</c:v>
                </c:pt>
                <c:pt idx="42">
                  <c:v>4768.6099999999997</c:v>
                </c:pt>
                <c:pt idx="43">
                  <c:v>4761.05</c:v>
                </c:pt>
                <c:pt idx="44">
                  <c:v>4728.13</c:v>
                </c:pt>
                <c:pt idx="45">
                  <c:v>4789.46</c:v>
                </c:pt>
                <c:pt idx="46">
                  <c:v>4849.1000000000004</c:v>
                </c:pt>
                <c:pt idx="47">
                  <c:v>4694.05</c:v>
                </c:pt>
                <c:pt idx="48">
                  <c:v>4493.75</c:v>
                </c:pt>
                <c:pt idx="49">
                  <c:v>4625.6400000000003</c:v>
                </c:pt>
                <c:pt idx="50">
                  <c:v>4615.66</c:v>
                </c:pt>
                <c:pt idx="51">
                  <c:v>4951.17</c:v>
                </c:pt>
                <c:pt idx="52">
                  <c:v>4934.33</c:v>
                </c:pt>
                <c:pt idx="53">
                  <c:v>5018.21</c:v>
                </c:pt>
                <c:pt idx="54">
                  <c:v>5337.03</c:v>
                </c:pt>
                <c:pt idx="55">
                  <c:v>4828.42</c:v>
                </c:pt>
                <c:pt idx="56">
                  <c:v>4839.95</c:v>
                </c:pt>
                <c:pt idx="57">
                  <c:v>4872.42</c:v>
                </c:pt>
              </c:numCache>
            </c:numRef>
          </c:xVal>
          <c:yVal>
            <c:numRef>
              <c:f>'АД Y от Х4'!$B$25:$B$82</c:f>
              <c:numCache>
                <c:formatCode>General</c:formatCode>
                <c:ptCount val="58"/>
                <c:pt idx="0">
                  <c:v>103.71536246371005</c:v>
                </c:pt>
                <c:pt idx="1">
                  <c:v>105.03068172332509</c:v>
                </c:pt>
                <c:pt idx="2">
                  <c:v>104.12984427791704</c:v>
                </c:pt>
                <c:pt idx="3">
                  <c:v>114.76248177019383</c:v>
                </c:pt>
                <c:pt idx="4">
                  <c:v>102.85131418549858</c:v>
                </c:pt>
                <c:pt idx="5">
                  <c:v>102.79989457729333</c:v>
                </c:pt>
                <c:pt idx="6">
                  <c:v>108.93658334329206</c:v>
                </c:pt>
                <c:pt idx="7">
                  <c:v>109.2408396990259</c:v>
                </c:pt>
                <c:pt idx="8">
                  <c:v>111.80983150565629</c:v>
                </c:pt>
                <c:pt idx="9">
                  <c:v>109.08345592584519</c:v>
                </c:pt>
                <c:pt idx="10">
                  <c:v>107.9042139719225</c:v>
                </c:pt>
                <c:pt idx="11">
                  <c:v>105.47144151410106</c:v>
                </c:pt>
                <c:pt idx="12">
                  <c:v>115.42766968518058</c:v>
                </c:pt>
                <c:pt idx="13">
                  <c:v>115.19741779318964</c:v>
                </c:pt>
                <c:pt idx="14">
                  <c:v>116.1554986145831</c:v>
                </c:pt>
                <c:pt idx="15">
                  <c:v>110.46525136402391</c:v>
                </c:pt>
                <c:pt idx="16">
                  <c:v>113.5916203601499</c:v>
                </c:pt>
                <c:pt idx="17">
                  <c:v>113.100719349218</c:v>
                </c:pt>
                <c:pt idx="18">
                  <c:v>119.05090550313523</c:v>
                </c:pt>
                <c:pt idx="19">
                  <c:v>119.8172281171334</c:v>
                </c:pt>
                <c:pt idx="20">
                  <c:v>119.72319557395141</c:v>
                </c:pt>
                <c:pt idx="21">
                  <c:v>117.40164287641923</c:v>
                </c:pt>
                <c:pt idx="22">
                  <c:v>114.8724231424338</c:v>
                </c:pt>
                <c:pt idx="23">
                  <c:v>115.20238930227026</c:v>
                </c:pt>
                <c:pt idx="24">
                  <c:v>117.27948579615261</c:v>
                </c:pt>
                <c:pt idx="25">
                  <c:v>117.42323343014078</c:v>
                </c:pt>
                <c:pt idx="26">
                  <c:v>116.51160070787196</c:v>
                </c:pt>
                <c:pt idx="27">
                  <c:v>120.87573342195535</c:v>
                </c:pt>
                <c:pt idx="28">
                  <c:v>120.5727554542708</c:v>
                </c:pt>
                <c:pt idx="29">
                  <c:v>121.97500510123837</c:v>
                </c:pt>
                <c:pt idx="30">
                  <c:v>122.11733230406065</c:v>
                </c:pt>
                <c:pt idx="31">
                  <c:v>123.29245500760223</c:v>
                </c:pt>
                <c:pt idx="32">
                  <c:v>121.22842648044607</c:v>
                </c:pt>
                <c:pt idx="33">
                  <c:v>117.31570679088284</c:v>
                </c:pt>
                <c:pt idx="34">
                  <c:v>121.06223603403683</c:v>
                </c:pt>
                <c:pt idx="35">
                  <c:v>120.30230536028517</c:v>
                </c:pt>
                <c:pt idx="36">
                  <c:v>121.52614885281682</c:v>
                </c:pt>
                <c:pt idx="37">
                  <c:v>124.84995778100168</c:v>
                </c:pt>
                <c:pt idx="38">
                  <c:v>127.79181276867844</c:v>
                </c:pt>
                <c:pt idx="39">
                  <c:v>127.83030645327409</c:v>
                </c:pt>
                <c:pt idx="40">
                  <c:v>128.43398969877774</c:v>
                </c:pt>
                <c:pt idx="41">
                  <c:v>128.2079991002845</c:v>
                </c:pt>
                <c:pt idx="42">
                  <c:v>132.9560743585082</c:v>
                </c:pt>
                <c:pt idx="43">
                  <c:v>132.84868976236686</c:v>
                </c:pt>
                <c:pt idx="44">
                  <c:v>132.38108382255555</c:v>
                </c:pt>
                <c:pt idx="45">
                  <c:v>133.25223425659647</c:v>
                </c:pt>
                <c:pt idx="46">
                  <c:v>134.09937940393385</c:v>
                </c:pt>
                <c:pt idx="47">
                  <c:v>131.89700088121992</c:v>
                </c:pt>
                <c:pt idx="48">
                  <c:v>129.05187725594033</c:v>
                </c:pt>
                <c:pt idx="49">
                  <c:v>130.92528392063389</c:v>
                </c:pt>
                <c:pt idx="50">
                  <c:v>130.78352489027799</c:v>
                </c:pt>
                <c:pt idx="51">
                  <c:v>135.54921349495874</c:v>
                </c:pt>
                <c:pt idx="52">
                  <c:v>135.3100128866227</c:v>
                </c:pt>
                <c:pt idx="53">
                  <c:v>136.50147054857206</c:v>
                </c:pt>
                <c:pt idx="54">
                  <c:v>141.03008919166561</c:v>
                </c:pt>
                <c:pt idx="55">
                  <c:v>133.80563423882759</c:v>
                </c:pt>
                <c:pt idx="56">
                  <c:v>133.96940995225481</c:v>
                </c:pt>
                <c:pt idx="57">
                  <c:v>134.4306239518196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2CA-4B0D-9C79-1E3EAA274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01248"/>
        <c:axId val="542301792"/>
      </c:scatterChart>
      <c:valAx>
        <c:axId val="54230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Х4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01792"/>
        <c:crosses val="autoZero"/>
        <c:crossBetween val="midCat"/>
      </c:valAx>
      <c:valAx>
        <c:axId val="542301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0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Y от Х4'!$F$25:$F$82</c:f>
              <c:numCache>
                <c:formatCode>General</c:formatCode>
                <c:ptCount val="58"/>
                <c:pt idx="0">
                  <c:v>0.86206896551724133</c:v>
                </c:pt>
                <c:pt idx="1">
                  <c:v>2.5862068965517242</c:v>
                </c:pt>
                <c:pt idx="2">
                  <c:v>4.3103448275862064</c:v>
                </c:pt>
                <c:pt idx="3">
                  <c:v>6.0344827586206895</c:v>
                </c:pt>
                <c:pt idx="4">
                  <c:v>7.7586206896551717</c:v>
                </c:pt>
                <c:pt idx="5">
                  <c:v>9.4827586206896548</c:v>
                </c:pt>
                <c:pt idx="6">
                  <c:v>11.206896551724139</c:v>
                </c:pt>
                <c:pt idx="7">
                  <c:v>12.931034482758621</c:v>
                </c:pt>
                <c:pt idx="8">
                  <c:v>14.655172413793103</c:v>
                </c:pt>
                <c:pt idx="9">
                  <c:v>16.379310344827584</c:v>
                </c:pt>
                <c:pt idx="10">
                  <c:v>18.103448275862068</c:v>
                </c:pt>
                <c:pt idx="11">
                  <c:v>19.827586206896552</c:v>
                </c:pt>
                <c:pt idx="12">
                  <c:v>21.551724137931036</c:v>
                </c:pt>
                <c:pt idx="13">
                  <c:v>23.275862068965516</c:v>
                </c:pt>
                <c:pt idx="14">
                  <c:v>25</c:v>
                </c:pt>
                <c:pt idx="15">
                  <c:v>26.72413793103448</c:v>
                </c:pt>
                <c:pt idx="16">
                  <c:v>28.448275862068964</c:v>
                </c:pt>
                <c:pt idx="17">
                  <c:v>30.172413793103448</c:v>
                </c:pt>
                <c:pt idx="18">
                  <c:v>31.896551724137929</c:v>
                </c:pt>
                <c:pt idx="19">
                  <c:v>33.620689655172406</c:v>
                </c:pt>
                <c:pt idx="20">
                  <c:v>35.34482758620689</c:v>
                </c:pt>
                <c:pt idx="21">
                  <c:v>37.068965517241374</c:v>
                </c:pt>
                <c:pt idx="22">
                  <c:v>38.793103448275858</c:v>
                </c:pt>
                <c:pt idx="23">
                  <c:v>40.517241379310342</c:v>
                </c:pt>
                <c:pt idx="24">
                  <c:v>42.241379310344826</c:v>
                </c:pt>
                <c:pt idx="25">
                  <c:v>43.965517241379303</c:v>
                </c:pt>
                <c:pt idx="26">
                  <c:v>45.689655172413786</c:v>
                </c:pt>
                <c:pt idx="27">
                  <c:v>47.41379310344827</c:v>
                </c:pt>
                <c:pt idx="28">
                  <c:v>49.137931034482754</c:v>
                </c:pt>
                <c:pt idx="29">
                  <c:v>50.862068965517238</c:v>
                </c:pt>
                <c:pt idx="30">
                  <c:v>52.586206896551715</c:v>
                </c:pt>
                <c:pt idx="31">
                  <c:v>54.310344827586199</c:v>
                </c:pt>
                <c:pt idx="32">
                  <c:v>56.034482758620683</c:v>
                </c:pt>
                <c:pt idx="33">
                  <c:v>57.758620689655167</c:v>
                </c:pt>
                <c:pt idx="34">
                  <c:v>59.482758620689651</c:v>
                </c:pt>
                <c:pt idx="35">
                  <c:v>61.206896551724128</c:v>
                </c:pt>
                <c:pt idx="36">
                  <c:v>62.931034482758612</c:v>
                </c:pt>
                <c:pt idx="37">
                  <c:v>64.655172413793096</c:v>
                </c:pt>
                <c:pt idx="38">
                  <c:v>66.379310344827573</c:v>
                </c:pt>
                <c:pt idx="39">
                  <c:v>68.103448275862064</c:v>
                </c:pt>
                <c:pt idx="40">
                  <c:v>69.827586206896541</c:v>
                </c:pt>
                <c:pt idx="41">
                  <c:v>71.551724137931032</c:v>
                </c:pt>
                <c:pt idx="42">
                  <c:v>73.275862068965509</c:v>
                </c:pt>
                <c:pt idx="43">
                  <c:v>74.999999999999986</c:v>
                </c:pt>
                <c:pt idx="44">
                  <c:v>76.724137931034477</c:v>
                </c:pt>
                <c:pt idx="45">
                  <c:v>78.448275862068954</c:v>
                </c:pt>
                <c:pt idx="46">
                  <c:v>80.172413793103445</c:v>
                </c:pt>
                <c:pt idx="47">
                  <c:v>81.896551724137922</c:v>
                </c:pt>
                <c:pt idx="48">
                  <c:v>83.620689655172413</c:v>
                </c:pt>
                <c:pt idx="49">
                  <c:v>85.34482758620689</c:v>
                </c:pt>
                <c:pt idx="50">
                  <c:v>87.068965517241367</c:v>
                </c:pt>
                <c:pt idx="51">
                  <c:v>88.793103448275858</c:v>
                </c:pt>
                <c:pt idx="52">
                  <c:v>90.517241379310335</c:v>
                </c:pt>
                <c:pt idx="53">
                  <c:v>92.241379310344826</c:v>
                </c:pt>
                <c:pt idx="54">
                  <c:v>93.965517241379303</c:v>
                </c:pt>
                <c:pt idx="55">
                  <c:v>95.689655172413779</c:v>
                </c:pt>
                <c:pt idx="56">
                  <c:v>97.41379310344827</c:v>
                </c:pt>
                <c:pt idx="57">
                  <c:v>99.137931034482747</c:v>
                </c:pt>
              </c:numCache>
            </c:numRef>
          </c:xVal>
          <c:yVal>
            <c:numRef>
              <c:f>'АД Y от Х4'!$G$25:$G$82</c:f>
              <c:numCache>
                <c:formatCode>General</c:formatCode>
                <c:ptCount val="58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102.32</c:v>
                </c:pt>
                <c:pt idx="4">
                  <c:v>102.55</c:v>
                </c:pt>
                <c:pt idx="5">
                  <c:v>104.35</c:v>
                </c:pt>
                <c:pt idx="6">
                  <c:v>106.49</c:v>
                </c:pt>
                <c:pt idx="7">
                  <c:v>106.57</c:v>
                </c:pt>
                <c:pt idx="8">
                  <c:v>106.61</c:v>
                </c:pt>
                <c:pt idx="9">
                  <c:v>107.03</c:v>
                </c:pt>
                <c:pt idx="10">
                  <c:v>107.04</c:v>
                </c:pt>
                <c:pt idx="11">
                  <c:v>107.47</c:v>
                </c:pt>
                <c:pt idx="12">
                  <c:v>107.57</c:v>
                </c:pt>
                <c:pt idx="13">
                  <c:v>107.8</c:v>
                </c:pt>
                <c:pt idx="14">
                  <c:v>108.19</c:v>
                </c:pt>
                <c:pt idx="15">
                  <c:v>108.36</c:v>
                </c:pt>
                <c:pt idx="16">
                  <c:v>108.49</c:v>
                </c:pt>
                <c:pt idx="17">
                  <c:v>108.86</c:v>
                </c:pt>
                <c:pt idx="18">
                  <c:v>109.5</c:v>
                </c:pt>
                <c:pt idx="19">
                  <c:v>109.76</c:v>
                </c:pt>
                <c:pt idx="20">
                  <c:v>111.35</c:v>
                </c:pt>
                <c:pt idx="21">
                  <c:v>111.39</c:v>
                </c:pt>
                <c:pt idx="22">
                  <c:v>111.96</c:v>
                </c:pt>
                <c:pt idx="23">
                  <c:v>113.35</c:v>
                </c:pt>
                <c:pt idx="24">
                  <c:v>115.27</c:v>
                </c:pt>
                <c:pt idx="25">
                  <c:v>115.88</c:v>
                </c:pt>
                <c:pt idx="26">
                  <c:v>117.17</c:v>
                </c:pt>
                <c:pt idx="27">
                  <c:v>117.26</c:v>
                </c:pt>
                <c:pt idx="28">
                  <c:v>117.54</c:v>
                </c:pt>
                <c:pt idx="29">
                  <c:v>117.61</c:v>
                </c:pt>
                <c:pt idx="30">
                  <c:v>122.58</c:v>
                </c:pt>
                <c:pt idx="31">
                  <c:v>128.16</c:v>
                </c:pt>
                <c:pt idx="32">
                  <c:v>128.94</c:v>
                </c:pt>
                <c:pt idx="33">
                  <c:v>129.16</c:v>
                </c:pt>
                <c:pt idx="34">
                  <c:v>129.30000000000001</c:v>
                </c:pt>
                <c:pt idx="35">
                  <c:v>130.28</c:v>
                </c:pt>
                <c:pt idx="36">
                  <c:v>130.59</c:v>
                </c:pt>
                <c:pt idx="37">
                  <c:v>131.22</c:v>
                </c:pt>
                <c:pt idx="38">
                  <c:v>132.01</c:v>
                </c:pt>
                <c:pt idx="39">
                  <c:v>132.52000000000001</c:v>
                </c:pt>
                <c:pt idx="40">
                  <c:v>132.86000000000001</c:v>
                </c:pt>
                <c:pt idx="41">
                  <c:v>133.72999999999999</c:v>
                </c:pt>
                <c:pt idx="42">
                  <c:v>134.25</c:v>
                </c:pt>
                <c:pt idx="43">
                  <c:v>134.27000000000001</c:v>
                </c:pt>
                <c:pt idx="44">
                  <c:v>134.38999999999999</c:v>
                </c:pt>
                <c:pt idx="45">
                  <c:v>134.46</c:v>
                </c:pt>
                <c:pt idx="46">
                  <c:v>134.51</c:v>
                </c:pt>
                <c:pt idx="47">
                  <c:v>134.72999999999999</c:v>
                </c:pt>
                <c:pt idx="48">
                  <c:v>134.91999999999999</c:v>
                </c:pt>
                <c:pt idx="49">
                  <c:v>135.22</c:v>
                </c:pt>
                <c:pt idx="50">
                  <c:v>135.69999999999999</c:v>
                </c:pt>
                <c:pt idx="51">
                  <c:v>136.06</c:v>
                </c:pt>
                <c:pt idx="52">
                  <c:v>136.12</c:v>
                </c:pt>
                <c:pt idx="53">
                  <c:v>136.13999999999999</c:v>
                </c:pt>
                <c:pt idx="54">
                  <c:v>137.5</c:v>
                </c:pt>
                <c:pt idx="55">
                  <c:v>139.1</c:v>
                </c:pt>
                <c:pt idx="56">
                  <c:v>140.09</c:v>
                </c:pt>
                <c:pt idx="57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42-427D-B134-99D3B2CE6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52928"/>
        <c:axId val="542334432"/>
      </c:scatterChart>
      <c:valAx>
        <c:axId val="54235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34432"/>
        <c:crosses val="autoZero"/>
        <c:crossBetween val="midCat"/>
      </c:valAx>
      <c:valAx>
        <c:axId val="542334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52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Х3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Х3'!$C$3:$C$60</c:f>
              <c:numCache>
                <c:formatCode>General</c:formatCode>
                <c:ptCount val="58"/>
                <c:pt idx="0">
                  <c:v>30693.27</c:v>
                </c:pt>
                <c:pt idx="1">
                  <c:v>30330.845000000001</c:v>
                </c:pt>
                <c:pt idx="2">
                  <c:v>29117.575000000001</c:v>
                </c:pt>
                <c:pt idx="3">
                  <c:v>26374.77</c:v>
                </c:pt>
                <c:pt idx="4">
                  <c:v>27921.035</c:v>
                </c:pt>
                <c:pt idx="5">
                  <c:v>26684.254999999997</c:v>
                </c:pt>
                <c:pt idx="6">
                  <c:v>27998.165000000001</c:v>
                </c:pt>
                <c:pt idx="7">
                  <c:v>26800.445</c:v>
                </c:pt>
                <c:pt idx="8">
                  <c:v>28104.639999999999</c:v>
                </c:pt>
                <c:pt idx="9">
                  <c:v>29187.01</c:v>
                </c:pt>
                <c:pt idx="10">
                  <c:v>31053.75</c:v>
                </c:pt>
                <c:pt idx="11">
                  <c:v>32834.595000000001</c:v>
                </c:pt>
                <c:pt idx="12">
                  <c:v>33410.415000000001</c:v>
                </c:pt>
                <c:pt idx="13">
                  <c:v>33158.774999999994</c:v>
                </c:pt>
                <c:pt idx="14">
                  <c:v>32302.74</c:v>
                </c:pt>
                <c:pt idx="15">
                  <c:v>31546.885000000002</c:v>
                </c:pt>
                <c:pt idx="16">
                  <c:v>31470.025000000001</c:v>
                </c:pt>
                <c:pt idx="17">
                  <c:v>31161.184999999998</c:v>
                </c:pt>
                <c:pt idx="18">
                  <c:v>31784.445</c:v>
                </c:pt>
                <c:pt idx="19">
                  <c:v>32330.63</c:v>
                </c:pt>
                <c:pt idx="20">
                  <c:v>33370.205000000002</c:v>
                </c:pt>
                <c:pt idx="21">
                  <c:v>33649.68</c:v>
                </c:pt>
                <c:pt idx="22">
                  <c:v>34390.550000000003</c:v>
                </c:pt>
                <c:pt idx="23">
                  <c:v>35060.425000000003</c:v>
                </c:pt>
                <c:pt idx="24">
                  <c:v>35321.544999999998</c:v>
                </c:pt>
                <c:pt idx="25">
                  <c:v>34869.084999999999</c:v>
                </c:pt>
                <c:pt idx="26">
                  <c:v>34749.365000000005</c:v>
                </c:pt>
                <c:pt idx="27">
                  <c:v>34217.119999999995</c:v>
                </c:pt>
                <c:pt idx="28">
                  <c:v>34651.399999999994</c:v>
                </c:pt>
                <c:pt idx="29">
                  <c:v>34633.524999999994</c:v>
                </c:pt>
                <c:pt idx="30">
                  <c:v>35402.485000000001</c:v>
                </c:pt>
                <c:pt idx="31">
                  <c:v>35556.824999999997</c:v>
                </c:pt>
                <c:pt idx="32">
                  <c:v>36010.71</c:v>
                </c:pt>
                <c:pt idx="33">
                  <c:v>36435.434999999998</c:v>
                </c:pt>
                <c:pt idx="34">
                  <c:v>37231.79</c:v>
                </c:pt>
                <c:pt idx="35">
                  <c:v>37307.69</c:v>
                </c:pt>
                <c:pt idx="36">
                  <c:v>36741.72</c:v>
                </c:pt>
                <c:pt idx="37">
                  <c:v>36150.604999999996</c:v>
                </c:pt>
                <c:pt idx="38">
                  <c:v>38026.050000000003</c:v>
                </c:pt>
                <c:pt idx="39">
                  <c:v>36228.885000000002</c:v>
                </c:pt>
                <c:pt idx="40">
                  <c:v>37326.339999999997</c:v>
                </c:pt>
                <c:pt idx="41">
                  <c:v>36578.83</c:v>
                </c:pt>
                <c:pt idx="42">
                  <c:v>37371.214999999997</c:v>
                </c:pt>
                <c:pt idx="43">
                  <c:v>37812.94</c:v>
                </c:pt>
                <c:pt idx="44">
                  <c:v>38081.755000000005</c:v>
                </c:pt>
                <c:pt idx="45">
                  <c:v>38537.42</c:v>
                </c:pt>
                <c:pt idx="46">
                  <c:v>38555.22</c:v>
                </c:pt>
                <c:pt idx="47">
                  <c:v>37939.195</c:v>
                </c:pt>
                <c:pt idx="48">
                  <c:v>37000.61</c:v>
                </c:pt>
                <c:pt idx="49">
                  <c:v>36885.69</c:v>
                </c:pt>
                <c:pt idx="50">
                  <c:v>36631.455000000002</c:v>
                </c:pt>
                <c:pt idx="51">
                  <c:v>36881.425000000003</c:v>
                </c:pt>
                <c:pt idx="52">
                  <c:v>36675.324999999997</c:v>
                </c:pt>
                <c:pt idx="53">
                  <c:v>37859.599999999999</c:v>
                </c:pt>
                <c:pt idx="54">
                  <c:v>38639.339999999997</c:v>
                </c:pt>
                <c:pt idx="55">
                  <c:v>38118.095000000001</c:v>
                </c:pt>
                <c:pt idx="56">
                  <c:v>38031.785000000003</c:v>
                </c:pt>
                <c:pt idx="57">
                  <c:v>38303.055</c:v>
                </c:pt>
              </c:numCache>
            </c:numRef>
          </c:xVal>
          <c:yVal>
            <c:numRef>
              <c:f>'АД Y от Х3'!$C$25:$C$82</c:f>
              <c:numCache>
                <c:formatCode>General</c:formatCode>
                <c:ptCount val="58"/>
                <c:pt idx="0">
                  <c:v>-7.7544364389942047</c:v>
                </c:pt>
                <c:pt idx="1">
                  <c:v>-6.7858371755279165</c:v>
                </c:pt>
                <c:pt idx="2">
                  <c:v>-3.2250704558321104</c:v>
                </c:pt>
                <c:pt idx="3">
                  <c:v>4.8376872259825063</c:v>
                </c:pt>
                <c:pt idx="4">
                  <c:v>0.72590674692143864</c:v>
                </c:pt>
                <c:pt idx="5">
                  <c:v>6.2066406837906953</c:v>
                </c:pt>
                <c:pt idx="6">
                  <c:v>5.5163630863263933</c:v>
                </c:pt>
                <c:pt idx="7">
                  <c:v>13.470852042217544</c:v>
                </c:pt>
                <c:pt idx="8">
                  <c:v>12.899486886898742</c:v>
                </c:pt>
                <c:pt idx="9">
                  <c:v>11.578286680516712</c:v>
                </c:pt>
                <c:pt idx="10">
                  <c:v>6.4627527380925756</c:v>
                </c:pt>
                <c:pt idx="11">
                  <c:v>0.812847639527007</c:v>
                </c:pt>
                <c:pt idx="12">
                  <c:v>-2.2808283703761845</c:v>
                </c:pt>
                <c:pt idx="13">
                  <c:v>-4.0619321334756791</c:v>
                </c:pt>
                <c:pt idx="14">
                  <c:v>-3.4743189155647798</c:v>
                </c:pt>
                <c:pt idx="15">
                  <c:v>-2.8548475869110774</c:v>
                </c:pt>
                <c:pt idx="16">
                  <c:v>-2.8861074630509194</c:v>
                </c:pt>
                <c:pt idx="17">
                  <c:v>-2.6069804808368531</c:v>
                </c:pt>
                <c:pt idx="18">
                  <c:v>-4.8318408711189988</c:v>
                </c:pt>
                <c:pt idx="19">
                  <c:v>-6.5873212842150508</c:v>
                </c:pt>
                <c:pt idx="20">
                  <c:v>-9.8511609181199162</c:v>
                </c:pt>
                <c:pt idx="21">
                  <c:v>-11.072895840261708</c:v>
                </c:pt>
                <c:pt idx="22">
                  <c:v>-13.607770880130019</c:v>
                </c:pt>
                <c:pt idx="23">
                  <c:v>-16.041360399656767</c:v>
                </c:pt>
                <c:pt idx="24">
                  <c:v>-17.238469704137188</c:v>
                </c:pt>
                <c:pt idx="25">
                  <c:v>-15.931920700210981</c:v>
                </c:pt>
                <c:pt idx="26">
                  <c:v>-15.65562655984489</c:v>
                </c:pt>
                <c:pt idx="27">
                  <c:v>-13.521632450764031</c:v>
                </c:pt>
                <c:pt idx="28">
                  <c:v>-10.50407664787555</c:v>
                </c:pt>
                <c:pt idx="29">
                  <c:v>-4.2608795399650461</c:v>
                </c:pt>
                <c:pt idx="30">
                  <c:v>-1.5093521608798568</c:v>
                </c:pt>
                <c:pt idx="31">
                  <c:v>3.6113224329716047</c:v>
                </c:pt>
                <c:pt idx="32">
                  <c:v>6.9605325407224683</c:v>
                </c:pt>
                <c:pt idx="33">
                  <c:v>7.7565246158394388</c:v>
                </c:pt>
                <c:pt idx="34">
                  <c:v>6.1665227769549915</c:v>
                </c:pt>
                <c:pt idx="35">
                  <c:v>6.3806396725965726</c:v>
                </c:pt>
                <c:pt idx="36">
                  <c:v>12.075001471986866</c:v>
                </c:pt>
                <c:pt idx="37">
                  <c:v>13.77419634988955</c:v>
                </c:pt>
                <c:pt idx="38">
                  <c:v>7.2027557879207222</c:v>
                </c:pt>
                <c:pt idx="39">
                  <c:v>10.951230218016335</c:v>
                </c:pt>
                <c:pt idx="40">
                  <c:v>6.3051361166508286</c:v>
                </c:pt>
                <c:pt idx="41">
                  <c:v>7.6297722080730068</c:v>
                </c:pt>
                <c:pt idx="42">
                  <c:v>4.7815853352531406</c:v>
                </c:pt>
                <c:pt idx="43">
                  <c:v>3.1269843566930149</c:v>
                </c:pt>
                <c:pt idx="44">
                  <c:v>2.4469742552687421</c:v>
                </c:pt>
                <c:pt idx="45">
                  <c:v>1.0408869726934711</c:v>
                </c:pt>
                <c:pt idx="46">
                  <c:v>0.79791306943153018</c:v>
                </c:pt>
                <c:pt idx="47">
                  <c:v>2.0912416512810807</c:v>
                </c:pt>
                <c:pt idx="48">
                  <c:v>3.1645287857240874</c:v>
                </c:pt>
                <c:pt idx="49">
                  <c:v>2.0865378285813563</c:v>
                </c:pt>
                <c:pt idx="50">
                  <c:v>2.5331569463225492</c:v>
                </c:pt>
                <c:pt idx="51">
                  <c:v>0.66923073293034463</c:v>
                </c:pt>
                <c:pt idx="52">
                  <c:v>1.0625971072157938</c:v>
                </c:pt>
                <c:pt idx="53">
                  <c:v>-2.1018786953407016</c:v>
                </c:pt>
                <c:pt idx="54">
                  <c:v>-2.5024332644107403</c:v>
                </c:pt>
                <c:pt idx="55">
                  <c:v>0.34882416287902629</c:v>
                </c:pt>
                <c:pt idx="56">
                  <c:v>2.3356880724596749</c:v>
                </c:pt>
                <c:pt idx="57">
                  <c:v>3.3383717388720413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7B4-485B-A325-9B09F83A7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36064"/>
        <c:axId val="542336608"/>
      </c:scatterChart>
      <c:valAx>
        <c:axId val="54233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36608"/>
        <c:crosses val="autoZero"/>
        <c:crossBetween val="midCat"/>
      </c:valAx>
      <c:valAx>
        <c:axId val="542336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36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Х3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Х3'!$C$3:$C$60</c:f>
              <c:numCache>
                <c:formatCode>General</c:formatCode>
                <c:ptCount val="58"/>
                <c:pt idx="0">
                  <c:v>30693.27</c:v>
                </c:pt>
                <c:pt idx="1">
                  <c:v>30330.845000000001</c:v>
                </c:pt>
                <c:pt idx="2">
                  <c:v>29117.575000000001</c:v>
                </c:pt>
                <c:pt idx="3">
                  <c:v>26374.77</c:v>
                </c:pt>
                <c:pt idx="4">
                  <c:v>27921.035</c:v>
                </c:pt>
                <c:pt idx="5">
                  <c:v>26684.254999999997</c:v>
                </c:pt>
                <c:pt idx="6">
                  <c:v>27998.165000000001</c:v>
                </c:pt>
                <c:pt idx="7">
                  <c:v>26800.445</c:v>
                </c:pt>
                <c:pt idx="8">
                  <c:v>28104.639999999999</c:v>
                </c:pt>
                <c:pt idx="9">
                  <c:v>29187.01</c:v>
                </c:pt>
                <c:pt idx="10">
                  <c:v>31053.75</c:v>
                </c:pt>
                <c:pt idx="11">
                  <c:v>32834.595000000001</c:v>
                </c:pt>
                <c:pt idx="12">
                  <c:v>33410.415000000001</c:v>
                </c:pt>
                <c:pt idx="13">
                  <c:v>33158.774999999994</c:v>
                </c:pt>
                <c:pt idx="14">
                  <c:v>32302.74</c:v>
                </c:pt>
                <c:pt idx="15">
                  <c:v>31546.885000000002</c:v>
                </c:pt>
                <c:pt idx="16">
                  <c:v>31470.025000000001</c:v>
                </c:pt>
                <c:pt idx="17">
                  <c:v>31161.184999999998</c:v>
                </c:pt>
                <c:pt idx="18">
                  <c:v>31784.445</c:v>
                </c:pt>
                <c:pt idx="19">
                  <c:v>32330.63</c:v>
                </c:pt>
                <c:pt idx="20">
                  <c:v>33370.205000000002</c:v>
                </c:pt>
                <c:pt idx="21">
                  <c:v>33649.68</c:v>
                </c:pt>
                <c:pt idx="22">
                  <c:v>34390.550000000003</c:v>
                </c:pt>
                <c:pt idx="23">
                  <c:v>35060.425000000003</c:v>
                </c:pt>
                <c:pt idx="24">
                  <c:v>35321.544999999998</c:v>
                </c:pt>
                <c:pt idx="25">
                  <c:v>34869.084999999999</c:v>
                </c:pt>
                <c:pt idx="26">
                  <c:v>34749.365000000005</c:v>
                </c:pt>
                <c:pt idx="27">
                  <c:v>34217.119999999995</c:v>
                </c:pt>
                <c:pt idx="28">
                  <c:v>34651.399999999994</c:v>
                </c:pt>
                <c:pt idx="29">
                  <c:v>34633.524999999994</c:v>
                </c:pt>
                <c:pt idx="30">
                  <c:v>35402.485000000001</c:v>
                </c:pt>
                <c:pt idx="31">
                  <c:v>35556.824999999997</c:v>
                </c:pt>
                <c:pt idx="32">
                  <c:v>36010.71</c:v>
                </c:pt>
                <c:pt idx="33">
                  <c:v>36435.434999999998</c:v>
                </c:pt>
                <c:pt idx="34">
                  <c:v>37231.79</c:v>
                </c:pt>
                <c:pt idx="35">
                  <c:v>37307.69</c:v>
                </c:pt>
                <c:pt idx="36">
                  <c:v>36741.72</c:v>
                </c:pt>
                <c:pt idx="37">
                  <c:v>36150.604999999996</c:v>
                </c:pt>
                <c:pt idx="38">
                  <c:v>38026.050000000003</c:v>
                </c:pt>
                <c:pt idx="39">
                  <c:v>36228.885000000002</c:v>
                </c:pt>
                <c:pt idx="40">
                  <c:v>37326.339999999997</c:v>
                </c:pt>
                <c:pt idx="41">
                  <c:v>36578.83</c:v>
                </c:pt>
                <c:pt idx="42">
                  <c:v>37371.214999999997</c:v>
                </c:pt>
                <c:pt idx="43">
                  <c:v>37812.94</c:v>
                </c:pt>
                <c:pt idx="44">
                  <c:v>38081.755000000005</c:v>
                </c:pt>
                <c:pt idx="45">
                  <c:v>38537.42</c:v>
                </c:pt>
                <c:pt idx="46">
                  <c:v>38555.22</c:v>
                </c:pt>
                <c:pt idx="47">
                  <c:v>37939.195</c:v>
                </c:pt>
                <c:pt idx="48">
                  <c:v>37000.61</c:v>
                </c:pt>
                <c:pt idx="49">
                  <c:v>36885.69</c:v>
                </c:pt>
                <c:pt idx="50">
                  <c:v>36631.455000000002</c:v>
                </c:pt>
                <c:pt idx="51">
                  <c:v>36881.425000000003</c:v>
                </c:pt>
                <c:pt idx="52">
                  <c:v>36675.324999999997</c:v>
                </c:pt>
                <c:pt idx="53">
                  <c:v>37859.599999999999</c:v>
                </c:pt>
                <c:pt idx="54">
                  <c:v>38639.339999999997</c:v>
                </c:pt>
                <c:pt idx="55">
                  <c:v>38118.095000000001</c:v>
                </c:pt>
                <c:pt idx="56">
                  <c:v>38031.785000000003</c:v>
                </c:pt>
                <c:pt idx="57">
                  <c:v>38303.055</c:v>
                </c:pt>
              </c:numCache>
            </c:numRef>
          </c:xVal>
          <c:yVal>
            <c:numRef>
              <c:f>'Y от Х3'!$B$3:$B$60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250-4BAE-9CB6-EAB09588E84A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Х3'!$C$3:$C$60</c:f>
              <c:numCache>
                <c:formatCode>General</c:formatCode>
                <c:ptCount val="58"/>
                <c:pt idx="0">
                  <c:v>30693.27</c:v>
                </c:pt>
                <c:pt idx="1">
                  <c:v>30330.845000000001</c:v>
                </c:pt>
                <c:pt idx="2">
                  <c:v>29117.575000000001</c:v>
                </c:pt>
                <c:pt idx="3">
                  <c:v>26374.77</c:v>
                </c:pt>
                <c:pt idx="4">
                  <c:v>27921.035</c:v>
                </c:pt>
                <c:pt idx="5">
                  <c:v>26684.254999999997</c:v>
                </c:pt>
                <c:pt idx="6">
                  <c:v>27998.165000000001</c:v>
                </c:pt>
                <c:pt idx="7">
                  <c:v>26800.445</c:v>
                </c:pt>
                <c:pt idx="8">
                  <c:v>28104.639999999999</c:v>
                </c:pt>
                <c:pt idx="9">
                  <c:v>29187.01</c:v>
                </c:pt>
                <c:pt idx="10">
                  <c:v>31053.75</c:v>
                </c:pt>
                <c:pt idx="11">
                  <c:v>32834.595000000001</c:v>
                </c:pt>
                <c:pt idx="12">
                  <c:v>33410.415000000001</c:v>
                </c:pt>
                <c:pt idx="13">
                  <c:v>33158.774999999994</c:v>
                </c:pt>
                <c:pt idx="14">
                  <c:v>32302.74</c:v>
                </c:pt>
                <c:pt idx="15">
                  <c:v>31546.885000000002</c:v>
                </c:pt>
                <c:pt idx="16">
                  <c:v>31470.025000000001</c:v>
                </c:pt>
                <c:pt idx="17">
                  <c:v>31161.184999999998</c:v>
                </c:pt>
                <c:pt idx="18">
                  <c:v>31784.445</c:v>
                </c:pt>
                <c:pt idx="19">
                  <c:v>32330.63</c:v>
                </c:pt>
                <c:pt idx="20">
                  <c:v>33370.205000000002</c:v>
                </c:pt>
                <c:pt idx="21">
                  <c:v>33649.68</c:v>
                </c:pt>
                <c:pt idx="22">
                  <c:v>34390.550000000003</c:v>
                </c:pt>
                <c:pt idx="23">
                  <c:v>35060.425000000003</c:v>
                </c:pt>
                <c:pt idx="24">
                  <c:v>35321.544999999998</c:v>
                </c:pt>
                <c:pt idx="25">
                  <c:v>34869.084999999999</c:v>
                </c:pt>
                <c:pt idx="26">
                  <c:v>34749.365000000005</c:v>
                </c:pt>
                <c:pt idx="27">
                  <c:v>34217.119999999995</c:v>
                </c:pt>
                <c:pt idx="28">
                  <c:v>34651.399999999994</c:v>
                </c:pt>
                <c:pt idx="29">
                  <c:v>34633.524999999994</c:v>
                </c:pt>
                <c:pt idx="30">
                  <c:v>35402.485000000001</c:v>
                </c:pt>
                <c:pt idx="31">
                  <c:v>35556.824999999997</c:v>
                </c:pt>
                <c:pt idx="32">
                  <c:v>36010.71</c:v>
                </c:pt>
                <c:pt idx="33">
                  <c:v>36435.434999999998</c:v>
                </c:pt>
                <c:pt idx="34">
                  <c:v>37231.79</c:v>
                </c:pt>
                <c:pt idx="35">
                  <c:v>37307.69</c:v>
                </c:pt>
                <c:pt idx="36">
                  <c:v>36741.72</c:v>
                </c:pt>
                <c:pt idx="37">
                  <c:v>36150.604999999996</c:v>
                </c:pt>
                <c:pt idx="38">
                  <c:v>38026.050000000003</c:v>
                </c:pt>
                <c:pt idx="39">
                  <c:v>36228.885000000002</c:v>
                </c:pt>
                <c:pt idx="40">
                  <c:v>37326.339999999997</c:v>
                </c:pt>
                <c:pt idx="41">
                  <c:v>36578.83</c:v>
                </c:pt>
                <c:pt idx="42">
                  <c:v>37371.214999999997</c:v>
                </c:pt>
                <c:pt idx="43">
                  <c:v>37812.94</c:v>
                </c:pt>
                <c:pt idx="44">
                  <c:v>38081.755000000005</c:v>
                </c:pt>
                <c:pt idx="45">
                  <c:v>38537.42</c:v>
                </c:pt>
                <c:pt idx="46">
                  <c:v>38555.22</c:v>
                </c:pt>
                <c:pt idx="47">
                  <c:v>37939.195</c:v>
                </c:pt>
                <c:pt idx="48">
                  <c:v>37000.61</c:v>
                </c:pt>
                <c:pt idx="49">
                  <c:v>36885.69</c:v>
                </c:pt>
                <c:pt idx="50">
                  <c:v>36631.455000000002</c:v>
                </c:pt>
                <c:pt idx="51">
                  <c:v>36881.425000000003</c:v>
                </c:pt>
                <c:pt idx="52">
                  <c:v>36675.324999999997</c:v>
                </c:pt>
                <c:pt idx="53">
                  <c:v>37859.599999999999</c:v>
                </c:pt>
                <c:pt idx="54">
                  <c:v>38639.339999999997</c:v>
                </c:pt>
                <c:pt idx="55">
                  <c:v>38118.095000000001</c:v>
                </c:pt>
                <c:pt idx="56">
                  <c:v>38031.785000000003</c:v>
                </c:pt>
                <c:pt idx="57">
                  <c:v>38303.055</c:v>
                </c:pt>
              </c:numCache>
            </c:numRef>
          </c:xVal>
          <c:yVal>
            <c:numRef>
              <c:f>'АД Y от Х3'!$B$25:$B$82</c:f>
              <c:numCache>
                <c:formatCode>General</c:formatCode>
                <c:ptCount val="58"/>
                <c:pt idx="0">
                  <c:v>110.0744364389942</c:v>
                </c:pt>
                <c:pt idx="1">
                  <c:v>108.99583717552791</c:v>
                </c:pt>
                <c:pt idx="2">
                  <c:v>105.38507045583211</c:v>
                </c:pt>
                <c:pt idx="3">
                  <c:v>97.222312774017496</c:v>
                </c:pt>
                <c:pt idx="4">
                  <c:v>101.82409325307856</c:v>
                </c:pt>
                <c:pt idx="5">
                  <c:v>98.143359316209299</c:v>
                </c:pt>
                <c:pt idx="6">
                  <c:v>102.0536369136736</c:v>
                </c:pt>
                <c:pt idx="7">
                  <c:v>98.48914795778245</c:v>
                </c:pt>
                <c:pt idx="8">
                  <c:v>102.37051311310125</c:v>
                </c:pt>
                <c:pt idx="9">
                  <c:v>105.59171331948329</c:v>
                </c:pt>
                <c:pt idx="10">
                  <c:v>111.14724726190742</c:v>
                </c:pt>
                <c:pt idx="11">
                  <c:v>116.447152360473</c:v>
                </c:pt>
                <c:pt idx="12">
                  <c:v>118.16082837037618</c:v>
                </c:pt>
                <c:pt idx="13">
                  <c:v>117.41193213347567</c:v>
                </c:pt>
                <c:pt idx="14">
                  <c:v>114.86431891556478</c:v>
                </c:pt>
                <c:pt idx="15">
                  <c:v>112.61484758691108</c:v>
                </c:pt>
                <c:pt idx="16">
                  <c:v>112.38610746305092</c:v>
                </c:pt>
                <c:pt idx="17">
                  <c:v>111.46698048083685</c:v>
                </c:pt>
                <c:pt idx="18">
                  <c:v>113.32184087111899</c:v>
                </c:pt>
                <c:pt idx="19">
                  <c:v>114.94732128421505</c:v>
                </c:pt>
                <c:pt idx="20">
                  <c:v>118.04116091811991</c:v>
                </c:pt>
                <c:pt idx="21">
                  <c:v>118.87289584026171</c:v>
                </c:pt>
                <c:pt idx="22">
                  <c:v>121.07777088013002</c:v>
                </c:pt>
                <c:pt idx="23">
                  <c:v>123.07136039965677</c:v>
                </c:pt>
                <c:pt idx="24">
                  <c:v>123.84846970413719</c:v>
                </c:pt>
                <c:pt idx="25">
                  <c:v>122.50192070021097</c:v>
                </c:pt>
                <c:pt idx="26">
                  <c:v>122.14562655984489</c:v>
                </c:pt>
                <c:pt idx="27">
                  <c:v>120.56163245076404</c:v>
                </c:pt>
                <c:pt idx="28">
                  <c:v>121.85407664787554</c:v>
                </c:pt>
                <c:pt idx="29">
                  <c:v>121.80087953996505</c:v>
                </c:pt>
                <c:pt idx="30">
                  <c:v>124.08935216087986</c:v>
                </c:pt>
                <c:pt idx="31">
                  <c:v>124.54867756702839</c:v>
                </c:pt>
                <c:pt idx="32">
                  <c:v>125.89946745927755</c:v>
                </c:pt>
                <c:pt idx="33">
                  <c:v>127.16347538416055</c:v>
                </c:pt>
                <c:pt idx="34">
                  <c:v>129.533477223045</c:v>
                </c:pt>
                <c:pt idx="35">
                  <c:v>129.75936032740341</c:v>
                </c:pt>
                <c:pt idx="36">
                  <c:v>128.07499852801314</c:v>
                </c:pt>
                <c:pt idx="37">
                  <c:v>126.31580365011045</c:v>
                </c:pt>
                <c:pt idx="38">
                  <c:v>131.89724421207927</c:v>
                </c:pt>
                <c:pt idx="39">
                  <c:v>126.54876978198367</c:v>
                </c:pt>
                <c:pt idx="40">
                  <c:v>129.81486388334918</c:v>
                </c:pt>
                <c:pt idx="41">
                  <c:v>127.59022779192699</c:v>
                </c:pt>
                <c:pt idx="42">
                  <c:v>129.94841466474685</c:v>
                </c:pt>
                <c:pt idx="43">
                  <c:v>131.26301564330697</c:v>
                </c:pt>
                <c:pt idx="44">
                  <c:v>132.06302574473125</c:v>
                </c:pt>
                <c:pt idx="45">
                  <c:v>133.41911302730654</c:v>
                </c:pt>
                <c:pt idx="46">
                  <c:v>133.47208693056848</c:v>
                </c:pt>
                <c:pt idx="47">
                  <c:v>131.63875834871891</c:v>
                </c:pt>
                <c:pt idx="48">
                  <c:v>128.8454712142759</c:v>
                </c:pt>
                <c:pt idx="49">
                  <c:v>128.50346217141865</c:v>
                </c:pt>
                <c:pt idx="50">
                  <c:v>127.74684305367745</c:v>
                </c:pt>
                <c:pt idx="51">
                  <c:v>128.49076926706965</c:v>
                </c:pt>
                <c:pt idx="52">
                  <c:v>127.8774028927842</c:v>
                </c:pt>
                <c:pt idx="53">
                  <c:v>131.40187869534071</c:v>
                </c:pt>
                <c:pt idx="54">
                  <c:v>133.72243326441074</c:v>
                </c:pt>
                <c:pt idx="55">
                  <c:v>132.17117583712098</c:v>
                </c:pt>
                <c:pt idx="56">
                  <c:v>131.91431192754033</c:v>
                </c:pt>
                <c:pt idx="57">
                  <c:v>132.72162826112796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250-4BAE-9CB6-EAB09588E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37152"/>
        <c:axId val="542339872"/>
      </c:scatterChart>
      <c:valAx>
        <c:axId val="54233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39872"/>
        <c:crosses val="autoZero"/>
        <c:crossBetween val="midCat"/>
      </c:valAx>
      <c:valAx>
        <c:axId val="542339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37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Y от Х3'!$F$25:$F$82</c:f>
              <c:numCache>
                <c:formatCode>General</c:formatCode>
                <c:ptCount val="58"/>
                <c:pt idx="0">
                  <c:v>0.86206896551724133</c:v>
                </c:pt>
                <c:pt idx="1">
                  <c:v>2.5862068965517242</c:v>
                </c:pt>
                <c:pt idx="2">
                  <c:v>4.3103448275862064</c:v>
                </c:pt>
                <c:pt idx="3">
                  <c:v>6.0344827586206895</c:v>
                </c:pt>
                <c:pt idx="4">
                  <c:v>7.7586206896551717</c:v>
                </c:pt>
                <c:pt idx="5">
                  <c:v>9.4827586206896548</c:v>
                </c:pt>
                <c:pt idx="6">
                  <c:v>11.206896551724139</c:v>
                </c:pt>
                <c:pt idx="7">
                  <c:v>12.931034482758621</c:v>
                </c:pt>
                <c:pt idx="8">
                  <c:v>14.655172413793103</c:v>
                </c:pt>
                <c:pt idx="9">
                  <c:v>16.379310344827584</c:v>
                </c:pt>
                <c:pt idx="10">
                  <c:v>18.103448275862068</c:v>
                </c:pt>
                <c:pt idx="11">
                  <c:v>19.827586206896552</c:v>
                </c:pt>
                <c:pt idx="12">
                  <c:v>21.551724137931036</c:v>
                </c:pt>
                <c:pt idx="13">
                  <c:v>23.275862068965516</c:v>
                </c:pt>
                <c:pt idx="14">
                  <c:v>25</c:v>
                </c:pt>
                <c:pt idx="15">
                  <c:v>26.72413793103448</c:v>
                </c:pt>
                <c:pt idx="16">
                  <c:v>28.448275862068964</c:v>
                </c:pt>
                <c:pt idx="17">
                  <c:v>30.172413793103448</c:v>
                </c:pt>
                <c:pt idx="18">
                  <c:v>31.896551724137929</c:v>
                </c:pt>
                <c:pt idx="19">
                  <c:v>33.620689655172406</c:v>
                </c:pt>
                <c:pt idx="20">
                  <c:v>35.34482758620689</c:v>
                </c:pt>
                <c:pt idx="21">
                  <c:v>37.068965517241374</c:v>
                </c:pt>
                <c:pt idx="22">
                  <c:v>38.793103448275858</c:v>
                </c:pt>
                <c:pt idx="23">
                  <c:v>40.517241379310342</c:v>
                </c:pt>
                <c:pt idx="24">
                  <c:v>42.241379310344826</c:v>
                </c:pt>
                <c:pt idx="25">
                  <c:v>43.965517241379303</c:v>
                </c:pt>
                <c:pt idx="26">
                  <c:v>45.689655172413786</c:v>
                </c:pt>
                <c:pt idx="27">
                  <c:v>47.41379310344827</c:v>
                </c:pt>
                <c:pt idx="28">
                  <c:v>49.137931034482754</c:v>
                </c:pt>
                <c:pt idx="29">
                  <c:v>50.862068965517238</c:v>
                </c:pt>
                <c:pt idx="30">
                  <c:v>52.586206896551715</c:v>
                </c:pt>
                <c:pt idx="31">
                  <c:v>54.310344827586199</c:v>
                </c:pt>
                <c:pt idx="32">
                  <c:v>56.034482758620683</c:v>
                </c:pt>
                <c:pt idx="33">
                  <c:v>57.758620689655167</c:v>
                </c:pt>
                <c:pt idx="34">
                  <c:v>59.482758620689651</c:v>
                </c:pt>
                <c:pt idx="35">
                  <c:v>61.206896551724128</c:v>
                </c:pt>
                <c:pt idx="36">
                  <c:v>62.931034482758612</c:v>
                </c:pt>
                <c:pt idx="37">
                  <c:v>64.655172413793096</c:v>
                </c:pt>
                <c:pt idx="38">
                  <c:v>66.379310344827573</c:v>
                </c:pt>
                <c:pt idx="39">
                  <c:v>68.103448275862064</c:v>
                </c:pt>
                <c:pt idx="40">
                  <c:v>69.827586206896541</c:v>
                </c:pt>
                <c:pt idx="41">
                  <c:v>71.551724137931032</c:v>
                </c:pt>
                <c:pt idx="42">
                  <c:v>73.275862068965509</c:v>
                </c:pt>
                <c:pt idx="43">
                  <c:v>74.999999999999986</c:v>
                </c:pt>
                <c:pt idx="44">
                  <c:v>76.724137931034477</c:v>
                </c:pt>
                <c:pt idx="45">
                  <c:v>78.448275862068954</c:v>
                </c:pt>
                <c:pt idx="46">
                  <c:v>80.172413793103445</c:v>
                </c:pt>
                <c:pt idx="47">
                  <c:v>81.896551724137922</c:v>
                </c:pt>
                <c:pt idx="48">
                  <c:v>83.620689655172413</c:v>
                </c:pt>
                <c:pt idx="49">
                  <c:v>85.34482758620689</c:v>
                </c:pt>
                <c:pt idx="50">
                  <c:v>87.068965517241367</c:v>
                </c:pt>
                <c:pt idx="51">
                  <c:v>88.793103448275858</c:v>
                </c:pt>
                <c:pt idx="52">
                  <c:v>90.517241379310335</c:v>
                </c:pt>
                <c:pt idx="53">
                  <c:v>92.241379310344826</c:v>
                </c:pt>
                <c:pt idx="54">
                  <c:v>93.965517241379303</c:v>
                </c:pt>
                <c:pt idx="55">
                  <c:v>95.689655172413779</c:v>
                </c:pt>
                <c:pt idx="56">
                  <c:v>97.41379310344827</c:v>
                </c:pt>
                <c:pt idx="57">
                  <c:v>99.137931034482747</c:v>
                </c:pt>
              </c:numCache>
            </c:numRef>
          </c:xVal>
          <c:yVal>
            <c:numRef>
              <c:f>'АД Y от Х3'!$G$25:$G$82</c:f>
              <c:numCache>
                <c:formatCode>General</c:formatCode>
                <c:ptCount val="58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102.32</c:v>
                </c:pt>
                <c:pt idx="4">
                  <c:v>102.55</c:v>
                </c:pt>
                <c:pt idx="5">
                  <c:v>104.35</c:v>
                </c:pt>
                <c:pt idx="6">
                  <c:v>106.49</c:v>
                </c:pt>
                <c:pt idx="7">
                  <c:v>106.57</c:v>
                </c:pt>
                <c:pt idx="8">
                  <c:v>106.61</c:v>
                </c:pt>
                <c:pt idx="9">
                  <c:v>107.03</c:v>
                </c:pt>
                <c:pt idx="10">
                  <c:v>107.04</c:v>
                </c:pt>
                <c:pt idx="11">
                  <c:v>107.47</c:v>
                </c:pt>
                <c:pt idx="12">
                  <c:v>107.57</c:v>
                </c:pt>
                <c:pt idx="13">
                  <c:v>107.8</c:v>
                </c:pt>
                <c:pt idx="14">
                  <c:v>108.19</c:v>
                </c:pt>
                <c:pt idx="15">
                  <c:v>108.36</c:v>
                </c:pt>
                <c:pt idx="16">
                  <c:v>108.49</c:v>
                </c:pt>
                <c:pt idx="17">
                  <c:v>108.86</c:v>
                </c:pt>
                <c:pt idx="18">
                  <c:v>109.5</c:v>
                </c:pt>
                <c:pt idx="19">
                  <c:v>109.76</c:v>
                </c:pt>
                <c:pt idx="20">
                  <c:v>111.35</c:v>
                </c:pt>
                <c:pt idx="21">
                  <c:v>111.39</c:v>
                </c:pt>
                <c:pt idx="22">
                  <c:v>111.96</c:v>
                </c:pt>
                <c:pt idx="23">
                  <c:v>113.35</c:v>
                </c:pt>
                <c:pt idx="24">
                  <c:v>115.27</c:v>
                </c:pt>
                <c:pt idx="25">
                  <c:v>115.88</c:v>
                </c:pt>
                <c:pt idx="26">
                  <c:v>117.17</c:v>
                </c:pt>
                <c:pt idx="27">
                  <c:v>117.26</c:v>
                </c:pt>
                <c:pt idx="28">
                  <c:v>117.54</c:v>
                </c:pt>
                <c:pt idx="29">
                  <c:v>117.61</c:v>
                </c:pt>
                <c:pt idx="30">
                  <c:v>122.58</c:v>
                </c:pt>
                <c:pt idx="31">
                  <c:v>128.16</c:v>
                </c:pt>
                <c:pt idx="32">
                  <c:v>128.94</c:v>
                </c:pt>
                <c:pt idx="33">
                  <c:v>129.16</c:v>
                </c:pt>
                <c:pt idx="34">
                  <c:v>129.30000000000001</c:v>
                </c:pt>
                <c:pt idx="35">
                  <c:v>130.28</c:v>
                </c:pt>
                <c:pt idx="36">
                  <c:v>130.59</c:v>
                </c:pt>
                <c:pt idx="37">
                  <c:v>131.22</c:v>
                </c:pt>
                <c:pt idx="38">
                  <c:v>132.01</c:v>
                </c:pt>
                <c:pt idx="39">
                  <c:v>132.52000000000001</c:v>
                </c:pt>
                <c:pt idx="40">
                  <c:v>132.86000000000001</c:v>
                </c:pt>
                <c:pt idx="41">
                  <c:v>133.72999999999999</c:v>
                </c:pt>
                <c:pt idx="42">
                  <c:v>134.25</c:v>
                </c:pt>
                <c:pt idx="43">
                  <c:v>134.27000000000001</c:v>
                </c:pt>
                <c:pt idx="44">
                  <c:v>134.38999999999999</c:v>
                </c:pt>
                <c:pt idx="45">
                  <c:v>134.46</c:v>
                </c:pt>
                <c:pt idx="46">
                  <c:v>134.51</c:v>
                </c:pt>
                <c:pt idx="47">
                  <c:v>134.72999999999999</c:v>
                </c:pt>
                <c:pt idx="48">
                  <c:v>134.91999999999999</c:v>
                </c:pt>
                <c:pt idx="49">
                  <c:v>135.22</c:v>
                </c:pt>
                <c:pt idx="50">
                  <c:v>135.69999999999999</c:v>
                </c:pt>
                <c:pt idx="51">
                  <c:v>136.06</c:v>
                </c:pt>
                <c:pt idx="52">
                  <c:v>136.12</c:v>
                </c:pt>
                <c:pt idx="53">
                  <c:v>136.13999999999999</c:v>
                </c:pt>
                <c:pt idx="54">
                  <c:v>137.5</c:v>
                </c:pt>
                <c:pt idx="55">
                  <c:v>139.1</c:v>
                </c:pt>
                <c:pt idx="56">
                  <c:v>140.09</c:v>
                </c:pt>
                <c:pt idx="57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45-4B05-98E8-7D649A01F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35520"/>
        <c:axId val="542334976"/>
      </c:scatterChart>
      <c:valAx>
        <c:axId val="54233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34976"/>
        <c:crosses val="autoZero"/>
        <c:crossBetween val="midCat"/>
      </c:valAx>
      <c:valAx>
        <c:axId val="542334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35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Х2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Х2'!$C$3:$C$60</c:f>
              <c:numCache>
                <c:formatCode>General</c:formatCode>
                <c:ptCount val="58"/>
                <c:pt idx="0">
                  <c:v>495852.6</c:v>
                </c:pt>
                <c:pt idx="1">
                  <c:v>494356.21</c:v>
                </c:pt>
                <c:pt idx="2">
                  <c:v>493826.35</c:v>
                </c:pt>
                <c:pt idx="3">
                  <c:v>491922.49</c:v>
                </c:pt>
                <c:pt idx="4">
                  <c:v>494987.4</c:v>
                </c:pt>
                <c:pt idx="5">
                  <c:v>499933.2</c:v>
                </c:pt>
                <c:pt idx="6">
                  <c:v>504654.29</c:v>
                </c:pt>
                <c:pt idx="7">
                  <c:v>502246.32</c:v>
                </c:pt>
                <c:pt idx="8">
                  <c:v>507284.61</c:v>
                </c:pt>
                <c:pt idx="9">
                  <c:v>511264.1</c:v>
                </c:pt>
                <c:pt idx="10">
                  <c:v>507893.75</c:v>
                </c:pt>
                <c:pt idx="11">
                  <c:v>503968.92</c:v>
                </c:pt>
                <c:pt idx="12">
                  <c:v>494578.49</c:v>
                </c:pt>
                <c:pt idx="13">
                  <c:v>497892.4</c:v>
                </c:pt>
                <c:pt idx="14">
                  <c:v>502643.15</c:v>
                </c:pt>
                <c:pt idx="15">
                  <c:v>505356.49</c:v>
                </c:pt>
                <c:pt idx="16">
                  <c:v>505894.26</c:v>
                </c:pt>
                <c:pt idx="17">
                  <c:v>509487.6</c:v>
                </c:pt>
                <c:pt idx="18">
                  <c:v>515679.9</c:v>
                </c:pt>
                <c:pt idx="19">
                  <c:v>516214.74</c:v>
                </c:pt>
                <c:pt idx="20">
                  <c:v>514256.13</c:v>
                </c:pt>
                <c:pt idx="21">
                  <c:v>512965.3</c:v>
                </c:pt>
                <c:pt idx="22">
                  <c:v>519654.25</c:v>
                </c:pt>
                <c:pt idx="23">
                  <c:v>523874.3</c:v>
                </c:pt>
                <c:pt idx="24">
                  <c:v>527326</c:v>
                </c:pt>
                <c:pt idx="25">
                  <c:v>521835.7</c:v>
                </c:pt>
                <c:pt idx="26">
                  <c:v>515389</c:v>
                </c:pt>
                <c:pt idx="27">
                  <c:v>510620.8</c:v>
                </c:pt>
                <c:pt idx="28">
                  <c:v>518659</c:v>
                </c:pt>
                <c:pt idx="29">
                  <c:v>529324.68000000005</c:v>
                </c:pt>
                <c:pt idx="30">
                  <c:v>537441.18999999994</c:v>
                </c:pt>
                <c:pt idx="31">
                  <c:v>542365.21</c:v>
                </c:pt>
                <c:pt idx="32">
                  <c:v>545986.31999999995</c:v>
                </c:pt>
                <c:pt idx="33">
                  <c:v>547324.80000000005</c:v>
                </c:pt>
                <c:pt idx="34">
                  <c:v>545895.19999999995</c:v>
                </c:pt>
                <c:pt idx="35">
                  <c:v>548956.56000000006</c:v>
                </c:pt>
                <c:pt idx="36">
                  <c:v>547195.30000000005</c:v>
                </c:pt>
                <c:pt idx="37">
                  <c:v>546512.30000000005</c:v>
                </c:pt>
                <c:pt idx="38">
                  <c:v>544625</c:v>
                </c:pt>
                <c:pt idx="39">
                  <c:v>545049.80000000005</c:v>
                </c:pt>
                <c:pt idx="40">
                  <c:v>547123.1</c:v>
                </c:pt>
                <c:pt idx="41">
                  <c:v>545156.30000000005</c:v>
                </c:pt>
                <c:pt idx="42">
                  <c:v>545049.80000000005</c:v>
                </c:pt>
                <c:pt idx="43">
                  <c:v>551483.6</c:v>
                </c:pt>
                <c:pt idx="44">
                  <c:v>559456.31999999995</c:v>
                </c:pt>
                <c:pt idx="45">
                  <c:v>569744.39</c:v>
                </c:pt>
                <c:pt idx="46">
                  <c:v>562321.17000000004</c:v>
                </c:pt>
                <c:pt idx="47">
                  <c:v>557562.30000000005</c:v>
                </c:pt>
                <c:pt idx="48">
                  <c:v>553010.49</c:v>
                </c:pt>
                <c:pt idx="49">
                  <c:v>554289.6</c:v>
                </c:pt>
                <c:pt idx="50">
                  <c:v>552386.15</c:v>
                </c:pt>
                <c:pt idx="51">
                  <c:v>551803.18999999994</c:v>
                </c:pt>
                <c:pt idx="52">
                  <c:v>556821.30000000005</c:v>
                </c:pt>
                <c:pt idx="53">
                  <c:v>557458.36</c:v>
                </c:pt>
                <c:pt idx="54">
                  <c:v>559287.59</c:v>
                </c:pt>
                <c:pt idx="55">
                  <c:v>564587.19999999995</c:v>
                </c:pt>
                <c:pt idx="56">
                  <c:v>566745.39</c:v>
                </c:pt>
                <c:pt idx="57">
                  <c:v>570205.5</c:v>
                </c:pt>
              </c:numCache>
            </c:numRef>
          </c:xVal>
          <c:yVal>
            <c:numRef>
              <c:f>'АД Y от Х2'!$C$25:$C$82</c:f>
              <c:numCache>
                <c:formatCode>General</c:formatCode>
                <c:ptCount val="58"/>
                <c:pt idx="0">
                  <c:v>-2.4447506814437361</c:v>
                </c:pt>
                <c:pt idx="1">
                  <c:v>-1.8418247635669474</c:v>
                </c:pt>
                <c:pt idx="2">
                  <c:v>-1.6393832698078086</c:v>
                </c:pt>
                <c:pt idx="3">
                  <c:v>-0.83232619377218953</c:v>
                </c:pt>
                <c:pt idx="4">
                  <c:v>-1.8025429654425835</c:v>
                </c:pt>
                <c:pt idx="5">
                  <c:v>-2.3588732033051087</c:v>
                </c:pt>
                <c:pt idx="6">
                  <c:v>-1.3881447312016064</c:v>
                </c:pt>
                <c:pt idx="7">
                  <c:v>4.1490857518073909</c:v>
                </c:pt>
                <c:pt idx="8">
                  <c:v>5.0586904519326623</c:v>
                </c:pt>
                <c:pt idx="9">
                  <c:v>5.0627398234657477</c:v>
                </c:pt>
                <c:pt idx="10">
                  <c:v>7.1084775437900731</c:v>
                </c:pt>
                <c:pt idx="11">
                  <c:v>8.6283864781323558</c:v>
                </c:pt>
                <c:pt idx="12">
                  <c:v>11.722274252715152</c:v>
                </c:pt>
                <c:pt idx="13">
                  <c:v>7.6134262729029558</c:v>
                </c:pt>
                <c:pt idx="14">
                  <c:v>3.3900238147515012</c:v>
                </c:pt>
                <c:pt idx="15">
                  <c:v>0.46730573322740554</c:v>
                </c:pt>
                <c:pt idx="16">
                  <c:v>-4.8904326220082339E-2</c:v>
                </c:pt>
                <c:pt idx="17">
                  <c:v>-2.4008812959562107</c:v>
                </c:pt>
                <c:pt idx="18">
                  <c:v>-5.7210822203600316</c:v>
                </c:pt>
                <c:pt idx="19">
                  <c:v>-6.1058963382819655</c:v>
                </c:pt>
                <c:pt idx="20">
                  <c:v>-5.3427546893717874</c:v>
                </c:pt>
                <c:pt idx="21">
                  <c:v>-5.1177638363368629</c:v>
                </c:pt>
                <c:pt idx="22">
                  <c:v>-8.6345839957753299</c:v>
                </c:pt>
                <c:pt idx="23">
                  <c:v>-11.085144758501627</c:v>
                </c:pt>
                <c:pt idx="24">
                  <c:v>-13.149640104457845</c:v>
                </c:pt>
                <c:pt idx="25">
                  <c:v>-10.573893429514129</c:v>
                </c:pt>
                <c:pt idx="26">
                  <c:v>-7.5824885719726609</c:v>
                </c:pt>
                <c:pt idx="27">
                  <c:v>-4.7607724006401639</c:v>
                </c:pt>
                <c:pt idx="28">
                  <c:v>-4.2804164861241816</c:v>
                </c:pt>
                <c:pt idx="29">
                  <c:v>-3.1718723256983452</c:v>
                </c:pt>
                <c:pt idx="30">
                  <c:v>-1.9988256879275781</c:v>
                </c:pt>
                <c:pt idx="31">
                  <c:v>1.2352207316930901</c:v>
                </c:pt>
                <c:pt idx="32">
                  <c:v>4.2100132854505432</c:v>
                </c:pt>
                <c:pt idx="33">
                  <c:v>5.6323205164800072</c:v>
                </c:pt>
                <c:pt idx="34">
                  <c:v>7.0934256376026497</c:v>
                </c:pt>
                <c:pt idx="35">
                  <c:v>6.0749001944017209</c:v>
                </c:pt>
                <c:pt idx="36">
                  <c:v>10.924018273324833</c:v>
                </c:pt>
                <c:pt idx="37">
                  <c:v>11.189420342243949</c:v>
                </c:pt>
                <c:pt idx="38">
                  <c:v>11.098587728292301</c:v>
                </c:pt>
                <c:pt idx="39">
                  <c:v>9.2962000286190118</c:v>
                </c:pt>
                <c:pt idx="40">
                  <c:v>6.9284165593804232</c:v>
                </c:pt>
                <c:pt idx="41">
                  <c:v>6.9654601745342859</c:v>
                </c:pt>
                <c:pt idx="42">
                  <c:v>6.5262000286190016</c:v>
                </c:pt>
                <c:pt idx="43">
                  <c:v>3.1209411252343671</c:v>
                </c:pt>
                <c:pt idx="44">
                  <c:v>-0.55750628752218745</c:v>
                </c:pt>
                <c:pt idx="45">
                  <c:v>-5.509057185303476</c:v>
                </c:pt>
                <c:pt idx="46">
                  <c:v>-2.1624083624020329</c:v>
                </c:pt>
                <c:pt idx="47">
                  <c:v>-0.43513728814573938</c:v>
                </c:pt>
                <c:pt idx="48">
                  <c:v>1.348407543656549E-2</c:v>
                </c:pt>
                <c:pt idx="49">
                  <c:v>-2.0159230114962554</c:v>
                </c:pt>
                <c:pt idx="50">
                  <c:v>-1.419061271988113</c:v>
                </c:pt>
                <c:pt idx="51">
                  <c:v>-2.2613213157697771</c:v>
                </c:pt>
                <c:pt idx="52">
                  <c:v>-4.8721022470489856</c:v>
                </c:pt>
                <c:pt idx="53">
                  <c:v>-4.8156170962811871</c:v>
                </c:pt>
                <c:pt idx="54">
                  <c:v>-3.7671181600130978</c:v>
                </c:pt>
                <c:pt idx="55">
                  <c:v>-4.9920142924646314</c:v>
                </c:pt>
                <c:pt idx="56">
                  <c:v>-4.2902419514990697</c:v>
                </c:pt>
                <c:pt idx="57">
                  <c:v>-4.1287440784210503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584-4DF2-A34E-E38CCAF7C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42048"/>
        <c:axId val="542351840"/>
      </c:scatterChart>
      <c:valAx>
        <c:axId val="54234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51840"/>
        <c:crosses val="autoZero"/>
        <c:crossBetween val="midCat"/>
      </c:valAx>
      <c:valAx>
        <c:axId val="542351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42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Х2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Х2'!$C$3:$C$60</c:f>
              <c:numCache>
                <c:formatCode>General</c:formatCode>
                <c:ptCount val="58"/>
                <c:pt idx="0">
                  <c:v>495852.6</c:v>
                </c:pt>
                <c:pt idx="1">
                  <c:v>494356.21</c:v>
                </c:pt>
                <c:pt idx="2">
                  <c:v>493826.35</c:v>
                </c:pt>
                <c:pt idx="3">
                  <c:v>491922.49</c:v>
                </c:pt>
                <c:pt idx="4">
                  <c:v>494987.4</c:v>
                </c:pt>
                <c:pt idx="5">
                  <c:v>499933.2</c:v>
                </c:pt>
                <c:pt idx="6">
                  <c:v>504654.29</c:v>
                </c:pt>
                <c:pt idx="7">
                  <c:v>502246.32</c:v>
                </c:pt>
                <c:pt idx="8">
                  <c:v>507284.61</c:v>
                </c:pt>
                <c:pt idx="9">
                  <c:v>511264.1</c:v>
                </c:pt>
                <c:pt idx="10">
                  <c:v>507893.75</c:v>
                </c:pt>
                <c:pt idx="11">
                  <c:v>503968.92</c:v>
                </c:pt>
                <c:pt idx="12">
                  <c:v>494578.49</c:v>
                </c:pt>
                <c:pt idx="13">
                  <c:v>497892.4</c:v>
                </c:pt>
                <c:pt idx="14">
                  <c:v>502643.15</c:v>
                </c:pt>
                <c:pt idx="15">
                  <c:v>505356.49</c:v>
                </c:pt>
                <c:pt idx="16">
                  <c:v>505894.26</c:v>
                </c:pt>
                <c:pt idx="17">
                  <c:v>509487.6</c:v>
                </c:pt>
                <c:pt idx="18">
                  <c:v>515679.9</c:v>
                </c:pt>
                <c:pt idx="19">
                  <c:v>516214.74</c:v>
                </c:pt>
                <c:pt idx="20">
                  <c:v>514256.13</c:v>
                </c:pt>
                <c:pt idx="21">
                  <c:v>512965.3</c:v>
                </c:pt>
                <c:pt idx="22">
                  <c:v>519654.25</c:v>
                </c:pt>
                <c:pt idx="23">
                  <c:v>523874.3</c:v>
                </c:pt>
                <c:pt idx="24">
                  <c:v>527326</c:v>
                </c:pt>
                <c:pt idx="25">
                  <c:v>521835.7</c:v>
                </c:pt>
                <c:pt idx="26">
                  <c:v>515389</c:v>
                </c:pt>
                <c:pt idx="27">
                  <c:v>510620.8</c:v>
                </c:pt>
                <c:pt idx="28">
                  <c:v>518659</c:v>
                </c:pt>
                <c:pt idx="29">
                  <c:v>529324.68000000005</c:v>
                </c:pt>
                <c:pt idx="30">
                  <c:v>537441.18999999994</c:v>
                </c:pt>
                <c:pt idx="31">
                  <c:v>542365.21</c:v>
                </c:pt>
                <c:pt idx="32">
                  <c:v>545986.31999999995</c:v>
                </c:pt>
                <c:pt idx="33">
                  <c:v>547324.80000000005</c:v>
                </c:pt>
                <c:pt idx="34">
                  <c:v>545895.19999999995</c:v>
                </c:pt>
                <c:pt idx="35">
                  <c:v>548956.56000000006</c:v>
                </c:pt>
                <c:pt idx="36">
                  <c:v>547195.30000000005</c:v>
                </c:pt>
                <c:pt idx="37">
                  <c:v>546512.30000000005</c:v>
                </c:pt>
                <c:pt idx="38">
                  <c:v>544625</c:v>
                </c:pt>
                <c:pt idx="39">
                  <c:v>545049.80000000005</c:v>
                </c:pt>
                <c:pt idx="40">
                  <c:v>547123.1</c:v>
                </c:pt>
                <c:pt idx="41">
                  <c:v>545156.30000000005</c:v>
                </c:pt>
                <c:pt idx="42">
                  <c:v>545049.80000000005</c:v>
                </c:pt>
                <c:pt idx="43">
                  <c:v>551483.6</c:v>
                </c:pt>
                <c:pt idx="44">
                  <c:v>559456.31999999995</c:v>
                </c:pt>
                <c:pt idx="45">
                  <c:v>569744.39</c:v>
                </c:pt>
                <c:pt idx="46">
                  <c:v>562321.17000000004</c:v>
                </c:pt>
                <c:pt idx="47">
                  <c:v>557562.30000000005</c:v>
                </c:pt>
                <c:pt idx="48">
                  <c:v>553010.49</c:v>
                </c:pt>
                <c:pt idx="49">
                  <c:v>554289.6</c:v>
                </c:pt>
                <c:pt idx="50">
                  <c:v>552386.15</c:v>
                </c:pt>
                <c:pt idx="51">
                  <c:v>551803.18999999994</c:v>
                </c:pt>
                <c:pt idx="52">
                  <c:v>556821.30000000005</c:v>
                </c:pt>
                <c:pt idx="53">
                  <c:v>557458.36</c:v>
                </c:pt>
                <c:pt idx="54">
                  <c:v>559287.59</c:v>
                </c:pt>
                <c:pt idx="55">
                  <c:v>564587.19999999995</c:v>
                </c:pt>
                <c:pt idx="56">
                  <c:v>566745.39</c:v>
                </c:pt>
                <c:pt idx="57">
                  <c:v>570205.5</c:v>
                </c:pt>
              </c:numCache>
            </c:numRef>
          </c:xVal>
          <c:yVal>
            <c:numRef>
              <c:f>'Y от Х2'!$B$3:$B$60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211-496F-B3ED-CC5610ADA84F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Х2'!$C$3:$C$60</c:f>
              <c:numCache>
                <c:formatCode>General</c:formatCode>
                <c:ptCount val="58"/>
                <c:pt idx="0">
                  <c:v>495852.6</c:v>
                </c:pt>
                <c:pt idx="1">
                  <c:v>494356.21</c:v>
                </c:pt>
                <c:pt idx="2">
                  <c:v>493826.35</c:v>
                </c:pt>
                <c:pt idx="3">
                  <c:v>491922.49</c:v>
                </c:pt>
                <c:pt idx="4">
                  <c:v>494987.4</c:v>
                </c:pt>
                <c:pt idx="5">
                  <c:v>499933.2</c:v>
                </c:pt>
                <c:pt idx="6">
                  <c:v>504654.29</c:v>
                </c:pt>
                <c:pt idx="7">
                  <c:v>502246.32</c:v>
                </c:pt>
                <c:pt idx="8">
                  <c:v>507284.61</c:v>
                </c:pt>
                <c:pt idx="9">
                  <c:v>511264.1</c:v>
                </c:pt>
                <c:pt idx="10">
                  <c:v>507893.75</c:v>
                </c:pt>
                <c:pt idx="11">
                  <c:v>503968.92</c:v>
                </c:pt>
                <c:pt idx="12">
                  <c:v>494578.49</c:v>
                </c:pt>
                <c:pt idx="13">
                  <c:v>497892.4</c:v>
                </c:pt>
                <c:pt idx="14">
                  <c:v>502643.15</c:v>
                </c:pt>
                <c:pt idx="15">
                  <c:v>505356.49</c:v>
                </c:pt>
                <c:pt idx="16">
                  <c:v>505894.26</c:v>
                </c:pt>
                <c:pt idx="17">
                  <c:v>509487.6</c:v>
                </c:pt>
                <c:pt idx="18">
                  <c:v>515679.9</c:v>
                </c:pt>
                <c:pt idx="19">
                  <c:v>516214.74</c:v>
                </c:pt>
                <c:pt idx="20">
                  <c:v>514256.13</c:v>
                </c:pt>
                <c:pt idx="21">
                  <c:v>512965.3</c:v>
                </c:pt>
                <c:pt idx="22">
                  <c:v>519654.25</c:v>
                </c:pt>
                <c:pt idx="23">
                  <c:v>523874.3</c:v>
                </c:pt>
                <c:pt idx="24">
                  <c:v>527326</c:v>
                </c:pt>
                <c:pt idx="25">
                  <c:v>521835.7</c:v>
                </c:pt>
                <c:pt idx="26">
                  <c:v>515389</c:v>
                </c:pt>
                <c:pt idx="27">
                  <c:v>510620.8</c:v>
                </c:pt>
                <c:pt idx="28">
                  <c:v>518659</c:v>
                </c:pt>
                <c:pt idx="29">
                  <c:v>529324.68000000005</c:v>
                </c:pt>
                <c:pt idx="30">
                  <c:v>537441.18999999994</c:v>
                </c:pt>
                <c:pt idx="31">
                  <c:v>542365.21</c:v>
                </c:pt>
                <c:pt idx="32">
                  <c:v>545986.31999999995</c:v>
                </c:pt>
                <c:pt idx="33">
                  <c:v>547324.80000000005</c:v>
                </c:pt>
                <c:pt idx="34">
                  <c:v>545895.19999999995</c:v>
                </c:pt>
                <c:pt idx="35">
                  <c:v>548956.56000000006</c:v>
                </c:pt>
                <c:pt idx="36">
                  <c:v>547195.30000000005</c:v>
                </c:pt>
                <c:pt idx="37">
                  <c:v>546512.30000000005</c:v>
                </c:pt>
                <c:pt idx="38">
                  <c:v>544625</c:v>
                </c:pt>
                <c:pt idx="39">
                  <c:v>545049.80000000005</c:v>
                </c:pt>
                <c:pt idx="40">
                  <c:v>547123.1</c:v>
                </c:pt>
                <c:pt idx="41">
                  <c:v>545156.30000000005</c:v>
                </c:pt>
                <c:pt idx="42">
                  <c:v>545049.80000000005</c:v>
                </c:pt>
                <c:pt idx="43">
                  <c:v>551483.6</c:v>
                </c:pt>
                <c:pt idx="44">
                  <c:v>559456.31999999995</c:v>
                </c:pt>
                <c:pt idx="45">
                  <c:v>569744.39</c:v>
                </c:pt>
                <c:pt idx="46">
                  <c:v>562321.17000000004</c:v>
                </c:pt>
                <c:pt idx="47">
                  <c:v>557562.30000000005</c:v>
                </c:pt>
                <c:pt idx="48">
                  <c:v>553010.49</c:v>
                </c:pt>
                <c:pt idx="49">
                  <c:v>554289.6</c:v>
                </c:pt>
                <c:pt idx="50">
                  <c:v>552386.15</c:v>
                </c:pt>
                <c:pt idx="51">
                  <c:v>551803.18999999994</c:v>
                </c:pt>
                <c:pt idx="52">
                  <c:v>556821.30000000005</c:v>
                </c:pt>
                <c:pt idx="53">
                  <c:v>557458.36</c:v>
                </c:pt>
                <c:pt idx="54">
                  <c:v>559287.59</c:v>
                </c:pt>
                <c:pt idx="55">
                  <c:v>564587.19999999995</c:v>
                </c:pt>
                <c:pt idx="56">
                  <c:v>566745.39</c:v>
                </c:pt>
                <c:pt idx="57">
                  <c:v>570205.5</c:v>
                </c:pt>
              </c:numCache>
            </c:numRef>
          </c:xVal>
          <c:yVal>
            <c:numRef>
              <c:f>'АД Y от Х2'!$B$25:$B$82</c:f>
              <c:numCache>
                <c:formatCode>General</c:formatCode>
                <c:ptCount val="58"/>
                <c:pt idx="0">
                  <c:v>104.76475068144373</c:v>
                </c:pt>
                <c:pt idx="1">
                  <c:v>104.05182476356694</c:v>
                </c:pt>
                <c:pt idx="2">
                  <c:v>103.79938326980781</c:v>
                </c:pt>
                <c:pt idx="3">
                  <c:v>102.89232619377219</c:v>
                </c:pt>
                <c:pt idx="4">
                  <c:v>104.35254296544258</c:v>
                </c:pt>
                <c:pt idx="5">
                  <c:v>106.7088732033051</c:v>
                </c:pt>
                <c:pt idx="6">
                  <c:v>108.9581447312016</c:v>
                </c:pt>
                <c:pt idx="7">
                  <c:v>107.8109142481926</c:v>
                </c:pt>
                <c:pt idx="8">
                  <c:v>110.21130954806733</c:v>
                </c:pt>
                <c:pt idx="9">
                  <c:v>112.10726017653425</c:v>
                </c:pt>
                <c:pt idx="10">
                  <c:v>110.50152245620993</c:v>
                </c:pt>
                <c:pt idx="11">
                  <c:v>108.63161352186765</c:v>
                </c:pt>
                <c:pt idx="12">
                  <c:v>104.15772574728484</c:v>
                </c:pt>
                <c:pt idx="13">
                  <c:v>105.73657372709704</c:v>
                </c:pt>
                <c:pt idx="14">
                  <c:v>107.9999761852485</c:v>
                </c:pt>
                <c:pt idx="15">
                  <c:v>109.2926942667726</c:v>
                </c:pt>
                <c:pt idx="16">
                  <c:v>109.54890432622008</c:v>
                </c:pt>
                <c:pt idx="17">
                  <c:v>111.26088129595621</c:v>
                </c:pt>
                <c:pt idx="18">
                  <c:v>114.21108222036003</c:v>
                </c:pt>
                <c:pt idx="19">
                  <c:v>114.46589633828196</c:v>
                </c:pt>
                <c:pt idx="20">
                  <c:v>113.53275468937179</c:v>
                </c:pt>
                <c:pt idx="21">
                  <c:v>112.91776383633686</c:v>
                </c:pt>
                <c:pt idx="22">
                  <c:v>116.10458399577533</c:v>
                </c:pt>
                <c:pt idx="23">
                  <c:v>118.11514475850163</c:v>
                </c:pt>
                <c:pt idx="24">
                  <c:v>119.75964010445784</c:v>
                </c:pt>
                <c:pt idx="25">
                  <c:v>117.14389342951412</c:v>
                </c:pt>
                <c:pt idx="26">
                  <c:v>114.07248857197266</c:v>
                </c:pt>
                <c:pt idx="27">
                  <c:v>111.80077240064017</c:v>
                </c:pt>
                <c:pt idx="28">
                  <c:v>115.63041648612418</c:v>
                </c:pt>
                <c:pt idx="29">
                  <c:v>120.71187232569835</c:v>
                </c:pt>
                <c:pt idx="30">
                  <c:v>124.57882568792758</c:v>
                </c:pt>
                <c:pt idx="31">
                  <c:v>126.92477926830691</c:v>
                </c:pt>
                <c:pt idx="32">
                  <c:v>128.64998671454947</c:v>
                </c:pt>
                <c:pt idx="33">
                  <c:v>129.28767948351998</c:v>
                </c:pt>
                <c:pt idx="34">
                  <c:v>128.60657436239734</c:v>
                </c:pt>
                <c:pt idx="35">
                  <c:v>130.06509980559827</c:v>
                </c:pt>
                <c:pt idx="36">
                  <c:v>129.22598172667517</c:v>
                </c:pt>
                <c:pt idx="37">
                  <c:v>128.90057965775605</c:v>
                </c:pt>
                <c:pt idx="38">
                  <c:v>128.00141227170769</c:v>
                </c:pt>
                <c:pt idx="39">
                  <c:v>128.20379997138099</c:v>
                </c:pt>
                <c:pt idx="40">
                  <c:v>129.19158344061958</c:v>
                </c:pt>
                <c:pt idx="41">
                  <c:v>128.25453982546571</c:v>
                </c:pt>
                <c:pt idx="42">
                  <c:v>128.20379997138099</c:v>
                </c:pt>
                <c:pt idx="43">
                  <c:v>131.26905887476562</c:v>
                </c:pt>
                <c:pt idx="44">
                  <c:v>135.06750628752218</c:v>
                </c:pt>
                <c:pt idx="45">
                  <c:v>139.96905718530348</c:v>
                </c:pt>
                <c:pt idx="46">
                  <c:v>136.43240836240204</c:v>
                </c:pt>
                <c:pt idx="47">
                  <c:v>134.16513728814573</c:v>
                </c:pt>
                <c:pt idx="48">
                  <c:v>131.99651592456343</c:v>
                </c:pt>
                <c:pt idx="49">
                  <c:v>132.60592301149626</c:v>
                </c:pt>
                <c:pt idx="50">
                  <c:v>131.69906127198811</c:v>
                </c:pt>
                <c:pt idx="51">
                  <c:v>131.42132131576977</c:v>
                </c:pt>
                <c:pt idx="52">
                  <c:v>133.81210224704898</c:v>
                </c:pt>
                <c:pt idx="53">
                  <c:v>134.1156170962812</c:v>
                </c:pt>
                <c:pt idx="54">
                  <c:v>134.9871181600131</c:v>
                </c:pt>
                <c:pt idx="55">
                  <c:v>137.51201429246464</c:v>
                </c:pt>
                <c:pt idx="56">
                  <c:v>138.54024195149907</c:v>
                </c:pt>
                <c:pt idx="57">
                  <c:v>140.18874407842105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211-496F-B3ED-CC5610ADA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40960"/>
        <c:axId val="542352384"/>
      </c:scatterChart>
      <c:valAx>
        <c:axId val="54234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52384"/>
        <c:crosses val="autoZero"/>
        <c:crossBetween val="midCat"/>
      </c:valAx>
      <c:valAx>
        <c:axId val="542352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40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Y от Х2'!$F$25:$F$82</c:f>
              <c:numCache>
                <c:formatCode>General</c:formatCode>
                <c:ptCount val="58"/>
                <c:pt idx="0">
                  <c:v>0.86206896551724133</c:v>
                </c:pt>
                <c:pt idx="1">
                  <c:v>2.5862068965517242</c:v>
                </c:pt>
                <c:pt idx="2">
                  <c:v>4.3103448275862064</c:v>
                </c:pt>
                <c:pt idx="3">
                  <c:v>6.0344827586206895</c:v>
                </c:pt>
                <c:pt idx="4">
                  <c:v>7.7586206896551717</c:v>
                </c:pt>
                <c:pt idx="5">
                  <c:v>9.4827586206896548</c:v>
                </c:pt>
                <c:pt idx="6">
                  <c:v>11.206896551724139</c:v>
                </c:pt>
                <c:pt idx="7">
                  <c:v>12.931034482758621</c:v>
                </c:pt>
                <c:pt idx="8">
                  <c:v>14.655172413793103</c:v>
                </c:pt>
                <c:pt idx="9">
                  <c:v>16.379310344827584</c:v>
                </c:pt>
                <c:pt idx="10">
                  <c:v>18.103448275862068</c:v>
                </c:pt>
                <c:pt idx="11">
                  <c:v>19.827586206896552</c:v>
                </c:pt>
                <c:pt idx="12">
                  <c:v>21.551724137931036</c:v>
                </c:pt>
                <c:pt idx="13">
                  <c:v>23.275862068965516</c:v>
                </c:pt>
                <c:pt idx="14">
                  <c:v>25</c:v>
                </c:pt>
                <c:pt idx="15">
                  <c:v>26.72413793103448</c:v>
                </c:pt>
                <c:pt idx="16">
                  <c:v>28.448275862068964</c:v>
                </c:pt>
                <c:pt idx="17">
                  <c:v>30.172413793103448</c:v>
                </c:pt>
                <c:pt idx="18">
                  <c:v>31.896551724137929</c:v>
                </c:pt>
                <c:pt idx="19">
                  <c:v>33.620689655172406</c:v>
                </c:pt>
                <c:pt idx="20">
                  <c:v>35.34482758620689</c:v>
                </c:pt>
                <c:pt idx="21">
                  <c:v>37.068965517241374</c:v>
                </c:pt>
                <c:pt idx="22">
                  <c:v>38.793103448275858</c:v>
                </c:pt>
                <c:pt idx="23">
                  <c:v>40.517241379310342</c:v>
                </c:pt>
                <c:pt idx="24">
                  <c:v>42.241379310344826</c:v>
                </c:pt>
                <c:pt idx="25">
                  <c:v>43.965517241379303</c:v>
                </c:pt>
                <c:pt idx="26">
                  <c:v>45.689655172413786</c:v>
                </c:pt>
                <c:pt idx="27">
                  <c:v>47.41379310344827</c:v>
                </c:pt>
                <c:pt idx="28">
                  <c:v>49.137931034482754</c:v>
                </c:pt>
                <c:pt idx="29">
                  <c:v>50.862068965517238</c:v>
                </c:pt>
                <c:pt idx="30">
                  <c:v>52.586206896551715</c:v>
                </c:pt>
                <c:pt idx="31">
                  <c:v>54.310344827586199</c:v>
                </c:pt>
                <c:pt idx="32">
                  <c:v>56.034482758620683</c:v>
                </c:pt>
                <c:pt idx="33">
                  <c:v>57.758620689655167</c:v>
                </c:pt>
                <c:pt idx="34">
                  <c:v>59.482758620689651</c:v>
                </c:pt>
                <c:pt idx="35">
                  <c:v>61.206896551724128</c:v>
                </c:pt>
                <c:pt idx="36">
                  <c:v>62.931034482758612</c:v>
                </c:pt>
                <c:pt idx="37">
                  <c:v>64.655172413793096</c:v>
                </c:pt>
                <c:pt idx="38">
                  <c:v>66.379310344827573</c:v>
                </c:pt>
                <c:pt idx="39">
                  <c:v>68.103448275862064</c:v>
                </c:pt>
                <c:pt idx="40">
                  <c:v>69.827586206896541</c:v>
                </c:pt>
                <c:pt idx="41">
                  <c:v>71.551724137931032</c:v>
                </c:pt>
                <c:pt idx="42">
                  <c:v>73.275862068965509</c:v>
                </c:pt>
                <c:pt idx="43">
                  <c:v>74.999999999999986</c:v>
                </c:pt>
                <c:pt idx="44">
                  <c:v>76.724137931034477</c:v>
                </c:pt>
                <c:pt idx="45">
                  <c:v>78.448275862068954</c:v>
                </c:pt>
                <c:pt idx="46">
                  <c:v>80.172413793103445</c:v>
                </c:pt>
                <c:pt idx="47">
                  <c:v>81.896551724137922</c:v>
                </c:pt>
                <c:pt idx="48">
                  <c:v>83.620689655172413</c:v>
                </c:pt>
                <c:pt idx="49">
                  <c:v>85.34482758620689</c:v>
                </c:pt>
                <c:pt idx="50">
                  <c:v>87.068965517241367</c:v>
                </c:pt>
                <c:pt idx="51">
                  <c:v>88.793103448275858</c:v>
                </c:pt>
                <c:pt idx="52">
                  <c:v>90.517241379310335</c:v>
                </c:pt>
                <c:pt idx="53">
                  <c:v>92.241379310344826</c:v>
                </c:pt>
                <c:pt idx="54">
                  <c:v>93.965517241379303</c:v>
                </c:pt>
                <c:pt idx="55">
                  <c:v>95.689655172413779</c:v>
                </c:pt>
                <c:pt idx="56">
                  <c:v>97.41379310344827</c:v>
                </c:pt>
                <c:pt idx="57">
                  <c:v>99.137931034482747</c:v>
                </c:pt>
              </c:numCache>
            </c:numRef>
          </c:xVal>
          <c:yVal>
            <c:numRef>
              <c:f>'АД Y от Х2'!$G$25:$G$82</c:f>
              <c:numCache>
                <c:formatCode>General</c:formatCode>
                <c:ptCount val="58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102.32</c:v>
                </c:pt>
                <c:pt idx="4">
                  <c:v>102.55</c:v>
                </c:pt>
                <c:pt idx="5">
                  <c:v>104.35</c:v>
                </c:pt>
                <c:pt idx="6">
                  <c:v>106.49</c:v>
                </c:pt>
                <c:pt idx="7">
                  <c:v>106.57</c:v>
                </c:pt>
                <c:pt idx="8">
                  <c:v>106.61</c:v>
                </c:pt>
                <c:pt idx="9">
                  <c:v>107.03</c:v>
                </c:pt>
                <c:pt idx="10">
                  <c:v>107.04</c:v>
                </c:pt>
                <c:pt idx="11">
                  <c:v>107.47</c:v>
                </c:pt>
                <c:pt idx="12">
                  <c:v>107.57</c:v>
                </c:pt>
                <c:pt idx="13">
                  <c:v>107.8</c:v>
                </c:pt>
                <c:pt idx="14">
                  <c:v>108.19</c:v>
                </c:pt>
                <c:pt idx="15">
                  <c:v>108.36</c:v>
                </c:pt>
                <c:pt idx="16">
                  <c:v>108.49</c:v>
                </c:pt>
                <c:pt idx="17">
                  <c:v>108.86</c:v>
                </c:pt>
                <c:pt idx="18">
                  <c:v>109.5</c:v>
                </c:pt>
                <c:pt idx="19">
                  <c:v>109.76</c:v>
                </c:pt>
                <c:pt idx="20">
                  <c:v>111.35</c:v>
                </c:pt>
                <c:pt idx="21">
                  <c:v>111.39</c:v>
                </c:pt>
                <c:pt idx="22">
                  <c:v>111.96</c:v>
                </c:pt>
                <c:pt idx="23">
                  <c:v>113.35</c:v>
                </c:pt>
                <c:pt idx="24">
                  <c:v>115.27</c:v>
                </c:pt>
                <c:pt idx="25">
                  <c:v>115.88</c:v>
                </c:pt>
                <c:pt idx="26">
                  <c:v>117.17</c:v>
                </c:pt>
                <c:pt idx="27">
                  <c:v>117.26</c:v>
                </c:pt>
                <c:pt idx="28">
                  <c:v>117.54</c:v>
                </c:pt>
                <c:pt idx="29">
                  <c:v>117.61</c:v>
                </c:pt>
                <c:pt idx="30">
                  <c:v>122.58</c:v>
                </c:pt>
                <c:pt idx="31">
                  <c:v>128.16</c:v>
                </c:pt>
                <c:pt idx="32">
                  <c:v>128.94</c:v>
                </c:pt>
                <c:pt idx="33">
                  <c:v>129.16</c:v>
                </c:pt>
                <c:pt idx="34">
                  <c:v>129.30000000000001</c:v>
                </c:pt>
                <c:pt idx="35">
                  <c:v>130.28</c:v>
                </c:pt>
                <c:pt idx="36">
                  <c:v>130.59</c:v>
                </c:pt>
                <c:pt idx="37">
                  <c:v>131.22</c:v>
                </c:pt>
                <c:pt idx="38">
                  <c:v>132.01</c:v>
                </c:pt>
                <c:pt idx="39">
                  <c:v>132.52000000000001</c:v>
                </c:pt>
                <c:pt idx="40">
                  <c:v>132.86000000000001</c:v>
                </c:pt>
                <c:pt idx="41">
                  <c:v>133.72999999999999</c:v>
                </c:pt>
                <c:pt idx="42">
                  <c:v>134.25</c:v>
                </c:pt>
                <c:pt idx="43">
                  <c:v>134.27000000000001</c:v>
                </c:pt>
                <c:pt idx="44">
                  <c:v>134.38999999999999</c:v>
                </c:pt>
                <c:pt idx="45">
                  <c:v>134.46</c:v>
                </c:pt>
                <c:pt idx="46">
                  <c:v>134.51</c:v>
                </c:pt>
                <c:pt idx="47">
                  <c:v>134.72999999999999</c:v>
                </c:pt>
                <c:pt idx="48">
                  <c:v>134.91999999999999</c:v>
                </c:pt>
                <c:pt idx="49">
                  <c:v>135.22</c:v>
                </c:pt>
                <c:pt idx="50">
                  <c:v>135.69999999999999</c:v>
                </c:pt>
                <c:pt idx="51">
                  <c:v>136.06</c:v>
                </c:pt>
                <c:pt idx="52">
                  <c:v>136.12</c:v>
                </c:pt>
                <c:pt idx="53">
                  <c:v>136.13999999999999</c:v>
                </c:pt>
                <c:pt idx="54">
                  <c:v>137.5</c:v>
                </c:pt>
                <c:pt idx="55">
                  <c:v>139.1</c:v>
                </c:pt>
                <c:pt idx="56">
                  <c:v>140.09</c:v>
                </c:pt>
                <c:pt idx="57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25B-4095-B922-C8FDB5182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33888"/>
        <c:axId val="542327904"/>
      </c:scatterChart>
      <c:valAx>
        <c:axId val="54233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27904"/>
        <c:crosses val="autoZero"/>
        <c:crossBetween val="midCat"/>
      </c:valAx>
      <c:valAx>
        <c:axId val="542327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33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Х1 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'Y от Х1'!$C$3:$C$60</c:f>
              <c:numCache>
                <c:formatCode>0.00</c:formatCode>
                <c:ptCount val="58"/>
                <c:pt idx="0">
                  <c:v>70893.600000000006</c:v>
                </c:pt>
                <c:pt idx="1">
                  <c:v>70392.98</c:v>
                </c:pt>
                <c:pt idx="2">
                  <c:v>70256.63</c:v>
                </c:pt>
                <c:pt idx="3">
                  <c:v>70189.759999999995</c:v>
                </c:pt>
                <c:pt idx="4">
                  <c:v>70468.94</c:v>
                </c:pt>
                <c:pt idx="5">
                  <c:v>70520.399999999994</c:v>
                </c:pt>
                <c:pt idx="6">
                  <c:v>74325.27</c:v>
                </c:pt>
                <c:pt idx="7">
                  <c:v>76378.39</c:v>
                </c:pt>
                <c:pt idx="8">
                  <c:v>79677.22</c:v>
                </c:pt>
                <c:pt idx="9">
                  <c:v>80664.95</c:v>
                </c:pt>
                <c:pt idx="10">
                  <c:v>82246.86</c:v>
                </c:pt>
                <c:pt idx="11">
                  <c:v>81836.759999999995</c:v>
                </c:pt>
                <c:pt idx="12">
                  <c:v>78275.3</c:v>
                </c:pt>
                <c:pt idx="13">
                  <c:v>73730.42</c:v>
                </c:pt>
                <c:pt idx="14">
                  <c:v>71289.279999999999</c:v>
                </c:pt>
                <c:pt idx="15">
                  <c:v>72839.63</c:v>
                </c:pt>
                <c:pt idx="16">
                  <c:v>70868.39</c:v>
                </c:pt>
                <c:pt idx="17">
                  <c:v>72645.23</c:v>
                </c:pt>
                <c:pt idx="18">
                  <c:v>72701.83</c:v>
                </c:pt>
                <c:pt idx="19">
                  <c:v>72815.929999999993</c:v>
                </c:pt>
                <c:pt idx="20" formatCode="General">
                  <c:v>72786</c:v>
                </c:pt>
                <c:pt idx="21">
                  <c:v>69715.53</c:v>
                </c:pt>
                <c:pt idx="22">
                  <c:v>70508.039999999994</c:v>
                </c:pt>
                <c:pt idx="23">
                  <c:v>69879.350000000006</c:v>
                </c:pt>
                <c:pt idx="24">
                  <c:v>74218.64</c:v>
                </c:pt>
                <c:pt idx="25">
                  <c:v>72517.240000000005</c:v>
                </c:pt>
                <c:pt idx="26">
                  <c:v>76730.179999999993</c:v>
                </c:pt>
                <c:pt idx="27">
                  <c:v>78696.2</c:v>
                </c:pt>
                <c:pt idx="28">
                  <c:v>82153.98</c:v>
                </c:pt>
                <c:pt idx="29">
                  <c:v>86601.85</c:v>
                </c:pt>
                <c:pt idx="30">
                  <c:v>91844.53</c:v>
                </c:pt>
                <c:pt idx="31">
                  <c:v>95474.23</c:v>
                </c:pt>
                <c:pt idx="32">
                  <c:v>98413.41</c:v>
                </c:pt>
                <c:pt idx="33">
                  <c:v>100417.43</c:v>
                </c:pt>
                <c:pt idx="34">
                  <c:v>98281.93</c:v>
                </c:pt>
                <c:pt idx="35">
                  <c:v>97019.43</c:v>
                </c:pt>
                <c:pt idx="36">
                  <c:v>98420.3</c:v>
                </c:pt>
                <c:pt idx="37">
                  <c:v>97818.39</c:v>
                </c:pt>
                <c:pt idx="38">
                  <c:v>96463.79</c:v>
                </c:pt>
                <c:pt idx="39">
                  <c:v>97592.48</c:v>
                </c:pt>
                <c:pt idx="40">
                  <c:v>95935.15</c:v>
                </c:pt>
                <c:pt idx="41">
                  <c:v>95011.99</c:v>
                </c:pt>
                <c:pt idx="42">
                  <c:v>96402.04</c:v>
                </c:pt>
                <c:pt idx="43">
                  <c:v>95988.39</c:v>
                </c:pt>
                <c:pt idx="44">
                  <c:v>94977.86</c:v>
                </c:pt>
                <c:pt idx="45">
                  <c:v>96262.87</c:v>
                </c:pt>
                <c:pt idx="46">
                  <c:v>97210.37</c:v>
                </c:pt>
                <c:pt idx="47">
                  <c:v>96372.24</c:v>
                </c:pt>
                <c:pt idx="48">
                  <c:v>94819.62</c:v>
                </c:pt>
                <c:pt idx="49">
                  <c:v>94680.68</c:v>
                </c:pt>
                <c:pt idx="50">
                  <c:v>95779.95</c:v>
                </c:pt>
                <c:pt idx="51">
                  <c:v>94871.55</c:v>
                </c:pt>
                <c:pt idx="52">
                  <c:v>95734.9</c:v>
                </c:pt>
                <c:pt idx="53">
                  <c:v>95827.11</c:v>
                </c:pt>
                <c:pt idx="54">
                  <c:v>96289.02</c:v>
                </c:pt>
                <c:pt idx="55">
                  <c:v>98548.43</c:v>
                </c:pt>
                <c:pt idx="56">
                  <c:v>102016.72</c:v>
                </c:pt>
                <c:pt idx="57">
                  <c:v>103575.62</c:v>
                </c:pt>
              </c:numCache>
            </c:numRef>
          </c:xVal>
          <c:yVal>
            <c:numRef>
              <c:f>'АД Y от Х1'!$C$25:$C$82</c:f>
              <c:numCache>
                <c:formatCode>General</c:formatCode>
                <c:ptCount val="58"/>
                <c:pt idx="0">
                  <c:v>-3.1645695593098822</c:v>
                </c:pt>
                <c:pt idx="1">
                  <c:v>-2.7392737944565653</c:v>
                </c:pt>
                <c:pt idx="2">
                  <c:v>-2.643479424399942</c:v>
                </c:pt>
                <c:pt idx="3">
                  <c:v>-2.6719776310322203</c:v>
                </c:pt>
                <c:pt idx="4">
                  <c:v>-2.4804952124947164</c:v>
                </c:pt>
                <c:pt idx="5">
                  <c:v>-0.73551962234519408</c:v>
                </c:pt>
                <c:pt idx="6">
                  <c:v>-1.5839363792014751</c:v>
                </c:pt>
                <c:pt idx="7">
                  <c:v>0.61073294935988542</c:v>
                </c:pt>
                <c:pt idx="8">
                  <c:v>0.39340737712741713</c:v>
                </c:pt>
                <c:pt idx="9">
                  <c:v>1.2372616262214535</c:v>
                </c:pt>
                <c:pt idx="10">
                  <c:v>-1.4220382845493873E-2</c:v>
                </c:pt>
                <c:pt idx="11">
                  <c:v>7.4285456246727222E-2</c:v>
                </c:pt>
                <c:pt idx="12">
                  <c:v>2.5024322635944856</c:v>
                </c:pt>
                <c:pt idx="13">
                  <c:v>4.8321162869384864</c:v>
                </c:pt>
                <c:pt idx="14">
                  <c:v>5.4823434121312431</c:v>
                </c:pt>
                <c:pt idx="15">
                  <c:v>2.1946074266725759</c:v>
                </c:pt>
                <c:pt idx="16">
                  <c:v>4.042386627482415</c:v>
                </c:pt>
                <c:pt idx="17">
                  <c:v>1.5024726671493482</c:v>
                </c:pt>
                <c:pt idx="18">
                  <c:v>1.0719522319076447</c:v>
                </c:pt>
                <c:pt idx="19">
                  <c:v>0.81994902234798417</c:v>
                </c:pt>
                <c:pt idx="20">
                  <c:v>0.68195214296252971</c:v>
                </c:pt>
                <c:pt idx="21">
                  <c:v>3.5751002135732222</c:v>
                </c:pt>
                <c:pt idx="22">
                  <c:v>2.3976965009690758</c:v>
                </c:pt>
                <c:pt idx="23">
                  <c:v>2.6299331163772024</c:v>
                </c:pt>
                <c:pt idx="24">
                  <c:v>-2.4299205839749334</c:v>
                </c:pt>
                <c:pt idx="25">
                  <c:v>-0.65067202354705955</c:v>
                </c:pt>
                <c:pt idx="26">
                  <c:v>-5.2354240102456799</c:v>
                </c:pt>
                <c:pt idx="27">
                  <c:v>-6.787621644413079</c:v>
                </c:pt>
                <c:pt idx="28">
                  <c:v>-6.1749069901732554</c:v>
                </c:pt>
                <c:pt idx="29">
                  <c:v>-4.7408615537505341</c:v>
                </c:pt>
                <c:pt idx="30">
                  <c:v>-5.3066791409046772</c:v>
                </c:pt>
                <c:pt idx="31">
                  <c:v>-3.6077926355473835</c:v>
                </c:pt>
                <c:pt idx="32">
                  <c:v>-2.0505568202414111</c:v>
                </c:pt>
                <c:pt idx="33">
                  <c:v>-2.1333865487407309</c:v>
                </c:pt>
                <c:pt idx="34">
                  <c:v>0.9300302261468687</c:v>
                </c:pt>
                <c:pt idx="35">
                  <c:v>2.7199780970415475</c:v>
                </c:pt>
                <c:pt idx="36">
                  <c:v>5.2320759394968093</c:v>
                </c:pt>
                <c:pt idx="37">
                  <c:v>5.8156776210574037</c:v>
                </c:pt>
                <c:pt idx="38">
                  <c:v>6.2741048574248737</c:v>
                </c:pt>
                <c:pt idx="39">
                  <c:v>3.4672354218604369</c:v>
                </c:pt>
                <c:pt idx="40">
                  <c:v>3.8593614455197383</c:v>
                </c:pt>
                <c:pt idx="41">
                  <c:v>3.946464714030725</c:v>
                </c:pt>
                <c:pt idx="42">
                  <c:v>1.9701320107141385</c:v>
                </c:pt>
                <c:pt idx="43">
                  <c:v>2.0724337428294461</c:v>
                </c:pt>
                <c:pt idx="44">
                  <c:v>3.272958750334567</c:v>
                </c:pt>
                <c:pt idx="45">
                  <c:v>1.8489417098764704</c:v>
                </c:pt>
                <c:pt idx="46">
                  <c:v>0.64581251568026232</c:v>
                </c:pt>
                <c:pt idx="47">
                  <c:v>1.0019961267954614</c:v>
                </c:pt>
                <c:pt idx="48">
                  <c:v>0.94215934525766443</c:v>
                </c:pt>
                <c:pt idx="49">
                  <c:v>-0.32927688667732014</c:v>
                </c:pt>
                <c:pt idx="50">
                  <c:v>-1.8146885271037547</c:v>
                </c:pt>
                <c:pt idx="51">
                  <c:v>-1.963367619443801</c:v>
                </c:pt>
                <c:pt idx="52">
                  <c:v>-3.10651811000767</c:v>
                </c:pt>
                <c:pt idx="53">
                  <c:v>-2.8451150947008728</c:v>
                </c:pt>
                <c:pt idx="54">
                  <c:v>-1.4190195866177078</c:v>
                </c:pt>
                <c:pt idx="55">
                  <c:v>-2.5349290669963978</c:v>
                </c:pt>
                <c:pt idx="56">
                  <c:v>-4.513452394636289</c:v>
                </c:pt>
                <c:pt idx="57">
                  <c:v>-4.3703306013196084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E6C-48A4-8538-5CADE86C1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48032"/>
        <c:axId val="542326272"/>
      </c:scatterChart>
      <c:valAx>
        <c:axId val="54234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26272"/>
        <c:crosses val="autoZero"/>
        <c:crossBetween val="midCat"/>
      </c:valAx>
      <c:valAx>
        <c:axId val="542326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48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Х1 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'Y от Х1'!$C$3:$C$60</c:f>
              <c:numCache>
                <c:formatCode>0.00</c:formatCode>
                <c:ptCount val="58"/>
                <c:pt idx="0">
                  <c:v>70893.600000000006</c:v>
                </c:pt>
                <c:pt idx="1">
                  <c:v>70392.98</c:v>
                </c:pt>
                <c:pt idx="2">
                  <c:v>70256.63</c:v>
                </c:pt>
                <c:pt idx="3">
                  <c:v>70189.759999999995</c:v>
                </c:pt>
                <c:pt idx="4">
                  <c:v>70468.94</c:v>
                </c:pt>
                <c:pt idx="5">
                  <c:v>70520.399999999994</c:v>
                </c:pt>
                <c:pt idx="6">
                  <c:v>74325.27</c:v>
                </c:pt>
                <c:pt idx="7">
                  <c:v>76378.39</c:v>
                </c:pt>
                <c:pt idx="8">
                  <c:v>79677.22</c:v>
                </c:pt>
                <c:pt idx="9">
                  <c:v>80664.95</c:v>
                </c:pt>
                <c:pt idx="10">
                  <c:v>82246.86</c:v>
                </c:pt>
                <c:pt idx="11">
                  <c:v>81836.759999999995</c:v>
                </c:pt>
                <c:pt idx="12">
                  <c:v>78275.3</c:v>
                </c:pt>
                <c:pt idx="13">
                  <c:v>73730.42</c:v>
                </c:pt>
                <c:pt idx="14">
                  <c:v>71289.279999999999</c:v>
                </c:pt>
                <c:pt idx="15">
                  <c:v>72839.63</c:v>
                </c:pt>
                <c:pt idx="16">
                  <c:v>70868.39</c:v>
                </c:pt>
                <c:pt idx="17">
                  <c:v>72645.23</c:v>
                </c:pt>
                <c:pt idx="18">
                  <c:v>72701.83</c:v>
                </c:pt>
                <c:pt idx="19">
                  <c:v>72815.929999999993</c:v>
                </c:pt>
                <c:pt idx="20" formatCode="General">
                  <c:v>72786</c:v>
                </c:pt>
                <c:pt idx="21">
                  <c:v>69715.53</c:v>
                </c:pt>
                <c:pt idx="22">
                  <c:v>70508.039999999994</c:v>
                </c:pt>
                <c:pt idx="23">
                  <c:v>69879.350000000006</c:v>
                </c:pt>
                <c:pt idx="24">
                  <c:v>74218.64</c:v>
                </c:pt>
                <c:pt idx="25">
                  <c:v>72517.240000000005</c:v>
                </c:pt>
                <c:pt idx="26">
                  <c:v>76730.179999999993</c:v>
                </c:pt>
                <c:pt idx="27">
                  <c:v>78696.2</c:v>
                </c:pt>
                <c:pt idx="28">
                  <c:v>82153.98</c:v>
                </c:pt>
                <c:pt idx="29">
                  <c:v>86601.85</c:v>
                </c:pt>
                <c:pt idx="30">
                  <c:v>91844.53</c:v>
                </c:pt>
                <c:pt idx="31">
                  <c:v>95474.23</c:v>
                </c:pt>
                <c:pt idx="32">
                  <c:v>98413.41</c:v>
                </c:pt>
                <c:pt idx="33">
                  <c:v>100417.43</c:v>
                </c:pt>
                <c:pt idx="34">
                  <c:v>98281.93</c:v>
                </c:pt>
                <c:pt idx="35">
                  <c:v>97019.43</c:v>
                </c:pt>
                <c:pt idx="36">
                  <c:v>98420.3</c:v>
                </c:pt>
                <c:pt idx="37">
                  <c:v>97818.39</c:v>
                </c:pt>
                <c:pt idx="38">
                  <c:v>96463.79</c:v>
                </c:pt>
                <c:pt idx="39">
                  <c:v>97592.48</c:v>
                </c:pt>
                <c:pt idx="40">
                  <c:v>95935.15</c:v>
                </c:pt>
                <c:pt idx="41">
                  <c:v>95011.99</c:v>
                </c:pt>
                <c:pt idx="42">
                  <c:v>96402.04</c:v>
                </c:pt>
                <c:pt idx="43">
                  <c:v>95988.39</c:v>
                </c:pt>
                <c:pt idx="44">
                  <c:v>94977.86</c:v>
                </c:pt>
                <c:pt idx="45">
                  <c:v>96262.87</c:v>
                </c:pt>
                <c:pt idx="46">
                  <c:v>97210.37</c:v>
                </c:pt>
                <c:pt idx="47">
                  <c:v>96372.24</c:v>
                </c:pt>
                <c:pt idx="48">
                  <c:v>94819.62</c:v>
                </c:pt>
                <c:pt idx="49">
                  <c:v>94680.68</c:v>
                </c:pt>
                <c:pt idx="50">
                  <c:v>95779.95</c:v>
                </c:pt>
                <c:pt idx="51">
                  <c:v>94871.55</c:v>
                </c:pt>
                <c:pt idx="52">
                  <c:v>95734.9</c:v>
                </c:pt>
                <c:pt idx="53">
                  <c:v>95827.11</c:v>
                </c:pt>
                <c:pt idx="54">
                  <c:v>96289.02</c:v>
                </c:pt>
                <c:pt idx="55">
                  <c:v>98548.43</c:v>
                </c:pt>
                <c:pt idx="56">
                  <c:v>102016.72</c:v>
                </c:pt>
                <c:pt idx="57">
                  <c:v>103575.62</c:v>
                </c:pt>
              </c:numCache>
            </c:numRef>
          </c:xVal>
          <c:yVal>
            <c:numRef>
              <c:f>'Y от Х1'!$B$3:$B$60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BE2-4EEE-979F-04946F68C288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'Y от Х1'!$C$3:$C$60</c:f>
              <c:numCache>
                <c:formatCode>0.00</c:formatCode>
                <c:ptCount val="58"/>
                <c:pt idx="0">
                  <c:v>70893.600000000006</c:v>
                </c:pt>
                <c:pt idx="1">
                  <c:v>70392.98</c:v>
                </c:pt>
                <c:pt idx="2">
                  <c:v>70256.63</c:v>
                </c:pt>
                <c:pt idx="3">
                  <c:v>70189.759999999995</c:v>
                </c:pt>
                <c:pt idx="4">
                  <c:v>70468.94</c:v>
                </c:pt>
                <c:pt idx="5">
                  <c:v>70520.399999999994</c:v>
                </c:pt>
                <c:pt idx="6">
                  <c:v>74325.27</c:v>
                </c:pt>
                <c:pt idx="7">
                  <c:v>76378.39</c:v>
                </c:pt>
                <c:pt idx="8">
                  <c:v>79677.22</c:v>
                </c:pt>
                <c:pt idx="9">
                  <c:v>80664.95</c:v>
                </c:pt>
                <c:pt idx="10">
                  <c:v>82246.86</c:v>
                </c:pt>
                <c:pt idx="11">
                  <c:v>81836.759999999995</c:v>
                </c:pt>
                <c:pt idx="12">
                  <c:v>78275.3</c:v>
                </c:pt>
                <c:pt idx="13">
                  <c:v>73730.42</c:v>
                </c:pt>
                <c:pt idx="14">
                  <c:v>71289.279999999999</c:v>
                </c:pt>
                <c:pt idx="15">
                  <c:v>72839.63</c:v>
                </c:pt>
                <c:pt idx="16">
                  <c:v>70868.39</c:v>
                </c:pt>
                <c:pt idx="17">
                  <c:v>72645.23</c:v>
                </c:pt>
                <c:pt idx="18">
                  <c:v>72701.83</c:v>
                </c:pt>
                <c:pt idx="19">
                  <c:v>72815.929999999993</c:v>
                </c:pt>
                <c:pt idx="20" formatCode="General">
                  <c:v>72786</c:v>
                </c:pt>
                <c:pt idx="21">
                  <c:v>69715.53</c:v>
                </c:pt>
                <c:pt idx="22">
                  <c:v>70508.039999999994</c:v>
                </c:pt>
                <c:pt idx="23">
                  <c:v>69879.350000000006</c:v>
                </c:pt>
                <c:pt idx="24">
                  <c:v>74218.64</c:v>
                </c:pt>
                <c:pt idx="25">
                  <c:v>72517.240000000005</c:v>
                </c:pt>
                <c:pt idx="26">
                  <c:v>76730.179999999993</c:v>
                </c:pt>
                <c:pt idx="27">
                  <c:v>78696.2</c:v>
                </c:pt>
                <c:pt idx="28">
                  <c:v>82153.98</c:v>
                </c:pt>
                <c:pt idx="29">
                  <c:v>86601.85</c:v>
                </c:pt>
                <c:pt idx="30">
                  <c:v>91844.53</c:v>
                </c:pt>
                <c:pt idx="31">
                  <c:v>95474.23</c:v>
                </c:pt>
                <c:pt idx="32">
                  <c:v>98413.41</c:v>
                </c:pt>
                <c:pt idx="33">
                  <c:v>100417.43</c:v>
                </c:pt>
                <c:pt idx="34">
                  <c:v>98281.93</c:v>
                </c:pt>
                <c:pt idx="35">
                  <c:v>97019.43</c:v>
                </c:pt>
                <c:pt idx="36">
                  <c:v>98420.3</c:v>
                </c:pt>
                <c:pt idx="37">
                  <c:v>97818.39</c:v>
                </c:pt>
                <c:pt idx="38">
                  <c:v>96463.79</c:v>
                </c:pt>
                <c:pt idx="39">
                  <c:v>97592.48</c:v>
                </c:pt>
                <c:pt idx="40">
                  <c:v>95935.15</c:v>
                </c:pt>
                <c:pt idx="41">
                  <c:v>95011.99</c:v>
                </c:pt>
                <c:pt idx="42">
                  <c:v>96402.04</c:v>
                </c:pt>
                <c:pt idx="43">
                  <c:v>95988.39</c:v>
                </c:pt>
                <c:pt idx="44">
                  <c:v>94977.86</c:v>
                </c:pt>
                <c:pt idx="45">
                  <c:v>96262.87</c:v>
                </c:pt>
                <c:pt idx="46">
                  <c:v>97210.37</c:v>
                </c:pt>
                <c:pt idx="47">
                  <c:v>96372.24</c:v>
                </c:pt>
                <c:pt idx="48">
                  <c:v>94819.62</c:v>
                </c:pt>
                <c:pt idx="49">
                  <c:v>94680.68</c:v>
                </c:pt>
                <c:pt idx="50">
                  <c:v>95779.95</c:v>
                </c:pt>
                <c:pt idx="51">
                  <c:v>94871.55</c:v>
                </c:pt>
                <c:pt idx="52">
                  <c:v>95734.9</c:v>
                </c:pt>
                <c:pt idx="53">
                  <c:v>95827.11</c:v>
                </c:pt>
                <c:pt idx="54">
                  <c:v>96289.02</c:v>
                </c:pt>
                <c:pt idx="55">
                  <c:v>98548.43</c:v>
                </c:pt>
                <c:pt idx="56">
                  <c:v>102016.72</c:v>
                </c:pt>
                <c:pt idx="57">
                  <c:v>103575.62</c:v>
                </c:pt>
              </c:numCache>
            </c:numRef>
          </c:xVal>
          <c:yVal>
            <c:numRef>
              <c:f>'АД Y от Х1'!$B$25:$B$82</c:f>
              <c:numCache>
                <c:formatCode>General</c:formatCode>
                <c:ptCount val="58"/>
                <c:pt idx="0">
                  <c:v>105.48456955930988</c:v>
                </c:pt>
                <c:pt idx="1">
                  <c:v>104.94927379445656</c:v>
                </c:pt>
                <c:pt idx="2">
                  <c:v>104.80347942439994</c:v>
                </c:pt>
                <c:pt idx="3">
                  <c:v>104.73197763103222</c:v>
                </c:pt>
                <c:pt idx="4">
                  <c:v>105.03049521249471</c:v>
                </c:pt>
                <c:pt idx="5">
                  <c:v>105.08551962234519</c:v>
                </c:pt>
                <c:pt idx="6">
                  <c:v>109.15393637920147</c:v>
                </c:pt>
                <c:pt idx="7">
                  <c:v>111.34926705064011</c:v>
                </c:pt>
                <c:pt idx="8">
                  <c:v>114.87659262287258</c:v>
                </c:pt>
                <c:pt idx="9">
                  <c:v>115.93273837377855</c:v>
                </c:pt>
                <c:pt idx="10">
                  <c:v>117.62422038284549</c:v>
                </c:pt>
                <c:pt idx="11">
                  <c:v>117.18571454375328</c:v>
                </c:pt>
                <c:pt idx="12">
                  <c:v>113.37756773640551</c:v>
                </c:pt>
                <c:pt idx="13">
                  <c:v>108.51788371306151</c:v>
                </c:pt>
                <c:pt idx="14">
                  <c:v>105.90765658786876</c:v>
                </c:pt>
                <c:pt idx="15">
                  <c:v>107.56539257332743</c:v>
                </c:pt>
                <c:pt idx="16">
                  <c:v>105.45761337251759</c:v>
                </c:pt>
                <c:pt idx="17">
                  <c:v>107.35752733285065</c:v>
                </c:pt>
                <c:pt idx="18">
                  <c:v>107.41804776809235</c:v>
                </c:pt>
                <c:pt idx="19">
                  <c:v>107.54005097765202</c:v>
                </c:pt>
                <c:pt idx="20">
                  <c:v>107.50804785703747</c:v>
                </c:pt>
                <c:pt idx="21">
                  <c:v>104.22489978642677</c:v>
                </c:pt>
                <c:pt idx="22">
                  <c:v>105.07230349903092</c:v>
                </c:pt>
                <c:pt idx="23">
                  <c:v>104.4000668836228</c:v>
                </c:pt>
                <c:pt idx="24">
                  <c:v>109.03992058397493</c:v>
                </c:pt>
                <c:pt idx="25">
                  <c:v>107.22067202354705</c:v>
                </c:pt>
                <c:pt idx="26">
                  <c:v>111.72542401024567</c:v>
                </c:pt>
                <c:pt idx="27">
                  <c:v>113.82762164441309</c:v>
                </c:pt>
                <c:pt idx="28">
                  <c:v>117.52490699017325</c:v>
                </c:pt>
                <c:pt idx="29">
                  <c:v>122.28086155375054</c:v>
                </c:pt>
                <c:pt idx="30">
                  <c:v>127.88667914090468</c:v>
                </c:pt>
                <c:pt idx="31">
                  <c:v>131.76779263554738</c:v>
                </c:pt>
                <c:pt idx="32">
                  <c:v>134.91055682024142</c:v>
                </c:pt>
                <c:pt idx="33">
                  <c:v>137.05338654874072</c:v>
                </c:pt>
                <c:pt idx="34">
                  <c:v>134.76996977385312</c:v>
                </c:pt>
                <c:pt idx="35">
                  <c:v>133.42002190295844</c:v>
                </c:pt>
                <c:pt idx="36">
                  <c:v>134.9179240605032</c:v>
                </c:pt>
                <c:pt idx="37">
                  <c:v>134.2743223789426</c:v>
                </c:pt>
                <c:pt idx="38">
                  <c:v>132.82589514257512</c:v>
                </c:pt>
                <c:pt idx="39">
                  <c:v>134.03276457813956</c:v>
                </c:pt>
                <c:pt idx="40">
                  <c:v>132.26063855448027</c:v>
                </c:pt>
                <c:pt idx="41">
                  <c:v>131.27353528596927</c:v>
                </c:pt>
                <c:pt idx="42">
                  <c:v>132.75986798928585</c:v>
                </c:pt>
                <c:pt idx="43">
                  <c:v>132.31756625717054</c:v>
                </c:pt>
                <c:pt idx="44">
                  <c:v>131.23704124966542</c:v>
                </c:pt>
                <c:pt idx="45">
                  <c:v>132.61105829012354</c:v>
                </c:pt>
                <c:pt idx="46">
                  <c:v>133.62418748431975</c:v>
                </c:pt>
                <c:pt idx="47">
                  <c:v>132.72800387320453</c:v>
                </c:pt>
                <c:pt idx="48">
                  <c:v>131.06784065474233</c:v>
                </c:pt>
                <c:pt idx="49">
                  <c:v>130.91927688667732</c:v>
                </c:pt>
                <c:pt idx="50">
                  <c:v>132.09468852710376</c:v>
                </c:pt>
                <c:pt idx="51">
                  <c:v>131.1233676194438</c:v>
                </c:pt>
                <c:pt idx="52">
                  <c:v>132.04651811000767</c:v>
                </c:pt>
                <c:pt idx="53">
                  <c:v>132.14511509470088</c:v>
                </c:pt>
                <c:pt idx="54">
                  <c:v>132.63901958661771</c:v>
                </c:pt>
                <c:pt idx="55">
                  <c:v>135.05492906699641</c:v>
                </c:pt>
                <c:pt idx="56">
                  <c:v>138.76345239463629</c:v>
                </c:pt>
                <c:pt idx="57">
                  <c:v>140.43033060131961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BE2-4EEE-979F-04946F68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30624"/>
        <c:axId val="542344224"/>
      </c:scatterChart>
      <c:valAx>
        <c:axId val="54233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Х1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44224"/>
        <c:crosses val="autoZero"/>
        <c:crossBetween val="midCat"/>
      </c:valAx>
      <c:valAx>
        <c:axId val="542344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30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Y от Х1'!$F$25:$F$82</c:f>
              <c:numCache>
                <c:formatCode>General</c:formatCode>
                <c:ptCount val="58"/>
                <c:pt idx="0">
                  <c:v>0.86206896551724133</c:v>
                </c:pt>
                <c:pt idx="1">
                  <c:v>2.5862068965517242</c:v>
                </c:pt>
                <c:pt idx="2">
                  <c:v>4.3103448275862064</c:v>
                </c:pt>
                <c:pt idx="3">
                  <c:v>6.0344827586206895</c:v>
                </c:pt>
                <c:pt idx="4">
                  <c:v>7.7586206896551717</c:v>
                </c:pt>
                <c:pt idx="5">
                  <c:v>9.4827586206896548</c:v>
                </c:pt>
                <c:pt idx="6">
                  <c:v>11.206896551724139</c:v>
                </c:pt>
                <c:pt idx="7">
                  <c:v>12.931034482758621</c:v>
                </c:pt>
                <c:pt idx="8">
                  <c:v>14.655172413793103</c:v>
                </c:pt>
                <c:pt idx="9">
                  <c:v>16.379310344827584</c:v>
                </c:pt>
                <c:pt idx="10">
                  <c:v>18.103448275862068</c:v>
                </c:pt>
                <c:pt idx="11">
                  <c:v>19.827586206896552</c:v>
                </c:pt>
                <c:pt idx="12">
                  <c:v>21.551724137931036</c:v>
                </c:pt>
                <c:pt idx="13">
                  <c:v>23.275862068965516</c:v>
                </c:pt>
                <c:pt idx="14">
                  <c:v>25</c:v>
                </c:pt>
                <c:pt idx="15">
                  <c:v>26.72413793103448</c:v>
                </c:pt>
                <c:pt idx="16">
                  <c:v>28.448275862068964</c:v>
                </c:pt>
                <c:pt idx="17">
                  <c:v>30.172413793103448</c:v>
                </c:pt>
                <c:pt idx="18">
                  <c:v>31.896551724137929</c:v>
                </c:pt>
                <c:pt idx="19">
                  <c:v>33.620689655172406</c:v>
                </c:pt>
                <c:pt idx="20">
                  <c:v>35.34482758620689</c:v>
                </c:pt>
                <c:pt idx="21">
                  <c:v>37.068965517241374</c:v>
                </c:pt>
                <c:pt idx="22">
                  <c:v>38.793103448275858</c:v>
                </c:pt>
                <c:pt idx="23">
                  <c:v>40.517241379310342</c:v>
                </c:pt>
                <c:pt idx="24">
                  <c:v>42.241379310344826</c:v>
                </c:pt>
                <c:pt idx="25">
                  <c:v>43.965517241379303</c:v>
                </c:pt>
                <c:pt idx="26">
                  <c:v>45.689655172413786</c:v>
                </c:pt>
                <c:pt idx="27">
                  <c:v>47.41379310344827</c:v>
                </c:pt>
                <c:pt idx="28">
                  <c:v>49.137931034482754</c:v>
                </c:pt>
                <c:pt idx="29">
                  <c:v>50.862068965517238</c:v>
                </c:pt>
                <c:pt idx="30">
                  <c:v>52.586206896551715</c:v>
                </c:pt>
                <c:pt idx="31">
                  <c:v>54.310344827586199</c:v>
                </c:pt>
                <c:pt idx="32">
                  <c:v>56.034482758620683</c:v>
                </c:pt>
                <c:pt idx="33">
                  <c:v>57.758620689655167</c:v>
                </c:pt>
                <c:pt idx="34">
                  <c:v>59.482758620689651</c:v>
                </c:pt>
                <c:pt idx="35">
                  <c:v>61.206896551724128</c:v>
                </c:pt>
                <c:pt idx="36">
                  <c:v>62.931034482758612</c:v>
                </c:pt>
                <c:pt idx="37">
                  <c:v>64.655172413793096</c:v>
                </c:pt>
                <c:pt idx="38">
                  <c:v>66.379310344827573</c:v>
                </c:pt>
                <c:pt idx="39">
                  <c:v>68.103448275862064</c:v>
                </c:pt>
                <c:pt idx="40">
                  <c:v>69.827586206896541</c:v>
                </c:pt>
                <c:pt idx="41">
                  <c:v>71.551724137931032</c:v>
                </c:pt>
                <c:pt idx="42">
                  <c:v>73.275862068965509</c:v>
                </c:pt>
                <c:pt idx="43">
                  <c:v>74.999999999999986</c:v>
                </c:pt>
                <c:pt idx="44">
                  <c:v>76.724137931034477</c:v>
                </c:pt>
                <c:pt idx="45">
                  <c:v>78.448275862068954</c:v>
                </c:pt>
                <c:pt idx="46">
                  <c:v>80.172413793103445</c:v>
                </c:pt>
                <c:pt idx="47">
                  <c:v>81.896551724137922</c:v>
                </c:pt>
                <c:pt idx="48">
                  <c:v>83.620689655172413</c:v>
                </c:pt>
                <c:pt idx="49">
                  <c:v>85.34482758620689</c:v>
                </c:pt>
                <c:pt idx="50">
                  <c:v>87.068965517241367</c:v>
                </c:pt>
                <c:pt idx="51">
                  <c:v>88.793103448275858</c:v>
                </c:pt>
                <c:pt idx="52">
                  <c:v>90.517241379310335</c:v>
                </c:pt>
                <c:pt idx="53">
                  <c:v>92.241379310344826</c:v>
                </c:pt>
                <c:pt idx="54">
                  <c:v>93.965517241379303</c:v>
                </c:pt>
                <c:pt idx="55">
                  <c:v>95.689655172413779</c:v>
                </c:pt>
                <c:pt idx="56">
                  <c:v>97.41379310344827</c:v>
                </c:pt>
                <c:pt idx="57">
                  <c:v>99.137931034482747</c:v>
                </c:pt>
              </c:numCache>
            </c:numRef>
          </c:xVal>
          <c:yVal>
            <c:numRef>
              <c:f>'АД Y от Х1'!$G$25:$G$82</c:f>
              <c:numCache>
                <c:formatCode>General</c:formatCode>
                <c:ptCount val="58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102.32</c:v>
                </c:pt>
                <c:pt idx="4">
                  <c:v>102.55</c:v>
                </c:pt>
                <c:pt idx="5">
                  <c:v>104.35</c:v>
                </c:pt>
                <c:pt idx="6">
                  <c:v>106.49</c:v>
                </c:pt>
                <c:pt idx="7">
                  <c:v>106.57</c:v>
                </c:pt>
                <c:pt idx="8">
                  <c:v>106.61</c:v>
                </c:pt>
                <c:pt idx="9">
                  <c:v>107.03</c:v>
                </c:pt>
                <c:pt idx="10">
                  <c:v>107.04</c:v>
                </c:pt>
                <c:pt idx="11">
                  <c:v>107.47</c:v>
                </c:pt>
                <c:pt idx="12">
                  <c:v>107.57</c:v>
                </c:pt>
                <c:pt idx="13">
                  <c:v>107.8</c:v>
                </c:pt>
                <c:pt idx="14">
                  <c:v>108.19</c:v>
                </c:pt>
                <c:pt idx="15">
                  <c:v>108.36</c:v>
                </c:pt>
                <c:pt idx="16">
                  <c:v>108.49</c:v>
                </c:pt>
                <c:pt idx="17">
                  <c:v>108.86</c:v>
                </c:pt>
                <c:pt idx="18">
                  <c:v>109.5</c:v>
                </c:pt>
                <c:pt idx="19">
                  <c:v>109.76</c:v>
                </c:pt>
                <c:pt idx="20">
                  <c:v>111.35</c:v>
                </c:pt>
                <c:pt idx="21">
                  <c:v>111.39</c:v>
                </c:pt>
                <c:pt idx="22">
                  <c:v>111.96</c:v>
                </c:pt>
                <c:pt idx="23">
                  <c:v>113.35</c:v>
                </c:pt>
                <c:pt idx="24">
                  <c:v>115.27</c:v>
                </c:pt>
                <c:pt idx="25">
                  <c:v>115.88</c:v>
                </c:pt>
                <c:pt idx="26">
                  <c:v>117.17</c:v>
                </c:pt>
                <c:pt idx="27">
                  <c:v>117.26</c:v>
                </c:pt>
                <c:pt idx="28">
                  <c:v>117.54</c:v>
                </c:pt>
                <c:pt idx="29">
                  <c:v>117.61</c:v>
                </c:pt>
                <c:pt idx="30">
                  <c:v>122.58</c:v>
                </c:pt>
                <c:pt idx="31">
                  <c:v>128.16</c:v>
                </c:pt>
                <c:pt idx="32">
                  <c:v>128.94</c:v>
                </c:pt>
                <c:pt idx="33">
                  <c:v>129.16</c:v>
                </c:pt>
                <c:pt idx="34">
                  <c:v>129.30000000000001</c:v>
                </c:pt>
                <c:pt idx="35">
                  <c:v>130.28</c:v>
                </c:pt>
                <c:pt idx="36">
                  <c:v>130.59</c:v>
                </c:pt>
                <c:pt idx="37">
                  <c:v>131.22</c:v>
                </c:pt>
                <c:pt idx="38">
                  <c:v>132.01</c:v>
                </c:pt>
                <c:pt idx="39">
                  <c:v>132.52000000000001</c:v>
                </c:pt>
                <c:pt idx="40">
                  <c:v>132.86000000000001</c:v>
                </c:pt>
                <c:pt idx="41">
                  <c:v>133.72999999999999</c:v>
                </c:pt>
                <c:pt idx="42">
                  <c:v>134.25</c:v>
                </c:pt>
                <c:pt idx="43">
                  <c:v>134.27000000000001</c:v>
                </c:pt>
                <c:pt idx="44">
                  <c:v>134.38999999999999</c:v>
                </c:pt>
                <c:pt idx="45">
                  <c:v>134.46</c:v>
                </c:pt>
                <c:pt idx="46">
                  <c:v>134.51</c:v>
                </c:pt>
                <c:pt idx="47">
                  <c:v>134.72999999999999</c:v>
                </c:pt>
                <c:pt idx="48">
                  <c:v>134.91999999999999</c:v>
                </c:pt>
                <c:pt idx="49">
                  <c:v>135.22</c:v>
                </c:pt>
                <c:pt idx="50">
                  <c:v>135.69999999999999</c:v>
                </c:pt>
                <c:pt idx="51">
                  <c:v>136.06</c:v>
                </c:pt>
                <c:pt idx="52">
                  <c:v>136.12</c:v>
                </c:pt>
                <c:pt idx="53">
                  <c:v>136.13999999999999</c:v>
                </c:pt>
                <c:pt idx="54">
                  <c:v>137.5</c:v>
                </c:pt>
                <c:pt idx="55">
                  <c:v>139.1</c:v>
                </c:pt>
                <c:pt idx="56">
                  <c:v>140.09</c:v>
                </c:pt>
                <c:pt idx="57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3E-426E-BA3E-13A473C6B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45856"/>
        <c:axId val="542331168"/>
      </c:scatterChart>
      <c:valAx>
        <c:axId val="54234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31168"/>
        <c:crosses val="autoZero"/>
        <c:crossBetween val="midCat"/>
      </c:valAx>
      <c:valAx>
        <c:axId val="542331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45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'Тренд (лин)'!$A$4:$A$61</c:f>
              <c:numCache>
                <c:formatCode>General</c:formatCode>
                <c:ptCount val="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</c:numCache>
            </c:numRef>
          </c:xVal>
          <c:yVal>
            <c:numRef>
              <c:f>'АД тренд (лин)'!$C$25:$C$82</c:f>
              <c:numCache>
                <c:formatCode>General</c:formatCode>
                <c:ptCount val="58"/>
                <c:pt idx="0">
                  <c:v>-0.36526592635888733</c:v>
                </c:pt>
                <c:pt idx="1">
                  <c:v>-1.114942016057114</c:v>
                </c:pt>
                <c:pt idx="2">
                  <c:v>-1.8046181057553525</c:v>
                </c:pt>
                <c:pt idx="3">
                  <c:v>-2.5442941954535883</c:v>
                </c:pt>
                <c:pt idx="4">
                  <c:v>-2.6939702851518348</c:v>
                </c:pt>
                <c:pt idx="5">
                  <c:v>-1.5336463748500648</c:v>
                </c:pt>
                <c:pt idx="6">
                  <c:v>1.0466775354516926</c:v>
                </c:pt>
                <c:pt idx="7">
                  <c:v>4.7970014457534518</c:v>
                </c:pt>
                <c:pt idx="8">
                  <c:v>7.4673253560552268</c:v>
                </c:pt>
                <c:pt idx="9">
                  <c:v>8.7276492663569911</c:v>
                </c:pt>
                <c:pt idx="10">
                  <c:v>8.5279731766587474</c:v>
                </c:pt>
                <c:pt idx="11">
                  <c:v>7.5382970869605259</c:v>
                </c:pt>
                <c:pt idx="12">
                  <c:v>5.5186209972622748</c:v>
                </c:pt>
                <c:pt idx="13">
                  <c:v>2.3489449075640323</c:v>
                </c:pt>
                <c:pt idx="14">
                  <c:v>-0.25073118213420287</c:v>
                </c:pt>
                <c:pt idx="15">
                  <c:v>-2.5204072718324255</c:v>
                </c:pt>
                <c:pt idx="16">
                  <c:v>-3.4200833615306721</c:v>
                </c:pt>
                <c:pt idx="17">
                  <c:v>-4.699759451228914</c:v>
                </c:pt>
                <c:pt idx="18">
                  <c:v>-5.7094355409271458</c:v>
                </c:pt>
                <c:pt idx="19">
                  <c:v>-6.4791116306253826</c:v>
                </c:pt>
                <c:pt idx="20">
                  <c:v>-7.2887877203236258</c:v>
                </c:pt>
                <c:pt idx="21">
                  <c:v>-8.3184638100218677</c:v>
                </c:pt>
                <c:pt idx="22">
                  <c:v>-9.2881398997200932</c:v>
                </c:pt>
                <c:pt idx="23">
                  <c:v>-10.367815989418332</c:v>
                </c:pt>
                <c:pt idx="24">
                  <c:v>-11.427492079116575</c:v>
                </c:pt>
                <c:pt idx="25">
                  <c:v>-12.107168168814809</c:v>
                </c:pt>
                <c:pt idx="26">
                  <c:v>-12.826844258513049</c:v>
                </c:pt>
                <c:pt idx="27">
                  <c:v>-12.916520348211279</c:v>
                </c:pt>
                <c:pt idx="28">
                  <c:v>-9.2461964379095321</c:v>
                </c:pt>
                <c:pt idx="29">
                  <c:v>-3.6958725276077473</c:v>
                </c:pt>
                <c:pt idx="30">
                  <c:v>0.70445138269400331</c:v>
                </c:pt>
                <c:pt idx="31">
                  <c:v>5.6447752929957602</c:v>
                </c:pt>
                <c:pt idx="32">
                  <c:v>9.70509920329755</c:v>
                </c:pt>
                <c:pt idx="33">
                  <c:v>11.125423113599282</c:v>
                </c:pt>
                <c:pt idx="34">
                  <c:v>11.265747023901042</c:v>
                </c:pt>
                <c:pt idx="35">
                  <c:v>11.066070934202799</c:v>
                </c:pt>
                <c:pt idx="36">
                  <c:v>14.436394844504591</c:v>
                </c:pt>
                <c:pt idx="37">
                  <c:v>13.736718754806347</c:v>
                </c:pt>
                <c:pt idx="38">
                  <c:v>12.107042665108096</c:v>
                </c:pt>
                <c:pt idx="39">
                  <c:v>9.8673665754098749</c:v>
                </c:pt>
                <c:pt idx="40">
                  <c:v>7.8476904857116381</c:v>
                </c:pt>
                <c:pt idx="41">
                  <c:v>6.308014396013391</c:v>
                </c:pt>
                <c:pt idx="42">
                  <c:v>5.1783383063151405</c:v>
                </c:pt>
                <c:pt idx="43">
                  <c:v>4.1986622166168956</c:v>
                </c:pt>
                <c:pt idx="44">
                  <c:v>3.6789861269186872</c:v>
                </c:pt>
                <c:pt idx="45">
                  <c:v>2.9893100372204628</c:v>
                </c:pt>
                <c:pt idx="46">
                  <c:v>2.1596339475222237</c:v>
                </c:pt>
                <c:pt idx="47">
                  <c:v>0.97995785782396183</c:v>
                </c:pt>
                <c:pt idx="48">
                  <c:v>-1.3797182318742784</c:v>
                </c:pt>
                <c:pt idx="49">
                  <c:v>-3.4393943215725074</c:v>
                </c:pt>
                <c:pt idx="50">
                  <c:v>-4.389070411270751</c:v>
                </c:pt>
                <c:pt idx="51">
                  <c:v>-6.148746500968997</c:v>
                </c:pt>
                <c:pt idx="52">
                  <c:v>-7.0084225906672089</c:v>
                </c:pt>
                <c:pt idx="53">
                  <c:v>-7.2880986803654366</c:v>
                </c:pt>
                <c:pt idx="54">
                  <c:v>-6.0077747700636905</c:v>
                </c:pt>
                <c:pt idx="55">
                  <c:v>-5.3474508597619206</c:v>
                </c:pt>
                <c:pt idx="56">
                  <c:v>-4.2571269494601722</c:v>
                </c:pt>
                <c:pt idx="57">
                  <c:v>-3.0868030391583829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298-4C6E-8DD2-09E47F5B0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46944"/>
        <c:axId val="542347488"/>
      </c:scatterChart>
      <c:valAx>
        <c:axId val="54234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47488"/>
        <c:crosses val="autoZero"/>
        <c:crossBetween val="midCat"/>
      </c:valAx>
      <c:valAx>
        <c:axId val="542347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46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'Тренд (лин)'!$A$4:$A$61</c:f>
              <c:numCache>
                <c:formatCode>General</c:formatCode>
                <c:ptCount val="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</c:numCache>
            </c:numRef>
          </c:xVal>
          <c:yVal>
            <c:numRef>
              <c:f>'Тренд (лин)'!$B$4:$B$61</c:f>
              <c:numCache>
                <c:formatCode>0.00</c:formatCode>
                <c:ptCount val="58"/>
                <c:pt idx="0">
                  <c:v>102.32</c:v>
                </c:pt>
                <c:pt idx="1">
                  <c:v>102.21</c:v>
                </c:pt>
                <c:pt idx="2">
                  <c:v>102.16</c:v>
                </c:pt>
                <c:pt idx="3">
                  <c:v>102.06</c:v>
                </c:pt>
                <c:pt idx="4">
                  <c:v>102.55</c:v>
                </c:pt>
                <c:pt idx="5">
                  <c:v>104.35</c:v>
                </c:pt>
                <c:pt idx="6">
                  <c:v>107.57</c:v>
                </c:pt>
                <c:pt idx="7">
                  <c:v>111.96</c:v>
                </c:pt>
                <c:pt idx="8">
                  <c:v>115.27</c:v>
                </c:pt>
                <c:pt idx="9">
                  <c:v>117.17</c:v>
                </c:pt>
                <c:pt idx="10">
                  <c:v>117.61</c:v>
                </c:pt>
                <c:pt idx="11">
                  <c:v>117.26</c:v>
                </c:pt>
                <c:pt idx="12">
                  <c:v>115.88</c:v>
                </c:pt>
                <c:pt idx="13">
                  <c:v>113.35</c:v>
                </c:pt>
                <c:pt idx="14">
                  <c:v>111.39</c:v>
                </c:pt>
                <c:pt idx="15">
                  <c:v>109.76</c:v>
                </c:pt>
                <c:pt idx="16">
                  <c:v>109.5</c:v>
                </c:pt>
                <c:pt idx="17">
                  <c:v>108.86</c:v>
                </c:pt>
                <c:pt idx="18">
                  <c:v>108.49</c:v>
                </c:pt>
                <c:pt idx="19">
                  <c:v>108.36</c:v>
                </c:pt>
                <c:pt idx="20">
                  <c:v>108.19</c:v>
                </c:pt>
                <c:pt idx="21">
                  <c:v>107.8</c:v>
                </c:pt>
                <c:pt idx="22">
                  <c:v>107.47</c:v>
                </c:pt>
                <c:pt idx="23">
                  <c:v>107.03</c:v>
                </c:pt>
                <c:pt idx="24">
                  <c:v>106.61</c:v>
                </c:pt>
                <c:pt idx="25">
                  <c:v>106.57</c:v>
                </c:pt>
                <c:pt idx="26">
                  <c:v>106.49</c:v>
                </c:pt>
                <c:pt idx="27">
                  <c:v>107.04</c:v>
                </c:pt>
                <c:pt idx="28">
                  <c:v>111.35</c:v>
                </c:pt>
                <c:pt idx="29">
                  <c:v>117.54</c:v>
                </c:pt>
                <c:pt idx="30">
                  <c:v>122.58</c:v>
                </c:pt>
                <c:pt idx="31">
                  <c:v>128.16</c:v>
                </c:pt>
                <c:pt idx="32">
                  <c:v>132.86000000000001</c:v>
                </c:pt>
                <c:pt idx="33">
                  <c:v>134.91999999999999</c:v>
                </c:pt>
                <c:pt idx="34">
                  <c:v>135.69999999999999</c:v>
                </c:pt>
                <c:pt idx="35">
                  <c:v>136.13999999999999</c:v>
                </c:pt>
                <c:pt idx="36">
                  <c:v>140.15</c:v>
                </c:pt>
                <c:pt idx="37">
                  <c:v>140.09</c:v>
                </c:pt>
                <c:pt idx="38">
                  <c:v>139.1</c:v>
                </c:pt>
                <c:pt idx="39">
                  <c:v>137.5</c:v>
                </c:pt>
                <c:pt idx="40">
                  <c:v>136.12</c:v>
                </c:pt>
                <c:pt idx="41">
                  <c:v>135.22</c:v>
                </c:pt>
                <c:pt idx="42">
                  <c:v>134.72999999999999</c:v>
                </c:pt>
                <c:pt idx="43">
                  <c:v>134.38999999999999</c:v>
                </c:pt>
                <c:pt idx="44">
                  <c:v>134.51</c:v>
                </c:pt>
                <c:pt idx="45">
                  <c:v>134.46</c:v>
                </c:pt>
                <c:pt idx="46">
                  <c:v>134.27000000000001</c:v>
                </c:pt>
                <c:pt idx="47">
                  <c:v>133.72999999999999</c:v>
                </c:pt>
                <c:pt idx="48">
                  <c:v>132.01</c:v>
                </c:pt>
                <c:pt idx="49">
                  <c:v>130.59</c:v>
                </c:pt>
                <c:pt idx="50">
                  <c:v>130.28</c:v>
                </c:pt>
                <c:pt idx="51">
                  <c:v>129.16</c:v>
                </c:pt>
                <c:pt idx="52">
                  <c:v>128.94</c:v>
                </c:pt>
                <c:pt idx="53">
                  <c:v>129.30000000000001</c:v>
                </c:pt>
                <c:pt idx="54">
                  <c:v>131.22</c:v>
                </c:pt>
                <c:pt idx="55">
                  <c:v>132.52000000000001</c:v>
                </c:pt>
                <c:pt idx="56">
                  <c:v>134.25</c:v>
                </c:pt>
                <c:pt idx="57">
                  <c:v>136.06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88F-4C68-80B1-44F7DDE9B604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'Тренд (лин)'!$A$4:$A$61</c:f>
              <c:numCache>
                <c:formatCode>General</c:formatCode>
                <c:ptCount val="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</c:numCache>
            </c:numRef>
          </c:xVal>
          <c:yVal>
            <c:numRef>
              <c:f>'АД тренд (лин)'!$B$25:$B$82</c:f>
              <c:numCache>
                <c:formatCode>General</c:formatCode>
                <c:ptCount val="58"/>
                <c:pt idx="0">
                  <c:v>102.68526592635888</c:v>
                </c:pt>
                <c:pt idx="1">
                  <c:v>103.32494201605711</c:v>
                </c:pt>
                <c:pt idx="2">
                  <c:v>103.96461810575535</c:v>
                </c:pt>
                <c:pt idx="3">
                  <c:v>104.60429419545359</c:v>
                </c:pt>
                <c:pt idx="4">
                  <c:v>105.24397028515183</c:v>
                </c:pt>
                <c:pt idx="5">
                  <c:v>105.88364637485006</c:v>
                </c:pt>
                <c:pt idx="6">
                  <c:v>106.5233224645483</c:v>
                </c:pt>
                <c:pt idx="7">
                  <c:v>107.16299855424654</c:v>
                </c:pt>
                <c:pt idx="8">
                  <c:v>107.80267464394477</c:v>
                </c:pt>
                <c:pt idx="9">
                  <c:v>108.44235073364301</c:v>
                </c:pt>
                <c:pt idx="10">
                  <c:v>109.08202682334125</c:v>
                </c:pt>
                <c:pt idx="11">
                  <c:v>109.72170291303948</c:v>
                </c:pt>
                <c:pt idx="12">
                  <c:v>110.36137900273772</c:v>
                </c:pt>
                <c:pt idx="13">
                  <c:v>111.00105509243596</c:v>
                </c:pt>
                <c:pt idx="14">
                  <c:v>111.6407311821342</c:v>
                </c:pt>
                <c:pt idx="15">
                  <c:v>112.28040727183243</c:v>
                </c:pt>
                <c:pt idx="16">
                  <c:v>112.92008336153067</c:v>
                </c:pt>
                <c:pt idx="17">
                  <c:v>113.55975945122891</c:v>
                </c:pt>
                <c:pt idx="18">
                  <c:v>114.19943554092714</c:v>
                </c:pt>
                <c:pt idx="19">
                  <c:v>114.83911163062538</c:v>
                </c:pt>
                <c:pt idx="20">
                  <c:v>115.47878772032362</c:v>
                </c:pt>
                <c:pt idx="21">
                  <c:v>116.11846381002186</c:v>
                </c:pt>
                <c:pt idx="22">
                  <c:v>116.75813989972009</c:v>
                </c:pt>
                <c:pt idx="23">
                  <c:v>117.39781598941833</c:v>
                </c:pt>
                <c:pt idx="24">
                  <c:v>118.03749207911657</c:v>
                </c:pt>
                <c:pt idx="25">
                  <c:v>118.6771681688148</c:v>
                </c:pt>
                <c:pt idx="26">
                  <c:v>119.31684425851304</c:v>
                </c:pt>
                <c:pt idx="27">
                  <c:v>119.95652034821128</c:v>
                </c:pt>
                <c:pt idx="28">
                  <c:v>120.59619643790953</c:v>
                </c:pt>
                <c:pt idx="29">
                  <c:v>121.23587252760775</c:v>
                </c:pt>
                <c:pt idx="30">
                  <c:v>121.87554861730599</c:v>
                </c:pt>
                <c:pt idx="31">
                  <c:v>122.51522470700424</c:v>
                </c:pt>
                <c:pt idx="32">
                  <c:v>123.15490079670246</c:v>
                </c:pt>
                <c:pt idx="33">
                  <c:v>123.79457688640071</c:v>
                </c:pt>
                <c:pt idx="34">
                  <c:v>124.43425297609895</c:v>
                </c:pt>
                <c:pt idx="35">
                  <c:v>125.07392906579719</c:v>
                </c:pt>
                <c:pt idx="36">
                  <c:v>125.71360515549542</c:v>
                </c:pt>
                <c:pt idx="37">
                  <c:v>126.35328124519366</c:v>
                </c:pt>
                <c:pt idx="38">
                  <c:v>126.9929573348919</c:v>
                </c:pt>
                <c:pt idx="39">
                  <c:v>127.63263342459013</c:v>
                </c:pt>
                <c:pt idx="40">
                  <c:v>128.27230951428837</c:v>
                </c:pt>
                <c:pt idx="41">
                  <c:v>128.91198560398661</c:v>
                </c:pt>
                <c:pt idx="42">
                  <c:v>129.55166169368485</c:v>
                </c:pt>
                <c:pt idx="43">
                  <c:v>130.19133778338309</c:v>
                </c:pt>
                <c:pt idx="44">
                  <c:v>130.8310138730813</c:v>
                </c:pt>
                <c:pt idx="45">
                  <c:v>131.47068996277955</c:v>
                </c:pt>
                <c:pt idx="46">
                  <c:v>132.11036605247779</c:v>
                </c:pt>
                <c:pt idx="47">
                  <c:v>132.75004214217603</c:v>
                </c:pt>
                <c:pt idx="48">
                  <c:v>133.38971823187427</c:v>
                </c:pt>
                <c:pt idx="49">
                  <c:v>134.02939432157251</c:v>
                </c:pt>
                <c:pt idx="50">
                  <c:v>134.66907041127075</c:v>
                </c:pt>
                <c:pt idx="51">
                  <c:v>135.30874650096899</c:v>
                </c:pt>
                <c:pt idx="52">
                  <c:v>135.94842259066721</c:v>
                </c:pt>
                <c:pt idx="53">
                  <c:v>136.58809868036545</c:v>
                </c:pt>
                <c:pt idx="54">
                  <c:v>137.22777477006369</c:v>
                </c:pt>
                <c:pt idx="55">
                  <c:v>137.86745085976193</c:v>
                </c:pt>
                <c:pt idx="56">
                  <c:v>138.50712694946017</c:v>
                </c:pt>
                <c:pt idx="57">
                  <c:v>139.14680303915839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88F-4C68-80B1-44F7DDE9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49120"/>
        <c:axId val="542349664"/>
      </c:scatterChart>
      <c:valAx>
        <c:axId val="54234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49664"/>
        <c:crosses val="autoZero"/>
        <c:crossBetween val="midCat"/>
      </c:valAx>
      <c:valAx>
        <c:axId val="5423496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542349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График нормального распределения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'АД тренд (лин)'!$F$25:$F$82</c:f>
              <c:numCache>
                <c:formatCode>General</c:formatCode>
                <c:ptCount val="58"/>
                <c:pt idx="0">
                  <c:v>0.86206896551724133</c:v>
                </c:pt>
                <c:pt idx="1">
                  <c:v>2.5862068965517242</c:v>
                </c:pt>
                <c:pt idx="2">
                  <c:v>4.3103448275862064</c:v>
                </c:pt>
                <c:pt idx="3">
                  <c:v>6.0344827586206895</c:v>
                </c:pt>
                <c:pt idx="4">
                  <c:v>7.7586206896551717</c:v>
                </c:pt>
                <c:pt idx="5">
                  <c:v>9.4827586206896548</c:v>
                </c:pt>
                <c:pt idx="6">
                  <c:v>11.206896551724139</c:v>
                </c:pt>
                <c:pt idx="7">
                  <c:v>12.931034482758621</c:v>
                </c:pt>
                <c:pt idx="8">
                  <c:v>14.655172413793103</c:v>
                </c:pt>
                <c:pt idx="9">
                  <c:v>16.379310344827584</c:v>
                </c:pt>
                <c:pt idx="10">
                  <c:v>18.103448275862068</c:v>
                </c:pt>
                <c:pt idx="11">
                  <c:v>19.827586206896552</c:v>
                </c:pt>
                <c:pt idx="12">
                  <c:v>21.551724137931036</c:v>
                </c:pt>
                <c:pt idx="13">
                  <c:v>23.275862068965516</c:v>
                </c:pt>
                <c:pt idx="14">
                  <c:v>25</c:v>
                </c:pt>
                <c:pt idx="15">
                  <c:v>26.72413793103448</c:v>
                </c:pt>
                <c:pt idx="16">
                  <c:v>28.448275862068964</c:v>
                </c:pt>
                <c:pt idx="17">
                  <c:v>30.172413793103448</c:v>
                </c:pt>
                <c:pt idx="18">
                  <c:v>31.896551724137929</c:v>
                </c:pt>
                <c:pt idx="19">
                  <c:v>33.620689655172406</c:v>
                </c:pt>
                <c:pt idx="20">
                  <c:v>35.34482758620689</c:v>
                </c:pt>
                <c:pt idx="21">
                  <c:v>37.068965517241374</c:v>
                </c:pt>
                <c:pt idx="22">
                  <c:v>38.793103448275858</c:v>
                </c:pt>
                <c:pt idx="23">
                  <c:v>40.517241379310342</c:v>
                </c:pt>
                <c:pt idx="24">
                  <c:v>42.241379310344826</c:v>
                </c:pt>
                <c:pt idx="25">
                  <c:v>43.965517241379303</c:v>
                </c:pt>
                <c:pt idx="26">
                  <c:v>45.689655172413786</c:v>
                </c:pt>
                <c:pt idx="27">
                  <c:v>47.41379310344827</c:v>
                </c:pt>
                <c:pt idx="28">
                  <c:v>49.137931034482754</c:v>
                </c:pt>
                <c:pt idx="29">
                  <c:v>50.862068965517238</c:v>
                </c:pt>
                <c:pt idx="30">
                  <c:v>52.586206896551715</c:v>
                </c:pt>
                <c:pt idx="31">
                  <c:v>54.310344827586199</c:v>
                </c:pt>
                <c:pt idx="32">
                  <c:v>56.034482758620683</c:v>
                </c:pt>
                <c:pt idx="33">
                  <c:v>57.758620689655167</c:v>
                </c:pt>
                <c:pt idx="34">
                  <c:v>59.482758620689651</c:v>
                </c:pt>
                <c:pt idx="35">
                  <c:v>61.206896551724128</c:v>
                </c:pt>
                <c:pt idx="36">
                  <c:v>62.931034482758612</c:v>
                </c:pt>
                <c:pt idx="37">
                  <c:v>64.655172413793096</c:v>
                </c:pt>
                <c:pt idx="38">
                  <c:v>66.379310344827573</c:v>
                </c:pt>
                <c:pt idx="39">
                  <c:v>68.103448275862064</c:v>
                </c:pt>
                <c:pt idx="40">
                  <c:v>69.827586206896541</c:v>
                </c:pt>
                <c:pt idx="41">
                  <c:v>71.551724137931032</c:v>
                </c:pt>
                <c:pt idx="42">
                  <c:v>73.275862068965509</c:v>
                </c:pt>
                <c:pt idx="43">
                  <c:v>74.999999999999986</c:v>
                </c:pt>
                <c:pt idx="44">
                  <c:v>76.724137931034477</c:v>
                </c:pt>
                <c:pt idx="45">
                  <c:v>78.448275862068954</c:v>
                </c:pt>
                <c:pt idx="46">
                  <c:v>80.172413793103445</c:v>
                </c:pt>
                <c:pt idx="47">
                  <c:v>81.896551724137922</c:v>
                </c:pt>
                <c:pt idx="48">
                  <c:v>83.620689655172413</c:v>
                </c:pt>
                <c:pt idx="49">
                  <c:v>85.34482758620689</c:v>
                </c:pt>
                <c:pt idx="50">
                  <c:v>87.068965517241367</c:v>
                </c:pt>
                <c:pt idx="51">
                  <c:v>88.793103448275858</c:v>
                </c:pt>
                <c:pt idx="52">
                  <c:v>90.517241379310335</c:v>
                </c:pt>
                <c:pt idx="53">
                  <c:v>92.241379310344826</c:v>
                </c:pt>
                <c:pt idx="54">
                  <c:v>93.965517241379303</c:v>
                </c:pt>
                <c:pt idx="55">
                  <c:v>95.689655172413779</c:v>
                </c:pt>
                <c:pt idx="56">
                  <c:v>97.41379310344827</c:v>
                </c:pt>
                <c:pt idx="57">
                  <c:v>99.137931034482747</c:v>
                </c:pt>
              </c:numCache>
            </c:numRef>
          </c:xVal>
          <c:yVal>
            <c:numRef>
              <c:f>'АД тренд (лин)'!$G$25:$G$82</c:f>
              <c:numCache>
                <c:formatCode>General</c:formatCode>
                <c:ptCount val="58"/>
                <c:pt idx="0">
                  <c:v>102.06</c:v>
                </c:pt>
                <c:pt idx="1">
                  <c:v>102.16</c:v>
                </c:pt>
                <c:pt idx="2">
                  <c:v>102.21</c:v>
                </c:pt>
                <c:pt idx="3">
                  <c:v>102.32</c:v>
                </c:pt>
                <c:pt idx="4">
                  <c:v>102.55</c:v>
                </c:pt>
                <c:pt idx="5">
                  <c:v>104.35</c:v>
                </c:pt>
                <c:pt idx="6">
                  <c:v>106.49</c:v>
                </c:pt>
                <c:pt idx="7">
                  <c:v>106.57</c:v>
                </c:pt>
                <c:pt idx="8">
                  <c:v>106.61</c:v>
                </c:pt>
                <c:pt idx="9">
                  <c:v>107.03</c:v>
                </c:pt>
                <c:pt idx="10">
                  <c:v>107.04</c:v>
                </c:pt>
                <c:pt idx="11">
                  <c:v>107.47</c:v>
                </c:pt>
                <c:pt idx="12">
                  <c:v>107.57</c:v>
                </c:pt>
                <c:pt idx="13">
                  <c:v>107.8</c:v>
                </c:pt>
                <c:pt idx="14">
                  <c:v>108.19</c:v>
                </c:pt>
                <c:pt idx="15">
                  <c:v>108.36</c:v>
                </c:pt>
                <c:pt idx="16">
                  <c:v>108.49</c:v>
                </c:pt>
                <c:pt idx="17">
                  <c:v>108.86</c:v>
                </c:pt>
                <c:pt idx="18">
                  <c:v>109.5</c:v>
                </c:pt>
                <c:pt idx="19">
                  <c:v>109.76</c:v>
                </c:pt>
                <c:pt idx="20">
                  <c:v>111.35</c:v>
                </c:pt>
                <c:pt idx="21">
                  <c:v>111.39</c:v>
                </c:pt>
                <c:pt idx="22">
                  <c:v>111.96</c:v>
                </c:pt>
                <c:pt idx="23">
                  <c:v>113.35</c:v>
                </c:pt>
                <c:pt idx="24">
                  <c:v>115.27</c:v>
                </c:pt>
                <c:pt idx="25">
                  <c:v>115.88</c:v>
                </c:pt>
                <c:pt idx="26">
                  <c:v>117.17</c:v>
                </c:pt>
                <c:pt idx="27">
                  <c:v>117.26</c:v>
                </c:pt>
                <c:pt idx="28">
                  <c:v>117.54</c:v>
                </c:pt>
                <c:pt idx="29">
                  <c:v>117.61</c:v>
                </c:pt>
                <c:pt idx="30">
                  <c:v>122.58</c:v>
                </c:pt>
                <c:pt idx="31">
                  <c:v>128.16</c:v>
                </c:pt>
                <c:pt idx="32">
                  <c:v>128.94</c:v>
                </c:pt>
                <c:pt idx="33">
                  <c:v>129.16</c:v>
                </c:pt>
                <c:pt idx="34">
                  <c:v>129.30000000000001</c:v>
                </c:pt>
                <c:pt idx="35">
                  <c:v>130.28</c:v>
                </c:pt>
                <c:pt idx="36">
                  <c:v>130.59</c:v>
                </c:pt>
                <c:pt idx="37">
                  <c:v>131.22</c:v>
                </c:pt>
                <c:pt idx="38">
                  <c:v>132.01</c:v>
                </c:pt>
                <c:pt idx="39">
                  <c:v>132.52000000000001</c:v>
                </c:pt>
                <c:pt idx="40">
                  <c:v>132.86000000000001</c:v>
                </c:pt>
                <c:pt idx="41">
                  <c:v>133.72999999999999</c:v>
                </c:pt>
                <c:pt idx="42">
                  <c:v>134.25</c:v>
                </c:pt>
                <c:pt idx="43">
                  <c:v>134.27000000000001</c:v>
                </c:pt>
                <c:pt idx="44">
                  <c:v>134.38999999999999</c:v>
                </c:pt>
                <c:pt idx="45">
                  <c:v>134.46</c:v>
                </c:pt>
                <c:pt idx="46">
                  <c:v>134.51</c:v>
                </c:pt>
                <c:pt idx="47">
                  <c:v>134.72999999999999</c:v>
                </c:pt>
                <c:pt idx="48">
                  <c:v>134.91999999999999</c:v>
                </c:pt>
                <c:pt idx="49">
                  <c:v>135.22</c:v>
                </c:pt>
                <c:pt idx="50">
                  <c:v>135.69999999999999</c:v>
                </c:pt>
                <c:pt idx="51">
                  <c:v>136.06</c:v>
                </c:pt>
                <c:pt idx="52">
                  <c:v>136.12</c:v>
                </c:pt>
                <c:pt idx="53">
                  <c:v>136.13999999999999</c:v>
                </c:pt>
                <c:pt idx="54">
                  <c:v>137.5</c:v>
                </c:pt>
                <c:pt idx="55">
                  <c:v>139.1</c:v>
                </c:pt>
                <c:pt idx="56">
                  <c:v>140.09</c:v>
                </c:pt>
                <c:pt idx="57">
                  <c:v>140.15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76-472B-8629-34A3F8196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55104"/>
        <c:axId val="542325184"/>
      </c:scatterChart>
      <c:valAx>
        <c:axId val="54235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25184"/>
        <c:crosses val="autoZero"/>
        <c:crossBetween val="midCat"/>
      </c:valAx>
      <c:valAx>
        <c:axId val="542325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55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hyperlink" Target="#&#1042;&#1099;&#1074;&#1086;&#1076;&#1099;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1042;&#1099;&#1074;&#1086;&#1076;&#1099;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&#1042;&#1099;&#1074;&#1086;&#1076;&#1099;!A1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42;&#1099;&#1074;&#1086;&#1076;&#109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42;&#1099;&#1074;&#1086;&#1076;&#109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42;&#1099;&#1074;&#1086;&#1076;&#109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42;&#1099;&#1074;&#1086;&#1076;&#109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42;&#1099;&#1074;&#1086;&#1076;&#109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42;&#1099;&#1074;&#1086;&#1076;&#109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42;&#1099;&#1074;&#1086;&#1076;&#109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42;&#1099;&#1074;&#1086;&#1076;&#109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42;&#1099;&#1074;&#1086;&#1076;&#1099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&#1042;&#1099;&#1074;&#1086;&#1076;&#1099;!A1"/><Relationship Id="rId1" Type="http://schemas.openxmlformats.org/officeDocument/2006/relationships/hyperlink" Target="#'&#1072;&#1085;&#1072;&#1083;&#1080;&#1079; &#1052;&#1085;&#1086;&#1075;&#1086;&#1092;&#1072;&#1082;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'&#1072;&#1085;&#1072;&#1083;&#1080;&#1079; &#1074;&#1088;&#1077;&#1084; &#1088;&#1103;&#1076;&#1072;'!A1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hyperlink" Target="#&#1042;&#1099;&#1074;&#1086;&#1076;&#1099;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hyperlink" Target="#&#1042;&#1099;&#1074;&#1086;&#1076;&#1099;!A1"/><Relationship Id="rId4" Type="http://schemas.openxmlformats.org/officeDocument/2006/relationships/hyperlink" Target="#'&#1072;&#1085;&#1072;&#1083;&#1080;&#1079; &#1074;&#1088;&#1077;&#1084; &#1088;&#1103;&#1076;&#1072;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'&#1072;&#1085;&#1072;&#1083;&#1080;&#1079; &#1052;&#1085;&#1086;&#1075;&#1086;&#1092;&#1072;&#1082;'!A1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hyperlink" Target="#&#1042;&#1099;&#1074;&#1086;&#1076;&#1099;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hyperlink" Target="#&#1042;&#1099;&#1074;&#1086;&#1076;&#1099;!A1"/><Relationship Id="rId4" Type="http://schemas.openxmlformats.org/officeDocument/2006/relationships/hyperlink" Target="#'&#1072;&#1085;&#1072;&#1083;&#1080;&#1079; &#1059; &#1086;&#1090; &#1061;6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hyperlink" Target="#&#1042;&#1099;&#1074;&#1086;&#1076;&#1099;!A1"/><Relationship Id="rId4" Type="http://schemas.openxmlformats.org/officeDocument/2006/relationships/hyperlink" Target="#'&#1072;&#1085;&#1072;&#1083;&#1080;&#1079; &#1059; &#1086;&#1090; &#1061;5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hyperlink" Target="#&#1042;&#1099;&#1074;&#1086;&#1076;&#1099;!A1"/><Relationship Id="rId4" Type="http://schemas.openxmlformats.org/officeDocument/2006/relationships/hyperlink" Target="#'&#1072;&#1085;&#1072;&#1083;&#1080;&#1079; &#1059; &#1086;&#1090; &#1061;4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hyperlink" Target="#&#1042;&#1099;&#1074;&#1086;&#1076;&#1099;!A1"/><Relationship Id="rId4" Type="http://schemas.openxmlformats.org/officeDocument/2006/relationships/hyperlink" Target="#'&#1072;&#1085;&#1072;&#1083;&#1080;&#1079; &#1059; &#1086;&#1090; &#1061;3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hyperlink" Target="#&#1042;&#1099;&#1074;&#1086;&#1076;&#1099;!A1"/><Relationship Id="rId4" Type="http://schemas.openxmlformats.org/officeDocument/2006/relationships/hyperlink" Target="#'&#1072;&#1085;&#1072;&#1083;&#1080;&#1079; &#1059; &#1086;&#1090; &#1061;2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hyperlink" Target="#&#1042;&#1099;&#1074;&#1086;&#1076;&#1099;!A1"/><Relationship Id="rId4" Type="http://schemas.openxmlformats.org/officeDocument/2006/relationships/hyperlink" Target="#'&#1072;&#1085;&#1072;&#1083;&#1080;&#1079; &#1059; &#1086;&#1090; &#1061;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5" Type="http://schemas.openxmlformats.org/officeDocument/2006/relationships/hyperlink" Target="#&#1042;&#1099;&#1074;&#1086;&#1076;&#1099;!A1"/><Relationship Id="rId4" Type="http://schemas.openxmlformats.org/officeDocument/2006/relationships/hyperlink" Target="#'&#1072;&#1085;&#1072;&#1083;&#1080;&#1079; Y &#1086;&#1090; t-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'&#1072;&#1085;&#1072;&#1083;&#1080;&#1079; Y &#1086;&#1090; t-2'!A1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hyperlink" Target="#&#1042;&#1099;&#1074;&#1086;&#1076;&#1099;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&#1042;&#1099;&#1074;&#1086;&#1076;&#1099;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hyperlink" Target="#'&#1072;&#1085;&#1072;&#1083;&#1080;&#1079; &#1052;&#1085;&#1086;&#1075;&#1086;&#1092;&#1072;&#1082;'!A1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hyperlink" Target="#'&#1072;&#1085;&#1072;&#1083;&#1080;&#1079; Y &#1086;&#1090; t-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hyperlink" Target="#'&#1072;&#1085;&#1072;&#1083;&#1080;&#1079; Y &#1086;&#1090; t-2'!A1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4" Type="http://schemas.openxmlformats.org/officeDocument/2006/relationships/hyperlink" Target="#'&#1072;&#1085;&#1072;&#1083;&#1080;&#1079; &#1059; &#1086;&#1090; &#1061;6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hyperlink" Target="#'&#1072;&#1085;&#1072;&#1083;&#1080;&#1079; &#1059; &#1086;&#1090; &#1061;5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4" Type="http://schemas.openxmlformats.org/officeDocument/2006/relationships/hyperlink" Target="#'&#1072;&#1085;&#1072;&#1083;&#1080;&#1079; &#1059; &#1086;&#1090; &#1061;4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4" Type="http://schemas.openxmlformats.org/officeDocument/2006/relationships/hyperlink" Target="#'&#1072;&#1085;&#1072;&#1083;&#1080;&#1079; &#1059; &#1086;&#1090; &#1061;3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4" Type="http://schemas.openxmlformats.org/officeDocument/2006/relationships/hyperlink" Target="#'&#1072;&#1085;&#1072;&#1083;&#1080;&#1079; &#1059; &#1086;&#1090; &#1061;2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4" Type="http://schemas.openxmlformats.org/officeDocument/2006/relationships/hyperlink" Target="#'&#1072;&#1085;&#1072;&#1083;&#1080;&#1079; &#1059; &#1086;&#1090; &#1061;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4" Type="http://schemas.openxmlformats.org/officeDocument/2006/relationships/hyperlink" Target="#'&#1072;&#1085;&#1072;&#1083;&#1080;&#1079; &#1074;&#1088;&#1077;&#1084; &#1088;&#1103;&#1076;&#1072;'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hyperlink" Target="#'&#1048;&#1089;&#1089;&#1083;&#1077;&#1076; &#1089;&#1077;&#1079;&#1086;&#1085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206375</xdr:colOff>
      <xdr:row>2</xdr:row>
      <xdr:rowOff>53975</xdr:rowOff>
    </xdr:from>
    <xdr:to>
      <xdr:col>21</xdr:col>
      <xdr:colOff>206375</xdr:colOff>
      <xdr:row>12</xdr:row>
      <xdr:rowOff>53975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333375</xdr:colOff>
      <xdr:row>13</xdr:row>
      <xdr:rowOff>22225</xdr:rowOff>
    </xdr:from>
    <xdr:to>
      <xdr:col>20</xdr:col>
      <xdr:colOff>333375</xdr:colOff>
      <xdr:row>23</xdr:row>
      <xdr:rowOff>22225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523875</xdr:colOff>
      <xdr:row>23</xdr:row>
      <xdr:rowOff>180975</xdr:rowOff>
    </xdr:from>
    <xdr:to>
      <xdr:col>20</xdr:col>
      <xdr:colOff>523875</xdr:colOff>
      <xdr:row>31</xdr:row>
      <xdr:rowOff>180975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428625</xdr:colOff>
      <xdr:row>34</xdr:row>
      <xdr:rowOff>53975</xdr:rowOff>
    </xdr:from>
    <xdr:to>
      <xdr:col>20</xdr:col>
      <xdr:colOff>428625</xdr:colOff>
      <xdr:row>44</xdr:row>
      <xdr:rowOff>53975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460375</xdr:colOff>
      <xdr:row>47</xdr:row>
      <xdr:rowOff>180975</xdr:rowOff>
    </xdr:from>
    <xdr:to>
      <xdr:col>20</xdr:col>
      <xdr:colOff>460375</xdr:colOff>
      <xdr:row>57</xdr:row>
      <xdr:rowOff>180975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238125</xdr:colOff>
      <xdr:row>28</xdr:row>
      <xdr:rowOff>244475</xdr:rowOff>
    </xdr:from>
    <xdr:to>
      <xdr:col>27</xdr:col>
      <xdr:colOff>238125</xdr:colOff>
      <xdr:row>37</xdr:row>
      <xdr:rowOff>53975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333375</xdr:colOff>
      <xdr:row>14</xdr:row>
      <xdr:rowOff>85725</xdr:rowOff>
    </xdr:from>
    <xdr:to>
      <xdr:col>27</xdr:col>
      <xdr:colOff>333375</xdr:colOff>
      <xdr:row>24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301625</xdr:colOff>
      <xdr:row>3</xdr:row>
      <xdr:rowOff>22225</xdr:rowOff>
    </xdr:from>
    <xdr:to>
      <xdr:col>27</xdr:col>
      <xdr:colOff>301625</xdr:colOff>
      <xdr:row>13</xdr:row>
      <xdr:rowOff>22225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111125</xdr:colOff>
      <xdr:row>3</xdr:row>
      <xdr:rowOff>53975</xdr:rowOff>
    </xdr:from>
    <xdr:to>
      <xdr:col>34</xdr:col>
      <xdr:colOff>111125</xdr:colOff>
      <xdr:row>13</xdr:row>
      <xdr:rowOff>53975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15875</xdr:colOff>
      <xdr:row>14</xdr:row>
      <xdr:rowOff>22225</xdr:rowOff>
    </xdr:from>
    <xdr:to>
      <xdr:col>34</xdr:col>
      <xdr:colOff>15875</xdr:colOff>
      <xdr:row>26</xdr:row>
      <xdr:rowOff>22225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555625</xdr:colOff>
      <xdr:row>27</xdr:row>
      <xdr:rowOff>180975</xdr:rowOff>
    </xdr:from>
    <xdr:to>
      <xdr:col>33</xdr:col>
      <xdr:colOff>555625</xdr:colOff>
      <xdr:row>37</xdr:row>
      <xdr:rowOff>180975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619125</xdr:colOff>
      <xdr:row>29</xdr:row>
      <xdr:rowOff>53975</xdr:rowOff>
    </xdr:from>
    <xdr:to>
      <xdr:col>12</xdr:col>
      <xdr:colOff>396875</xdr:colOff>
      <xdr:row>41</xdr:row>
      <xdr:rowOff>53975</xdr:rowOff>
    </xdr:to>
    <xdr:graphicFrame macro="">
      <xdr:nvGraphicFramePr>
        <xdr:cNvPr id="14" name="Диаграмма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1524000</xdr:colOff>
      <xdr:row>0</xdr:row>
      <xdr:rowOff>9525</xdr:rowOff>
    </xdr:from>
    <xdr:to>
      <xdr:col>0</xdr:col>
      <xdr:colOff>3457575</xdr:colOff>
      <xdr:row>1</xdr:row>
      <xdr:rowOff>179025</xdr:rowOff>
    </xdr:to>
    <xdr:sp macro="" textlink="">
      <xdr:nvSpPr>
        <xdr:cNvPr id="15" name="Скругленный прямоугольник 14">
          <a:hlinkClick xmlns:r="http://schemas.openxmlformats.org/officeDocument/2006/relationships" r:id="rId14"/>
        </xdr:cNvPr>
        <xdr:cNvSpPr/>
      </xdr:nvSpPr>
      <xdr:spPr>
        <a:xfrm>
          <a:off x="1524000" y="9525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1028699</xdr:colOff>
      <xdr:row>9</xdr:row>
      <xdr:rowOff>0</xdr:rowOff>
    </xdr:from>
    <xdr:to>
      <xdr:col>3</xdr:col>
      <xdr:colOff>1704974</xdr:colOff>
      <xdr:row>10</xdr:row>
      <xdr:rowOff>169500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2362199" y="2057400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40</xdr:row>
      <xdr:rowOff>98425</xdr:rowOff>
    </xdr:from>
    <xdr:to>
      <xdr:col>3</xdr:col>
      <xdr:colOff>895350</xdr:colOff>
      <xdr:row>43</xdr:row>
      <xdr:rowOff>34925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12938125"/>
          <a:ext cx="3752850" cy="508000"/>
        </a:xfrm>
        <a:prstGeom prst="rect">
          <a:avLst/>
        </a:prstGeom>
      </xdr:spPr>
    </xdr:pic>
    <xdr:clientData/>
  </xdr:twoCellAnchor>
  <xdr:twoCellAnchor>
    <xdr:from>
      <xdr:col>7</xdr:col>
      <xdr:colOff>466726</xdr:colOff>
      <xdr:row>0</xdr:row>
      <xdr:rowOff>95250</xdr:rowOff>
    </xdr:from>
    <xdr:to>
      <xdr:col>10</xdr:col>
      <xdr:colOff>571500</xdr:colOff>
      <xdr:row>2</xdr:row>
      <xdr:rowOff>36150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</xdr:cNvPr>
        <xdr:cNvSpPr/>
      </xdr:nvSpPr>
      <xdr:spPr>
        <a:xfrm>
          <a:off x="6296026" y="9525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30</xdr:row>
      <xdr:rowOff>98425</xdr:rowOff>
    </xdr:from>
    <xdr:to>
      <xdr:col>5</xdr:col>
      <xdr:colOff>295275</xdr:colOff>
      <xdr:row>33</xdr:row>
      <xdr:rowOff>34925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7727950"/>
          <a:ext cx="375285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42</xdr:row>
      <xdr:rowOff>40746</xdr:rowOff>
    </xdr:from>
    <xdr:to>
      <xdr:col>1</xdr:col>
      <xdr:colOff>542925</xdr:colOff>
      <xdr:row>45</xdr:row>
      <xdr:rowOff>92274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8003646"/>
          <a:ext cx="1209675" cy="623028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0</xdr:row>
      <xdr:rowOff>47625</xdr:rowOff>
    </xdr:from>
    <xdr:to>
      <xdr:col>10</xdr:col>
      <xdr:colOff>542925</xdr:colOff>
      <xdr:row>1</xdr:row>
      <xdr:rowOff>217125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</xdr:cNvPr>
        <xdr:cNvSpPr/>
      </xdr:nvSpPr>
      <xdr:spPr>
        <a:xfrm>
          <a:off x="5172075" y="47625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30</xdr:row>
      <xdr:rowOff>98425</xdr:rowOff>
    </xdr:from>
    <xdr:to>
      <xdr:col>5</xdr:col>
      <xdr:colOff>561975</xdr:colOff>
      <xdr:row>33</xdr:row>
      <xdr:rowOff>34925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5775325"/>
          <a:ext cx="375285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42</xdr:row>
      <xdr:rowOff>40746</xdr:rowOff>
    </xdr:from>
    <xdr:to>
      <xdr:col>2</xdr:col>
      <xdr:colOff>104775</xdr:colOff>
      <xdr:row>45</xdr:row>
      <xdr:rowOff>92274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8003646"/>
          <a:ext cx="1209675" cy="623028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0</xdr:row>
      <xdr:rowOff>47625</xdr:rowOff>
    </xdr:from>
    <xdr:to>
      <xdr:col>11</xdr:col>
      <xdr:colOff>123825</xdr:colOff>
      <xdr:row>1</xdr:row>
      <xdr:rowOff>217125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</xdr:cNvPr>
        <xdr:cNvSpPr/>
      </xdr:nvSpPr>
      <xdr:spPr>
        <a:xfrm>
          <a:off x="5095875" y="47625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30</xdr:row>
      <xdr:rowOff>98425</xdr:rowOff>
    </xdr:from>
    <xdr:to>
      <xdr:col>5</xdr:col>
      <xdr:colOff>561975</xdr:colOff>
      <xdr:row>33</xdr:row>
      <xdr:rowOff>34925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5775325"/>
          <a:ext cx="375285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42</xdr:row>
      <xdr:rowOff>40746</xdr:rowOff>
    </xdr:from>
    <xdr:to>
      <xdr:col>2</xdr:col>
      <xdr:colOff>104775</xdr:colOff>
      <xdr:row>45</xdr:row>
      <xdr:rowOff>92274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8003646"/>
          <a:ext cx="1209675" cy="623028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0</xdr:row>
      <xdr:rowOff>38100</xdr:rowOff>
    </xdr:from>
    <xdr:to>
      <xdr:col>11</xdr:col>
      <xdr:colOff>161925</xdr:colOff>
      <xdr:row>1</xdr:row>
      <xdr:rowOff>207600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</xdr:cNvPr>
        <xdr:cNvSpPr/>
      </xdr:nvSpPr>
      <xdr:spPr>
        <a:xfrm>
          <a:off x="5133975" y="38100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30</xdr:row>
      <xdr:rowOff>98425</xdr:rowOff>
    </xdr:from>
    <xdr:to>
      <xdr:col>5</xdr:col>
      <xdr:colOff>571500</xdr:colOff>
      <xdr:row>33</xdr:row>
      <xdr:rowOff>34925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5775325"/>
          <a:ext cx="375285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42</xdr:row>
      <xdr:rowOff>40746</xdr:rowOff>
    </xdr:from>
    <xdr:to>
      <xdr:col>2</xdr:col>
      <xdr:colOff>114300</xdr:colOff>
      <xdr:row>45</xdr:row>
      <xdr:rowOff>92274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8003646"/>
          <a:ext cx="1209675" cy="623028"/>
        </a:xfrm>
        <a:prstGeom prst="rect">
          <a:avLst/>
        </a:prstGeom>
      </xdr:spPr>
    </xdr:pic>
    <xdr:clientData/>
  </xdr:twoCellAnchor>
  <xdr:twoCellAnchor>
    <xdr:from>
      <xdr:col>8</xdr:col>
      <xdr:colOff>85725</xdr:colOff>
      <xdr:row>0</xdr:row>
      <xdr:rowOff>47625</xdr:rowOff>
    </xdr:from>
    <xdr:to>
      <xdr:col>11</xdr:col>
      <xdr:colOff>190500</xdr:colOff>
      <xdr:row>1</xdr:row>
      <xdr:rowOff>217125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</xdr:cNvPr>
        <xdr:cNvSpPr/>
      </xdr:nvSpPr>
      <xdr:spPr>
        <a:xfrm>
          <a:off x="5153025" y="47625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30</xdr:row>
      <xdr:rowOff>98425</xdr:rowOff>
    </xdr:from>
    <xdr:to>
      <xdr:col>5</xdr:col>
      <xdr:colOff>552450</xdr:colOff>
      <xdr:row>33</xdr:row>
      <xdr:rowOff>34925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5775325"/>
          <a:ext cx="375285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42</xdr:row>
      <xdr:rowOff>40746</xdr:rowOff>
    </xdr:from>
    <xdr:to>
      <xdr:col>2</xdr:col>
      <xdr:colOff>95250</xdr:colOff>
      <xdr:row>45</xdr:row>
      <xdr:rowOff>92274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8003646"/>
          <a:ext cx="1209675" cy="623028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0</xdr:row>
      <xdr:rowOff>38100</xdr:rowOff>
    </xdr:from>
    <xdr:to>
      <xdr:col>11</xdr:col>
      <xdr:colOff>142875</xdr:colOff>
      <xdr:row>1</xdr:row>
      <xdr:rowOff>207600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</xdr:cNvPr>
        <xdr:cNvSpPr/>
      </xdr:nvSpPr>
      <xdr:spPr>
        <a:xfrm>
          <a:off x="5124450" y="38100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30</xdr:row>
      <xdr:rowOff>98425</xdr:rowOff>
    </xdr:from>
    <xdr:to>
      <xdr:col>6</xdr:col>
      <xdr:colOff>9525</xdr:colOff>
      <xdr:row>33</xdr:row>
      <xdr:rowOff>34925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5775325"/>
          <a:ext cx="375285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42</xdr:row>
      <xdr:rowOff>40746</xdr:rowOff>
    </xdr:from>
    <xdr:to>
      <xdr:col>2</xdr:col>
      <xdr:colOff>161925</xdr:colOff>
      <xdr:row>45</xdr:row>
      <xdr:rowOff>92274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8003646"/>
          <a:ext cx="1209675" cy="623028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0</xdr:row>
      <xdr:rowOff>47625</xdr:rowOff>
    </xdr:from>
    <xdr:to>
      <xdr:col>11</xdr:col>
      <xdr:colOff>142875</xdr:colOff>
      <xdr:row>1</xdr:row>
      <xdr:rowOff>217125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</xdr:cNvPr>
        <xdr:cNvSpPr/>
      </xdr:nvSpPr>
      <xdr:spPr>
        <a:xfrm>
          <a:off x="5057775" y="47625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50</xdr:row>
      <xdr:rowOff>98425</xdr:rowOff>
    </xdr:from>
    <xdr:to>
      <xdr:col>5</xdr:col>
      <xdr:colOff>600075</xdr:colOff>
      <xdr:row>53</xdr:row>
      <xdr:rowOff>34925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5775325"/>
          <a:ext cx="375285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62</xdr:row>
      <xdr:rowOff>40746</xdr:rowOff>
    </xdr:from>
    <xdr:to>
      <xdr:col>2</xdr:col>
      <xdr:colOff>142875</xdr:colOff>
      <xdr:row>65</xdr:row>
      <xdr:rowOff>92274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8003646"/>
          <a:ext cx="1209675" cy="623028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0</xdr:row>
      <xdr:rowOff>28575</xdr:rowOff>
    </xdr:from>
    <xdr:to>
      <xdr:col>11</xdr:col>
      <xdr:colOff>104775</xdr:colOff>
      <xdr:row>2</xdr:row>
      <xdr:rowOff>7575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</xdr:cNvPr>
        <xdr:cNvSpPr/>
      </xdr:nvSpPr>
      <xdr:spPr>
        <a:xfrm>
          <a:off x="5038725" y="28575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30</xdr:row>
      <xdr:rowOff>98425</xdr:rowOff>
    </xdr:from>
    <xdr:to>
      <xdr:col>6</xdr:col>
      <xdr:colOff>38100</xdr:colOff>
      <xdr:row>33</xdr:row>
      <xdr:rowOff>34925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5965825"/>
          <a:ext cx="375285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42</xdr:row>
      <xdr:rowOff>40746</xdr:rowOff>
    </xdr:from>
    <xdr:to>
      <xdr:col>2</xdr:col>
      <xdr:colOff>190500</xdr:colOff>
      <xdr:row>45</xdr:row>
      <xdr:rowOff>92274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8194146"/>
          <a:ext cx="1209675" cy="623028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0</xdr:row>
      <xdr:rowOff>38100</xdr:rowOff>
    </xdr:from>
    <xdr:to>
      <xdr:col>11</xdr:col>
      <xdr:colOff>161925</xdr:colOff>
      <xdr:row>1</xdr:row>
      <xdr:rowOff>207600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</xdr:cNvPr>
        <xdr:cNvSpPr/>
      </xdr:nvSpPr>
      <xdr:spPr>
        <a:xfrm>
          <a:off x="5048250" y="38100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30</xdr:row>
      <xdr:rowOff>98425</xdr:rowOff>
    </xdr:from>
    <xdr:to>
      <xdr:col>5</xdr:col>
      <xdr:colOff>542925</xdr:colOff>
      <xdr:row>33</xdr:row>
      <xdr:rowOff>34925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168" t="48191" r="38668" b="43829"/>
        <a:stretch/>
      </xdr:blipFill>
      <xdr:spPr>
        <a:xfrm>
          <a:off x="57150" y="5965825"/>
          <a:ext cx="375285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42</xdr:row>
      <xdr:rowOff>40746</xdr:rowOff>
    </xdr:from>
    <xdr:to>
      <xdr:col>2</xdr:col>
      <xdr:colOff>85725</xdr:colOff>
      <xdr:row>45</xdr:row>
      <xdr:rowOff>92274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8194146"/>
          <a:ext cx="1209675" cy="623028"/>
        </a:xfrm>
        <a:prstGeom prst="rect">
          <a:avLst/>
        </a:prstGeom>
      </xdr:spPr>
    </xdr:pic>
    <xdr:clientData/>
  </xdr:twoCellAnchor>
  <xdr:twoCellAnchor>
    <xdr:from>
      <xdr:col>8</xdr:col>
      <xdr:colOff>28575</xdr:colOff>
      <xdr:row>0</xdr:row>
      <xdr:rowOff>47625</xdr:rowOff>
    </xdr:from>
    <xdr:to>
      <xdr:col>11</xdr:col>
      <xdr:colOff>133350</xdr:colOff>
      <xdr:row>1</xdr:row>
      <xdr:rowOff>217125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</xdr:cNvPr>
        <xdr:cNvSpPr/>
      </xdr:nvSpPr>
      <xdr:spPr>
        <a:xfrm>
          <a:off x="5124450" y="47625"/>
          <a:ext cx="1933575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0</xdr:row>
      <xdr:rowOff>114300</xdr:rowOff>
    </xdr:from>
    <xdr:to>
      <xdr:col>13</xdr:col>
      <xdr:colOff>285749</xdr:colOff>
      <xdr:row>3</xdr:row>
      <xdr:rowOff>161925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5705474" y="114300"/>
          <a:ext cx="25050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8. Многофакторная регрессия"</a:t>
          </a:r>
        </a:p>
      </xdr:txBody>
    </xdr:sp>
    <xdr:clientData/>
  </xdr:twoCellAnchor>
  <xdr:twoCellAnchor>
    <xdr:from>
      <xdr:col>9</xdr:col>
      <xdr:colOff>238125</xdr:colOff>
      <xdr:row>4</xdr:row>
      <xdr:rowOff>114300</xdr:rowOff>
    </xdr:from>
    <xdr:to>
      <xdr:col>12</xdr:col>
      <xdr:colOff>342899</xdr:colOff>
      <xdr:row>6</xdr:row>
      <xdr:rowOff>93300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</xdr:cNvPr>
        <xdr:cNvSpPr/>
      </xdr:nvSpPr>
      <xdr:spPr>
        <a:xfrm>
          <a:off x="5724525" y="87630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0</xdr:row>
      <xdr:rowOff>19050</xdr:rowOff>
    </xdr:from>
    <xdr:to>
      <xdr:col>11</xdr:col>
      <xdr:colOff>171449</xdr:colOff>
      <xdr:row>14</xdr:row>
      <xdr:rowOff>95250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171449</xdr:colOff>
      <xdr:row>17</xdr:row>
      <xdr:rowOff>47625</xdr:rowOff>
    </xdr:from>
    <xdr:to>
      <xdr:col>16</xdr:col>
      <xdr:colOff>180974</xdr:colOff>
      <xdr:row>33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238125</xdr:colOff>
      <xdr:row>0</xdr:row>
      <xdr:rowOff>119063</xdr:rowOff>
    </xdr:from>
    <xdr:to>
      <xdr:col>15</xdr:col>
      <xdr:colOff>559593</xdr:colOff>
      <xdr:row>3</xdr:row>
      <xdr:rowOff>142875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</xdr:cNvPr>
        <xdr:cNvSpPr/>
      </xdr:nvSpPr>
      <xdr:spPr>
        <a:xfrm>
          <a:off x="8012906" y="119063"/>
          <a:ext cx="2143125" cy="595312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"Анализ временного ряда"</a:t>
          </a:r>
        </a:p>
      </xdr:txBody>
    </xdr:sp>
    <xdr:clientData/>
  </xdr:twoCellAnchor>
  <xdr:twoCellAnchor>
    <xdr:from>
      <xdr:col>12</xdr:col>
      <xdr:colOff>250031</xdr:colOff>
      <xdr:row>4</xdr:row>
      <xdr:rowOff>95249</xdr:rowOff>
    </xdr:from>
    <xdr:to>
      <xdr:col>15</xdr:col>
      <xdr:colOff>361948</xdr:colOff>
      <xdr:row>6</xdr:row>
      <xdr:rowOff>74249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8024812" y="857249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23813</xdr:colOff>
      <xdr:row>2</xdr:row>
      <xdr:rowOff>26193</xdr:rowOff>
    </xdr:from>
    <xdr:to>
      <xdr:col>27</xdr:col>
      <xdr:colOff>138113</xdr:colOff>
      <xdr:row>18</xdr:row>
      <xdr:rowOff>140493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13607</xdr:colOff>
      <xdr:row>27</xdr:row>
      <xdr:rowOff>43543</xdr:rowOff>
    </xdr:from>
    <xdr:to>
      <xdr:col>20</xdr:col>
      <xdr:colOff>95249</xdr:colOff>
      <xdr:row>41</xdr:row>
      <xdr:rowOff>119743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146956</xdr:colOff>
      <xdr:row>27</xdr:row>
      <xdr:rowOff>38101</xdr:rowOff>
    </xdr:from>
    <xdr:to>
      <xdr:col>30</xdr:col>
      <xdr:colOff>19050</xdr:colOff>
      <xdr:row>44</xdr:row>
      <xdr:rowOff>95250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571500</xdr:colOff>
      <xdr:row>2</xdr:row>
      <xdr:rowOff>42333</xdr:rowOff>
    </xdr:from>
    <xdr:to>
      <xdr:col>13</xdr:col>
      <xdr:colOff>259292</xdr:colOff>
      <xdr:row>2</xdr:row>
      <xdr:rowOff>637645</xdr:rowOff>
    </xdr:to>
    <xdr:sp macro="" textlink="">
      <xdr:nvSpPr>
        <xdr:cNvPr id="6" name="Скругленный прямоугольник 5">
          <a:hlinkClick xmlns:r="http://schemas.openxmlformats.org/officeDocument/2006/relationships" r:id="rId4"/>
        </xdr:cNvPr>
        <xdr:cNvSpPr/>
      </xdr:nvSpPr>
      <xdr:spPr>
        <a:xfrm>
          <a:off x="8032750" y="423333"/>
          <a:ext cx="2143125" cy="595312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"Анализ временного ряда"</a:t>
          </a:r>
        </a:p>
      </xdr:txBody>
    </xdr:sp>
    <xdr:clientData/>
  </xdr:twoCellAnchor>
  <xdr:twoCellAnchor>
    <xdr:from>
      <xdr:col>9</xdr:col>
      <xdr:colOff>592667</xdr:colOff>
      <xdr:row>0</xdr:row>
      <xdr:rowOff>21167</xdr:rowOff>
    </xdr:from>
    <xdr:to>
      <xdr:col>13</xdr:col>
      <xdr:colOff>70908</xdr:colOff>
      <xdr:row>2</xdr:row>
      <xdr:rowOff>167</xdr:rowOff>
    </xdr:to>
    <xdr:sp macro="" textlink="">
      <xdr:nvSpPr>
        <xdr:cNvPr id="7" name="Скругленный прямоугольник 6">
          <a:hlinkClick xmlns:r="http://schemas.openxmlformats.org/officeDocument/2006/relationships" r:id="rId5"/>
        </xdr:cNvPr>
        <xdr:cNvSpPr/>
      </xdr:nvSpPr>
      <xdr:spPr>
        <a:xfrm>
          <a:off x="8053917" y="21167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13607</xdr:colOff>
      <xdr:row>27</xdr:row>
      <xdr:rowOff>43543</xdr:rowOff>
    </xdr:from>
    <xdr:to>
      <xdr:col>24</xdr:col>
      <xdr:colOff>95249</xdr:colOff>
      <xdr:row>41</xdr:row>
      <xdr:rowOff>119743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146956</xdr:colOff>
      <xdr:row>27</xdr:row>
      <xdr:rowOff>38101</xdr:rowOff>
    </xdr:from>
    <xdr:to>
      <xdr:col>34</xdr:col>
      <xdr:colOff>19050</xdr:colOff>
      <xdr:row>44</xdr:row>
      <xdr:rowOff>95250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142875</xdr:colOff>
      <xdr:row>2</xdr:row>
      <xdr:rowOff>114300</xdr:rowOff>
    </xdr:from>
    <xdr:to>
      <xdr:col>17</xdr:col>
      <xdr:colOff>209550</xdr:colOff>
      <xdr:row>2</xdr:row>
      <xdr:rowOff>733425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</xdr:cNvPr>
        <xdr:cNvSpPr/>
      </xdr:nvSpPr>
      <xdr:spPr>
        <a:xfrm>
          <a:off x="9220200" y="533400"/>
          <a:ext cx="25050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8. Многофакторная регрессия"</a:t>
          </a:r>
        </a:p>
      </xdr:txBody>
    </xdr:sp>
    <xdr:clientData/>
  </xdr:twoCellAnchor>
  <xdr:twoCellAnchor>
    <xdr:from>
      <xdr:col>13</xdr:col>
      <xdr:colOff>152400</xdr:colOff>
      <xdr:row>0</xdr:row>
      <xdr:rowOff>66675</xdr:rowOff>
    </xdr:from>
    <xdr:to>
      <xdr:col>16</xdr:col>
      <xdr:colOff>257174</xdr:colOff>
      <xdr:row>2</xdr:row>
      <xdr:rowOff>7575</xdr:rowOff>
    </xdr:to>
    <xdr:sp macro="" textlink="">
      <xdr:nvSpPr>
        <xdr:cNvPr id="6" name="Скругленный прямоугольник 5">
          <a:hlinkClick xmlns:r="http://schemas.openxmlformats.org/officeDocument/2006/relationships" r:id="rId4"/>
        </xdr:cNvPr>
        <xdr:cNvSpPr/>
      </xdr:nvSpPr>
      <xdr:spPr>
        <a:xfrm>
          <a:off x="9229725" y="66675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23813</xdr:colOff>
      <xdr:row>2</xdr:row>
      <xdr:rowOff>26193</xdr:rowOff>
    </xdr:from>
    <xdr:to>
      <xdr:col>30</xdr:col>
      <xdr:colOff>138113</xdr:colOff>
      <xdr:row>18</xdr:row>
      <xdr:rowOff>140493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13607</xdr:colOff>
      <xdr:row>27</xdr:row>
      <xdr:rowOff>43543</xdr:rowOff>
    </xdr:from>
    <xdr:to>
      <xdr:col>23</xdr:col>
      <xdr:colOff>95249</xdr:colOff>
      <xdr:row>41</xdr:row>
      <xdr:rowOff>119743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146956</xdr:colOff>
      <xdr:row>27</xdr:row>
      <xdr:rowOff>38101</xdr:rowOff>
    </xdr:from>
    <xdr:to>
      <xdr:col>33</xdr:col>
      <xdr:colOff>19050</xdr:colOff>
      <xdr:row>44</xdr:row>
      <xdr:rowOff>95250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</xdr:row>
      <xdr:rowOff>295275</xdr:rowOff>
    </xdr:from>
    <xdr:to>
      <xdr:col>17</xdr:col>
      <xdr:colOff>92075</xdr:colOff>
      <xdr:row>2</xdr:row>
      <xdr:rowOff>914400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9201150" y="714375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7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6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  <xdr:twoCellAnchor>
    <xdr:from>
      <xdr:col>13</xdr:col>
      <xdr:colOff>0</xdr:colOff>
      <xdr:row>1</xdr:row>
      <xdr:rowOff>95250</xdr:rowOff>
    </xdr:from>
    <xdr:to>
      <xdr:col>16</xdr:col>
      <xdr:colOff>104774</xdr:colOff>
      <xdr:row>2</xdr:row>
      <xdr:rowOff>226650</xdr:rowOff>
    </xdr:to>
    <xdr:sp macro="" textlink="">
      <xdr:nvSpPr>
        <xdr:cNvPr id="6" name="Скругленный прямоугольник 5">
          <a:hlinkClick xmlns:r="http://schemas.openxmlformats.org/officeDocument/2006/relationships" r:id="rId5"/>
        </xdr:cNvPr>
        <xdr:cNvSpPr/>
      </xdr:nvSpPr>
      <xdr:spPr>
        <a:xfrm>
          <a:off x="9201150" y="28575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23813</xdr:colOff>
      <xdr:row>2</xdr:row>
      <xdr:rowOff>26193</xdr:rowOff>
    </xdr:from>
    <xdr:to>
      <xdr:col>30</xdr:col>
      <xdr:colOff>138113</xdr:colOff>
      <xdr:row>18</xdr:row>
      <xdr:rowOff>140493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13607</xdr:colOff>
      <xdr:row>27</xdr:row>
      <xdr:rowOff>43543</xdr:rowOff>
    </xdr:from>
    <xdr:to>
      <xdr:col>23</xdr:col>
      <xdr:colOff>95249</xdr:colOff>
      <xdr:row>41</xdr:row>
      <xdr:rowOff>119743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146956</xdr:colOff>
      <xdr:row>27</xdr:row>
      <xdr:rowOff>38101</xdr:rowOff>
    </xdr:from>
    <xdr:to>
      <xdr:col>33</xdr:col>
      <xdr:colOff>19050</xdr:colOff>
      <xdr:row>44</xdr:row>
      <xdr:rowOff>95250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409575</xdr:colOff>
      <xdr:row>2</xdr:row>
      <xdr:rowOff>133350</xdr:rowOff>
    </xdr:from>
    <xdr:to>
      <xdr:col>16</xdr:col>
      <xdr:colOff>501650</xdr:colOff>
      <xdr:row>2</xdr:row>
      <xdr:rowOff>752475</xdr:rowOff>
    </xdr:to>
    <xdr:sp macro="" textlink="">
      <xdr:nvSpPr>
        <xdr:cNvPr id="8" name="Скругленный прямоугольник 7">
          <a:hlinkClick xmlns:r="http://schemas.openxmlformats.org/officeDocument/2006/relationships" r:id="rId4"/>
        </xdr:cNvPr>
        <xdr:cNvSpPr/>
      </xdr:nvSpPr>
      <xdr:spPr>
        <a:xfrm>
          <a:off x="8848725" y="552450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6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5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  <xdr:twoCellAnchor>
    <xdr:from>
      <xdr:col>12</xdr:col>
      <xdr:colOff>400050</xdr:colOff>
      <xdr:row>0</xdr:row>
      <xdr:rowOff>95250</xdr:rowOff>
    </xdr:from>
    <xdr:to>
      <xdr:col>15</xdr:col>
      <xdr:colOff>504824</xdr:colOff>
      <xdr:row>2</xdr:row>
      <xdr:rowOff>36150</xdr:rowOff>
    </xdr:to>
    <xdr:sp macro="" textlink="">
      <xdr:nvSpPr>
        <xdr:cNvPr id="9" name="Скругленный прямоугольник 8">
          <a:hlinkClick xmlns:r="http://schemas.openxmlformats.org/officeDocument/2006/relationships" r:id="rId5"/>
        </xdr:cNvPr>
        <xdr:cNvSpPr/>
      </xdr:nvSpPr>
      <xdr:spPr>
        <a:xfrm>
          <a:off x="8839200" y="9525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23813</xdr:colOff>
      <xdr:row>2</xdr:row>
      <xdr:rowOff>26193</xdr:rowOff>
    </xdr:from>
    <xdr:to>
      <xdr:col>30</xdr:col>
      <xdr:colOff>138113</xdr:colOff>
      <xdr:row>18</xdr:row>
      <xdr:rowOff>140493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13607</xdr:colOff>
      <xdr:row>27</xdr:row>
      <xdr:rowOff>43543</xdr:rowOff>
    </xdr:from>
    <xdr:to>
      <xdr:col>23</xdr:col>
      <xdr:colOff>95249</xdr:colOff>
      <xdr:row>41</xdr:row>
      <xdr:rowOff>119743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146956</xdr:colOff>
      <xdr:row>27</xdr:row>
      <xdr:rowOff>38101</xdr:rowOff>
    </xdr:from>
    <xdr:to>
      <xdr:col>33</xdr:col>
      <xdr:colOff>19050</xdr:colOff>
      <xdr:row>44</xdr:row>
      <xdr:rowOff>95250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403412</xdr:colOff>
      <xdr:row>2</xdr:row>
      <xdr:rowOff>89647</xdr:rowOff>
    </xdr:from>
    <xdr:to>
      <xdr:col>16</xdr:col>
      <xdr:colOff>513416</xdr:colOff>
      <xdr:row>2</xdr:row>
      <xdr:rowOff>708772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8740588" y="504265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5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4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  <xdr:twoCellAnchor>
    <xdr:from>
      <xdr:col>12</xdr:col>
      <xdr:colOff>425823</xdr:colOff>
      <xdr:row>0</xdr:row>
      <xdr:rowOff>56030</xdr:rowOff>
    </xdr:from>
    <xdr:to>
      <xdr:col>15</xdr:col>
      <xdr:colOff>544044</xdr:colOff>
      <xdr:row>2</xdr:row>
      <xdr:rowOff>1412</xdr:rowOff>
    </xdr:to>
    <xdr:sp macro="" textlink="">
      <xdr:nvSpPr>
        <xdr:cNvPr id="6" name="Скругленный прямоугольник 5">
          <a:hlinkClick xmlns:r="http://schemas.openxmlformats.org/officeDocument/2006/relationships" r:id="rId5"/>
        </xdr:cNvPr>
        <xdr:cNvSpPr/>
      </xdr:nvSpPr>
      <xdr:spPr>
        <a:xfrm>
          <a:off x="8762999" y="5603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23813</xdr:colOff>
      <xdr:row>2</xdr:row>
      <xdr:rowOff>26193</xdr:rowOff>
    </xdr:from>
    <xdr:to>
      <xdr:col>30</xdr:col>
      <xdr:colOff>138113</xdr:colOff>
      <xdr:row>18</xdr:row>
      <xdr:rowOff>140493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13607</xdr:colOff>
      <xdr:row>27</xdr:row>
      <xdr:rowOff>43543</xdr:rowOff>
    </xdr:from>
    <xdr:to>
      <xdr:col>23</xdr:col>
      <xdr:colOff>95249</xdr:colOff>
      <xdr:row>41</xdr:row>
      <xdr:rowOff>119743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146956</xdr:colOff>
      <xdr:row>27</xdr:row>
      <xdr:rowOff>38101</xdr:rowOff>
    </xdr:from>
    <xdr:to>
      <xdr:col>33</xdr:col>
      <xdr:colOff>19050</xdr:colOff>
      <xdr:row>44</xdr:row>
      <xdr:rowOff>95250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307975</xdr:colOff>
      <xdr:row>2</xdr:row>
      <xdr:rowOff>123825</xdr:rowOff>
    </xdr:from>
    <xdr:to>
      <xdr:col>16</xdr:col>
      <xdr:colOff>425450</xdr:colOff>
      <xdr:row>2</xdr:row>
      <xdr:rowOff>742950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8613775" y="542925"/>
          <a:ext cx="25558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4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3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  <xdr:twoCellAnchor>
    <xdr:from>
      <xdr:col>12</xdr:col>
      <xdr:colOff>304800</xdr:colOff>
      <xdr:row>0</xdr:row>
      <xdr:rowOff>76200</xdr:rowOff>
    </xdr:from>
    <xdr:to>
      <xdr:col>15</xdr:col>
      <xdr:colOff>409574</xdr:colOff>
      <xdr:row>2</xdr:row>
      <xdr:rowOff>17100</xdr:rowOff>
    </xdr:to>
    <xdr:sp macro="" textlink="">
      <xdr:nvSpPr>
        <xdr:cNvPr id="6" name="Скругленный прямоугольник 5">
          <a:hlinkClick xmlns:r="http://schemas.openxmlformats.org/officeDocument/2006/relationships" r:id="rId5"/>
        </xdr:cNvPr>
        <xdr:cNvSpPr/>
      </xdr:nvSpPr>
      <xdr:spPr>
        <a:xfrm>
          <a:off x="8610600" y="7620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23813</xdr:colOff>
      <xdr:row>2</xdr:row>
      <xdr:rowOff>26193</xdr:rowOff>
    </xdr:from>
    <xdr:to>
      <xdr:col>30</xdr:col>
      <xdr:colOff>138113</xdr:colOff>
      <xdr:row>18</xdr:row>
      <xdr:rowOff>140493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13607</xdr:colOff>
      <xdr:row>27</xdr:row>
      <xdr:rowOff>43543</xdr:rowOff>
    </xdr:from>
    <xdr:to>
      <xdr:col>23</xdr:col>
      <xdr:colOff>95249</xdr:colOff>
      <xdr:row>41</xdr:row>
      <xdr:rowOff>119743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146956</xdr:colOff>
      <xdr:row>27</xdr:row>
      <xdr:rowOff>38101</xdr:rowOff>
    </xdr:from>
    <xdr:to>
      <xdr:col>33</xdr:col>
      <xdr:colOff>19050</xdr:colOff>
      <xdr:row>44</xdr:row>
      <xdr:rowOff>95250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438150</xdr:colOff>
      <xdr:row>2</xdr:row>
      <xdr:rowOff>314325</xdr:rowOff>
    </xdr:from>
    <xdr:to>
      <xdr:col>16</xdr:col>
      <xdr:colOff>530225</xdr:colOff>
      <xdr:row>2</xdr:row>
      <xdr:rowOff>933450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8734425" y="733425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3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2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  <xdr:twoCellAnchor>
    <xdr:from>
      <xdr:col>12</xdr:col>
      <xdr:colOff>438150</xdr:colOff>
      <xdr:row>1</xdr:row>
      <xdr:rowOff>85725</xdr:rowOff>
    </xdr:from>
    <xdr:to>
      <xdr:col>15</xdr:col>
      <xdr:colOff>542924</xdr:colOff>
      <xdr:row>2</xdr:row>
      <xdr:rowOff>217125</xdr:rowOff>
    </xdr:to>
    <xdr:sp macro="" textlink="">
      <xdr:nvSpPr>
        <xdr:cNvPr id="6" name="Скругленный прямоугольник 5">
          <a:hlinkClick xmlns:r="http://schemas.openxmlformats.org/officeDocument/2006/relationships" r:id="rId5"/>
        </xdr:cNvPr>
        <xdr:cNvSpPr/>
      </xdr:nvSpPr>
      <xdr:spPr>
        <a:xfrm>
          <a:off x="8734425" y="276225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23813</xdr:colOff>
      <xdr:row>2</xdr:row>
      <xdr:rowOff>26193</xdr:rowOff>
    </xdr:from>
    <xdr:to>
      <xdr:col>30</xdr:col>
      <xdr:colOff>138113</xdr:colOff>
      <xdr:row>18</xdr:row>
      <xdr:rowOff>140493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13607</xdr:colOff>
      <xdr:row>27</xdr:row>
      <xdr:rowOff>43543</xdr:rowOff>
    </xdr:from>
    <xdr:to>
      <xdr:col>23</xdr:col>
      <xdr:colOff>95249</xdr:colOff>
      <xdr:row>41</xdr:row>
      <xdr:rowOff>119743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146956</xdr:colOff>
      <xdr:row>27</xdr:row>
      <xdr:rowOff>38101</xdr:rowOff>
    </xdr:from>
    <xdr:to>
      <xdr:col>33</xdr:col>
      <xdr:colOff>19050</xdr:colOff>
      <xdr:row>44</xdr:row>
      <xdr:rowOff>95250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590550</xdr:colOff>
      <xdr:row>2</xdr:row>
      <xdr:rowOff>123825</xdr:rowOff>
    </xdr:from>
    <xdr:to>
      <xdr:col>16</xdr:col>
      <xdr:colOff>177800</xdr:colOff>
      <xdr:row>2</xdr:row>
      <xdr:rowOff>742950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9991725" y="542925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2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1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  <xdr:twoCellAnchor>
    <xdr:from>
      <xdr:col>12</xdr:col>
      <xdr:colOff>590550</xdr:colOff>
      <xdr:row>0</xdr:row>
      <xdr:rowOff>95250</xdr:rowOff>
    </xdr:from>
    <xdr:to>
      <xdr:col>15</xdr:col>
      <xdr:colOff>190499</xdr:colOff>
      <xdr:row>2</xdr:row>
      <xdr:rowOff>36150</xdr:rowOff>
    </xdr:to>
    <xdr:sp macro="" textlink="">
      <xdr:nvSpPr>
        <xdr:cNvPr id="6" name="Скругленный прямоугольник 5">
          <a:hlinkClick xmlns:r="http://schemas.openxmlformats.org/officeDocument/2006/relationships" r:id="rId5"/>
        </xdr:cNvPr>
        <xdr:cNvSpPr/>
      </xdr:nvSpPr>
      <xdr:spPr>
        <a:xfrm>
          <a:off x="9991725" y="9525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13607</xdr:colOff>
      <xdr:row>25</xdr:row>
      <xdr:rowOff>43543</xdr:rowOff>
    </xdr:from>
    <xdr:to>
      <xdr:col>25</xdr:col>
      <xdr:colOff>95249</xdr:colOff>
      <xdr:row>39</xdr:row>
      <xdr:rowOff>119743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146956</xdr:colOff>
      <xdr:row>25</xdr:row>
      <xdr:rowOff>38101</xdr:rowOff>
    </xdr:from>
    <xdr:to>
      <xdr:col>35</xdr:col>
      <xdr:colOff>19050</xdr:colOff>
      <xdr:row>42</xdr:row>
      <xdr:rowOff>95250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85725</xdr:colOff>
      <xdr:row>2</xdr:row>
      <xdr:rowOff>685800</xdr:rowOff>
    </xdr:from>
    <xdr:to>
      <xdr:col>26</xdr:col>
      <xdr:colOff>390525</xdr:colOff>
      <xdr:row>15</xdr:row>
      <xdr:rowOff>38100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495300</xdr:colOff>
      <xdr:row>2</xdr:row>
      <xdr:rowOff>76200</xdr:rowOff>
    </xdr:from>
    <xdr:to>
      <xdr:col>17</xdr:col>
      <xdr:colOff>587375</xdr:colOff>
      <xdr:row>2</xdr:row>
      <xdr:rowOff>923925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9439275" y="457200"/>
          <a:ext cx="2530475" cy="8477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9</a:t>
          </a:r>
          <a:r>
            <a:rPr lang="ru-RU" sz="1400" b="1" i="0" baseline="0">
              <a:ln>
                <a:noFill/>
              </a:ln>
            </a:rPr>
            <a:t>. Зависимость цен от предыдущих значений"</a:t>
          </a:r>
        </a:p>
      </xdr:txBody>
    </xdr:sp>
    <xdr:clientData/>
  </xdr:twoCellAnchor>
  <xdr:twoCellAnchor>
    <xdr:from>
      <xdr:col>13</xdr:col>
      <xdr:colOff>485775</xdr:colOff>
      <xdr:row>0</xdr:row>
      <xdr:rowOff>38100</xdr:rowOff>
    </xdr:from>
    <xdr:to>
      <xdr:col>16</xdr:col>
      <xdr:colOff>590549</xdr:colOff>
      <xdr:row>2</xdr:row>
      <xdr:rowOff>17100</xdr:rowOff>
    </xdr:to>
    <xdr:sp macro="" textlink="">
      <xdr:nvSpPr>
        <xdr:cNvPr id="6" name="Скругленный прямоугольник 5">
          <a:hlinkClick xmlns:r="http://schemas.openxmlformats.org/officeDocument/2006/relationships" r:id="rId5"/>
        </xdr:cNvPr>
        <xdr:cNvSpPr/>
      </xdr:nvSpPr>
      <xdr:spPr>
        <a:xfrm>
          <a:off x="9429750" y="3810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13607</xdr:colOff>
      <xdr:row>25</xdr:row>
      <xdr:rowOff>43543</xdr:rowOff>
    </xdr:from>
    <xdr:to>
      <xdr:col>26</xdr:col>
      <xdr:colOff>95249</xdr:colOff>
      <xdr:row>39</xdr:row>
      <xdr:rowOff>119743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146956</xdr:colOff>
      <xdr:row>25</xdr:row>
      <xdr:rowOff>38101</xdr:rowOff>
    </xdr:from>
    <xdr:to>
      <xdr:col>36</xdr:col>
      <xdr:colOff>19050</xdr:colOff>
      <xdr:row>42</xdr:row>
      <xdr:rowOff>95250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95250</xdr:colOff>
      <xdr:row>2</xdr:row>
      <xdr:rowOff>114299</xdr:rowOff>
    </xdr:from>
    <xdr:to>
      <xdr:col>18</xdr:col>
      <xdr:colOff>187325</xdr:colOff>
      <xdr:row>2</xdr:row>
      <xdr:rowOff>942974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</xdr:cNvPr>
        <xdr:cNvSpPr/>
      </xdr:nvSpPr>
      <xdr:spPr>
        <a:xfrm>
          <a:off x="10058400" y="495299"/>
          <a:ext cx="2530475" cy="82867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10. Зависимость цен от двух предыдущих значений"</a:t>
          </a:r>
        </a:p>
      </xdr:txBody>
    </xdr:sp>
    <xdr:clientData/>
  </xdr:twoCellAnchor>
  <xdr:twoCellAnchor>
    <xdr:from>
      <xdr:col>14</xdr:col>
      <xdr:colOff>123825</xdr:colOff>
      <xdr:row>0</xdr:row>
      <xdr:rowOff>76200</xdr:rowOff>
    </xdr:from>
    <xdr:to>
      <xdr:col>17</xdr:col>
      <xdr:colOff>228599</xdr:colOff>
      <xdr:row>2</xdr:row>
      <xdr:rowOff>55200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10086975" y="7620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1</xdr:row>
      <xdr:rowOff>19050</xdr:rowOff>
    </xdr:from>
    <xdr:to>
      <xdr:col>11</xdr:col>
      <xdr:colOff>419099</xdr:colOff>
      <xdr:row>2</xdr:row>
      <xdr:rowOff>150450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5191125" y="209550"/>
          <a:ext cx="1933574" cy="360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400" b="1" i="0" baseline="0">
              <a:ln>
                <a:noFill/>
              </a:ln>
            </a:rPr>
            <a:t>Перейти на "Выводы"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301625</xdr:colOff>
      <xdr:row>12</xdr:row>
      <xdr:rowOff>22225</xdr:rowOff>
    </xdr:from>
    <xdr:to>
      <xdr:col>15</xdr:col>
      <xdr:colOff>301625</xdr:colOff>
      <xdr:row>22</xdr:row>
      <xdr:rowOff>6350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63500</xdr:colOff>
      <xdr:row>1</xdr:row>
      <xdr:rowOff>6350</xdr:rowOff>
    </xdr:from>
    <xdr:to>
      <xdr:col>22</xdr:col>
      <xdr:colOff>63500</xdr:colOff>
      <xdr:row>11</xdr:row>
      <xdr:rowOff>6350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63500</xdr:colOff>
      <xdr:row>11</xdr:row>
      <xdr:rowOff>149225</xdr:rowOff>
    </xdr:from>
    <xdr:to>
      <xdr:col>22</xdr:col>
      <xdr:colOff>63500</xdr:colOff>
      <xdr:row>21</xdr:row>
      <xdr:rowOff>165100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254000</xdr:colOff>
      <xdr:row>23</xdr:row>
      <xdr:rowOff>165100</xdr:rowOff>
    </xdr:from>
    <xdr:to>
      <xdr:col>12</xdr:col>
      <xdr:colOff>95250</xdr:colOff>
      <xdr:row>34</xdr:row>
      <xdr:rowOff>6350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232834</xdr:colOff>
      <xdr:row>0</xdr:row>
      <xdr:rowOff>95250</xdr:rowOff>
    </xdr:from>
    <xdr:to>
      <xdr:col>3</xdr:col>
      <xdr:colOff>1182159</xdr:colOff>
      <xdr:row>3</xdr:row>
      <xdr:rowOff>132292</xdr:rowOff>
    </xdr:to>
    <xdr:sp macro="" textlink="">
      <xdr:nvSpPr>
        <xdr:cNvPr id="7" name="Скругленный прямоугольник 6">
          <a:hlinkClick xmlns:r="http://schemas.openxmlformats.org/officeDocument/2006/relationships" r:id="rId6"/>
        </xdr:cNvPr>
        <xdr:cNvSpPr/>
      </xdr:nvSpPr>
      <xdr:spPr>
        <a:xfrm>
          <a:off x="3132667" y="95250"/>
          <a:ext cx="25050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8. Многофакторная регрессия"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11</xdr:row>
      <xdr:rowOff>58511</xdr:rowOff>
    </xdr:from>
    <xdr:to>
      <xdr:col>15</xdr:col>
      <xdr:colOff>238126</xdr:colOff>
      <xdr:row>21</xdr:row>
      <xdr:rowOff>44903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74840</xdr:colOff>
      <xdr:row>22</xdr:row>
      <xdr:rowOff>140153</xdr:rowOff>
    </xdr:from>
    <xdr:to>
      <xdr:col>11</xdr:col>
      <xdr:colOff>551089</xdr:colOff>
      <xdr:row>32</xdr:row>
      <xdr:rowOff>167368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190501</xdr:colOff>
      <xdr:row>1</xdr:row>
      <xdr:rowOff>13607</xdr:rowOff>
    </xdr:from>
    <xdr:to>
      <xdr:col>3</xdr:col>
      <xdr:colOff>1169761</xdr:colOff>
      <xdr:row>5</xdr:row>
      <xdr:rowOff>85725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3088822" y="204107"/>
          <a:ext cx="2530475" cy="8477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9</a:t>
          </a:r>
          <a:r>
            <a:rPr lang="ru-RU" sz="1400" b="1" i="0" baseline="0">
              <a:ln>
                <a:noFill/>
              </a:ln>
            </a:rPr>
            <a:t>. Зависимость цен от предыдущих значений"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269875</xdr:colOff>
      <xdr:row>11</xdr:row>
      <xdr:rowOff>38100</xdr:rowOff>
    </xdr:from>
    <xdr:to>
      <xdr:col>15</xdr:col>
      <xdr:colOff>269875</xdr:colOff>
      <xdr:row>21</xdr:row>
      <xdr:rowOff>22225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396875</xdr:colOff>
      <xdr:row>1</xdr:row>
      <xdr:rowOff>6350</xdr:rowOff>
    </xdr:from>
    <xdr:to>
      <xdr:col>21</xdr:col>
      <xdr:colOff>396875</xdr:colOff>
      <xdr:row>11</xdr:row>
      <xdr:rowOff>6350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428625</xdr:colOff>
      <xdr:row>11</xdr:row>
      <xdr:rowOff>53975</xdr:rowOff>
    </xdr:from>
    <xdr:to>
      <xdr:col>21</xdr:col>
      <xdr:colOff>428625</xdr:colOff>
      <xdr:row>21</xdr:row>
      <xdr:rowOff>69850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285750</xdr:colOff>
      <xdr:row>23</xdr:row>
      <xdr:rowOff>149225</xdr:rowOff>
    </xdr:from>
    <xdr:to>
      <xdr:col>12</xdr:col>
      <xdr:colOff>127000</xdr:colOff>
      <xdr:row>33</xdr:row>
      <xdr:rowOff>180975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698500</xdr:colOff>
      <xdr:row>0</xdr:row>
      <xdr:rowOff>79375</xdr:rowOff>
    </xdr:from>
    <xdr:to>
      <xdr:col>4</xdr:col>
      <xdr:colOff>6350</xdr:colOff>
      <xdr:row>4</xdr:row>
      <xdr:rowOff>130175</xdr:rowOff>
    </xdr:to>
    <xdr:sp macro="" textlink="">
      <xdr:nvSpPr>
        <xdr:cNvPr id="8" name="Скругленный прямоугольник 7">
          <a:hlinkClick xmlns:r="http://schemas.openxmlformats.org/officeDocument/2006/relationships" r:id="rId6"/>
        </xdr:cNvPr>
        <xdr:cNvSpPr/>
      </xdr:nvSpPr>
      <xdr:spPr>
        <a:xfrm>
          <a:off x="3587750" y="79375"/>
          <a:ext cx="2530475" cy="82867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10. Зависимость цен от двух предыдущих значений"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349250</xdr:colOff>
      <xdr:row>11</xdr:row>
      <xdr:rowOff>117475</xdr:rowOff>
    </xdr:from>
    <xdr:to>
      <xdr:col>15</xdr:col>
      <xdr:colOff>349250</xdr:colOff>
      <xdr:row>21</xdr:row>
      <xdr:rowOff>101600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142875</xdr:colOff>
      <xdr:row>23</xdr:row>
      <xdr:rowOff>133350</xdr:rowOff>
    </xdr:from>
    <xdr:to>
      <xdr:col>11</xdr:col>
      <xdr:colOff>587375</xdr:colOff>
      <xdr:row>33</xdr:row>
      <xdr:rowOff>180975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254000</xdr:colOff>
      <xdr:row>0</xdr:row>
      <xdr:rowOff>127000</xdr:rowOff>
    </xdr:from>
    <xdr:to>
      <xdr:col>3</xdr:col>
      <xdr:colOff>1228725</xdr:colOff>
      <xdr:row>3</xdr:row>
      <xdr:rowOff>158750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3143250" y="127000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7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6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228600</xdr:colOff>
      <xdr:row>11</xdr:row>
      <xdr:rowOff>38100</xdr:rowOff>
    </xdr:from>
    <xdr:to>
      <xdr:col>15</xdr:col>
      <xdr:colOff>228600</xdr:colOff>
      <xdr:row>21</xdr:row>
      <xdr:rowOff>28575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342900</xdr:colOff>
      <xdr:row>22</xdr:row>
      <xdr:rowOff>114300</xdr:rowOff>
    </xdr:from>
    <xdr:to>
      <xdr:col>12</xdr:col>
      <xdr:colOff>200025</xdr:colOff>
      <xdr:row>32</xdr:row>
      <xdr:rowOff>133350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304800</xdr:colOff>
      <xdr:row>0</xdr:row>
      <xdr:rowOff>57150</xdr:rowOff>
    </xdr:from>
    <xdr:to>
      <xdr:col>3</xdr:col>
      <xdr:colOff>1282700</xdr:colOff>
      <xdr:row>3</xdr:row>
      <xdr:rowOff>95250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3200400" y="57150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6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5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11</xdr:row>
      <xdr:rowOff>64817</xdr:rowOff>
    </xdr:from>
    <xdr:to>
      <xdr:col>15</xdr:col>
      <xdr:colOff>238126</xdr:colOff>
      <xdr:row>21</xdr:row>
      <xdr:rowOff>41585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284589</xdr:colOff>
      <xdr:row>24</xdr:row>
      <xdr:rowOff>41584</xdr:rowOff>
    </xdr:from>
    <xdr:to>
      <xdr:col>12</xdr:col>
      <xdr:colOff>121967</xdr:colOff>
      <xdr:row>34</xdr:row>
      <xdr:rowOff>111280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241479</xdr:colOff>
      <xdr:row>0</xdr:row>
      <xdr:rowOff>107324</xdr:rowOff>
    </xdr:from>
    <xdr:to>
      <xdr:col>3</xdr:col>
      <xdr:colOff>1215756</xdr:colOff>
      <xdr:row>3</xdr:row>
      <xdr:rowOff>149583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3139225" y="107324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5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4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10</xdr:row>
      <xdr:rowOff>171450</xdr:rowOff>
    </xdr:from>
    <xdr:to>
      <xdr:col>15</xdr:col>
      <xdr:colOff>238125</xdr:colOff>
      <xdr:row>20</xdr:row>
      <xdr:rowOff>161925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257175</xdr:colOff>
      <xdr:row>20</xdr:row>
      <xdr:rowOff>180975</xdr:rowOff>
    </xdr:from>
    <xdr:to>
      <xdr:col>12</xdr:col>
      <xdr:colOff>114300</xdr:colOff>
      <xdr:row>31</xdr:row>
      <xdr:rowOff>9525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219075</xdr:colOff>
      <xdr:row>0</xdr:row>
      <xdr:rowOff>152400</xdr:rowOff>
    </xdr:from>
    <xdr:to>
      <xdr:col>3</xdr:col>
      <xdr:colOff>1222375</xdr:colOff>
      <xdr:row>4</xdr:row>
      <xdr:rowOff>0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3114675" y="152400"/>
          <a:ext cx="25558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4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3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11</xdr:row>
      <xdr:rowOff>38100</xdr:rowOff>
    </xdr:from>
    <xdr:to>
      <xdr:col>15</xdr:col>
      <xdr:colOff>238125</xdr:colOff>
      <xdr:row>21</xdr:row>
      <xdr:rowOff>28575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476250</xdr:colOff>
      <xdr:row>21</xdr:row>
      <xdr:rowOff>95250</xdr:rowOff>
    </xdr:from>
    <xdr:to>
      <xdr:col>12</xdr:col>
      <xdr:colOff>333375</xdr:colOff>
      <xdr:row>31</xdr:row>
      <xdr:rowOff>114300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476250</xdr:colOff>
      <xdr:row>1</xdr:row>
      <xdr:rowOff>38100</xdr:rowOff>
    </xdr:from>
    <xdr:to>
      <xdr:col>3</xdr:col>
      <xdr:colOff>1454150</xdr:colOff>
      <xdr:row>4</xdr:row>
      <xdr:rowOff>76200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3371850" y="228600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3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2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224518</xdr:colOff>
      <xdr:row>11</xdr:row>
      <xdr:rowOff>0</xdr:rowOff>
    </xdr:from>
    <xdr:to>
      <xdr:col>16</xdr:col>
      <xdr:colOff>108857</xdr:colOff>
      <xdr:row>22</xdr:row>
      <xdr:rowOff>194582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469447</xdr:colOff>
      <xdr:row>23</xdr:row>
      <xdr:rowOff>17689</xdr:rowOff>
    </xdr:from>
    <xdr:to>
      <xdr:col>12</xdr:col>
      <xdr:colOff>333375</xdr:colOff>
      <xdr:row>33</xdr:row>
      <xdr:rowOff>58511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163286</xdr:colOff>
      <xdr:row>0</xdr:row>
      <xdr:rowOff>95250</xdr:rowOff>
    </xdr:from>
    <xdr:to>
      <xdr:col>3</xdr:col>
      <xdr:colOff>1142546</xdr:colOff>
      <xdr:row>3</xdr:row>
      <xdr:rowOff>129268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3061607" y="95250"/>
          <a:ext cx="2530475" cy="61912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"Этап </a:t>
          </a:r>
          <a:r>
            <a:rPr lang="en-US" sz="1400" b="1" i="0" baseline="0">
              <a:ln>
                <a:noFill/>
              </a:ln>
            </a:rPr>
            <a:t>2</a:t>
          </a:r>
          <a:r>
            <a:rPr lang="ru-RU" sz="1400" b="1" i="0" baseline="0">
              <a:ln>
                <a:noFill/>
              </a:ln>
            </a:rPr>
            <a:t>. Регрессия </a:t>
          </a:r>
          <a:r>
            <a:rPr lang="en-US" sz="1400" b="1" i="0" baseline="0">
              <a:ln>
                <a:noFill/>
              </a:ln>
            </a:rPr>
            <a:t>Y </a:t>
          </a:r>
          <a:r>
            <a:rPr lang="ru-RU" sz="1400" b="1" i="0" baseline="0">
              <a:ln>
                <a:noFill/>
              </a:ln>
            </a:rPr>
            <a:t>от </a:t>
          </a:r>
          <a:r>
            <a:rPr lang="en-US" sz="1400" b="1" i="0" baseline="0">
              <a:ln>
                <a:noFill/>
              </a:ln>
            </a:rPr>
            <a:t>X</a:t>
          </a:r>
          <a:r>
            <a:rPr lang="en-US" sz="1050" b="1" i="0" baseline="0">
              <a:ln>
                <a:noFill/>
              </a:ln>
            </a:rPr>
            <a:t>1</a:t>
          </a:r>
          <a:r>
            <a:rPr lang="ru-RU" sz="1400" b="1" i="0" baseline="0">
              <a:ln>
                <a:noFill/>
              </a:ln>
            </a:rPr>
            <a:t>"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238124</xdr:colOff>
      <xdr:row>0</xdr:row>
      <xdr:rowOff>180975</xdr:rowOff>
    </xdr:from>
    <xdr:to>
      <xdr:col>18</xdr:col>
      <xdr:colOff>612320</xdr:colOff>
      <xdr:row>10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278946</xdr:colOff>
      <xdr:row>11</xdr:row>
      <xdr:rowOff>4083</xdr:rowOff>
    </xdr:from>
    <xdr:to>
      <xdr:col>15</xdr:col>
      <xdr:colOff>278947</xdr:colOff>
      <xdr:row>20</xdr:row>
      <xdr:rowOff>180975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251732</xdr:colOff>
      <xdr:row>21</xdr:row>
      <xdr:rowOff>13607</xdr:rowOff>
    </xdr:from>
    <xdr:to>
      <xdr:col>16</xdr:col>
      <xdr:colOff>299357</xdr:colOff>
      <xdr:row>31</xdr:row>
      <xdr:rowOff>126547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266700</xdr:colOff>
      <xdr:row>0</xdr:row>
      <xdr:rowOff>114300</xdr:rowOff>
    </xdr:from>
    <xdr:to>
      <xdr:col>3</xdr:col>
      <xdr:colOff>857250</xdr:colOff>
      <xdr:row>3</xdr:row>
      <xdr:rowOff>128587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</xdr:cNvPr>
        <xdr:cNvSpPr/>
      </xdr:nvSpPr>
      <xdr:spPr>
        <a:xfrm>
          <a:off x="3162300" y="114300"/>
          <a:ext cx="2143125" cy="595312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"Анализ временного ряда"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297655</xdr:colOff>
      <xdr:row>63</xdr:row>
      <xdr:rowOff>190499</xdr:rowOff>
    </xdr:from>
    <xdr:to>
      <xdr:col>5</xdr:col>
      <xdr:colOff>619124</xdr:colOff>
      <xdr:row>67</xdr:row>
      <xdr:rowOff>214313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512093" y="12227718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64</xdr:row>
      <xdr:rowOff>19050</xdr:rowOff>
    </xdr:from>
    <xdr:to>
      <xdr:col>6</xdr:col>
      <xdr:colOff>57150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92405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63</xdr:row>
      <xdr:rowOff>180975</xdr:rowOff>
    </xdr:from>
    <xdr:to>
      <xdr:col>5</xdr:col>
      <xdr:colOff>523875</xdr:colOff>
      <xdr:row>67</xdr:row>
      <xdr:rowOff>200026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28750" y="1244917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64</xdr:row>
      <xdr:rowOff>0</xdr:rowOff>
    </xdr:from>
    <xdr:to>
      <xdr:col>5</xdr:col>
      <xdr:colOff>542925</xdr:colOff>
      <xdr:row>67</xdr:row>
      <xdr:rowOff>209551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47800" y="1223010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64</xdr:row>
      <xdr:rowOff>19050</xdr:rowOff>
    </xdr:from>
    <xdr:to>
      <xdr:col>5</xdr:col>
      <xdr:colOff>495300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00175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64</xdr:row>
      <xdr:rowOff>28575</xdr:rowOff>
    </xdr:from>
    <xdr:to>
      <xdr:col>5</xdr:col>
      <xdr:colOff>581025</xdr:colOff>
      <xdr:row>68</xdr:row>
      <xdr:rowOff>9526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85900" y="1225867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64</xdr:row>
      <xdr:rowOff>38100</xdr:rowOff>
    </xdr:from>
    <xdr:to>
      <xdr:col>5</xdr:col>
      <xdr:colOff>704850</xdr:colOff>
      <xdr:row>68</xdr:row>
      <xdr:rowOff>19051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609725" y="1226820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64</xdr:row>
      <xdr:rowOff>28575</xdr:rowOff>
    </xdr:from>
    <xdr:to>
      <xdr:col>5</xdr:col>
      <xdr:colOff>600075</xdr:colOff>
      <xdr:row>68</xdr:row>
      <xdr:rowOff>9526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504950" y="1225867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64</xdr:row>
      <xdr:rowOff>38100</xdr:rowOff>
    </xdr:from>
    <xdr:to>
      <xdr:col>5</xdr:col>
      <xdr:colOff>752475</xdr:colOff>
      <xdr:row>68</xdr:row>
      <xdr:rowOff>19051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657350" y="1226820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64</xdr:row>
      <xdr:rowOff>9525</xdr:rowOff>
    </xdr:from>
    <xdr:to>
      <xdr:col>5</xdr:col>
      <xdr:colOff>581025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8590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64</xdr:row>
      <xdr:rowOff>19050</xdr:rowOff>
    </xdr:from>
    <xdr:to>
      <xdr:col>5</xdr:col>
      <xdr:colOff>628650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533525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64</xdr:row>
      <xdr:rowOff>38100</xdr:rowOff>
    </xdr:from>
    <xdr:to>
      <xdr:col>5</xdr:col>
      <xdr:colOff>590550</xdr:colOff>
      <xdr:row>68</xdr:row>
      <xdr:rowOff>19051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95425" y="1226820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64</xdr:row>
      <xdr:rowOff>9525</xdr:rowOff>
    </xdr:from>
    <xdr:to>
      <xdr:col>5</xdr:col>
      <xdr:colOff>476250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81125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64</xdr:row>
      <xdr:rowOff>38100</xdr:rowOff>
    </xdr:from>
    <xdr:to>
      <xdr:col>5</xdr:col>
      <xdr:colOff>504825</xdr:colOff>
      <xdr:row>68</xdr:row>
      <xdr:rowOff>19051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09700" y="1226820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64</xdr:row>
      <xdr:rowOff>28575</xdr:rowOff>
    </xdr:from>
    <xdr:to>
      <xdr:col>5</xdr:col>
      <xdr:colOff>523875</xdr:colOff>
      <xdr:row>68</xdr:row>
      <xdr:rowOff>9526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28750" y="1225867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64</xdr:row>
      <xdr:rowOff>9525</xdr:rowOff>
    </xdr:from>
    <xdr:to>
      <xdr:col>5</xdr:col>
      <xdr:colOff>523875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2875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291354</xdr:colOff>
      <xdr:row>64</xdr:row>
      <xdr:rowOff>22411</xdr:rowOff>
    </xdr:from>
    <xdr:to>
      <xdr:col>5</xdr:col>
      <xdr:colOff>619126</xdr:colOff>
      <xdr:row>68</xdr:row>
      <xdr:rowOff>16809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501589" y="12248029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64</xdr:row>
      <xdr:rowOff>9525</xdr:rowOff>
    </xdr:from>
    <xdr:to>
      <xdr:col>5</xdr:col>
      <xdr:colOff>514350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19225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64</xdr:row>
      <xdr:rowOff>19050</xdr:rowOff>
    </xdr:from>
    <xdr:to>
      <xdr:col>5</xdr:col>
      <xdr:colOff>485775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9065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64</xdr:row>
      <xdr:rowOff>19050</xdr:rowOff>
    </xdr:from>
    <xdr:to>
      <xdr:col>5</xdr:col>
      <xdr:colOff>495300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00175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64</xdr:row>
      <xdr:rowOff>9525</xdr:rowOff>
    </xdr:from>
    <xdr:to>
      <xdr:col>5</xdr:col>
      <xdr:colOff>514350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19225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64</xdr:row>
      <xdr:rowOff>19050</xdr:rowOff>
    </xdr:from>
    <xdr:to>
      <xdr:col>5</xdr:col>
      <xdr:colOff>504825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0970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64</xdr:row>
      <xdr:rowOff>19050</xdr:rowOff>
    </xdr:from>
    <xdr:to>
      <xdr:col>5</xdr:col>
      <xdr:colOff>485775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9065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64</xdr:row>
      <xdr:rowOff>38100</xdr:rowOff>
    </xdr:from>
    <xdr:to>
      <xdr:col>5</xdr:col>
      <xdr:colOff>485775</xdr:colOff>
      <xdr:row>68</xdr:row>
      <xdr:rowOff>19051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90650" y="1226820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64</xdr:row>
      <xdr:rowOff>9525</xdr:rowOff>
    </xdr:from>
    <xdr:to>
      <xdr:col>5</xdr:col>
      <xdr:colOff>523875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2875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64</xdr:row>
      <xdr:rowOff>0</xdr:rowOff>
    </xdr:from>
    <xdr:to>
      <xdr:col>5</xdr:col>
      <xdr:colOff>590550</xdr:colOff>
      <xdr:row>67</xdr:row>
      <xdr:rowOff>209551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95425" y="1223010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64</xdr:row>
      <xdr:rowOff>19050</xdr:rowOff>
    </xdr:from>
    <xdr:to>
      <xdr:col>5</xdr:col>
      <xdr:colOff>523875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2875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64</xdr:row>
      <xdr:rowOff>19050</xdr:rowOff>
    </xdr:from>
    <xdr:to>
      <xdr:col>5</xdr:col>
      <xdr:colOff>447675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5255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64</xdr:row>
      <xdr:rowOff>9525</xdr:rowOff>
    </xdr:from>
    <xdr:to>
      <xdr:col>5</xdr:col>
      <xdr:colOff>542925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4780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64</xdr:row>
      <xdr:rowOff>28575</xdr:rowOff>
    </xdr:from>
    <xdr:to>
      <xdr:col>5</xdr:col>
      <xdr:colOff>457200</xdr:colOff>
      <xdr:row>68</xdr:row>
      <xdr:rowOff>9526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62075" y="1225867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64</xdr:row>
      <xdr:rowOff>9525</xdr:rowOff>
    </xdr:from>
    <xdr:to>
      <xdr:col>5</xdr:col>
      <xdr:colOff>466725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7160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64</xdr:row>
      <xdr:rowOff>19050</xdr:rowOff>
    </xdr:from>
    <xdr:to>
      <xdr:col>5</xdr:col>
      <xdr:colOff>447675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5255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64</xdr:row>
      <xdr:rowOff>19050</xdr:rowOff>
    </xdr:from>
    <xdr:to>
      <xdr:col>5</xdr:col>
      <xdr:colOff>457200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62075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64</xdr:row>
      <xdr:rowOff>9525</xdr:rowOff>
    </xdr:from>
    <xdr:to>
      <xdr:col>5</xdr:col>
      <xdr:colOff>485775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9065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64</xdr:row>
      <xdr:rowOff>9525</xdr:rowOff>
    </xdr:from>
    <xdr:to>
      <xdr:col>5</xdr:col>
      <xdr:colOff>428625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3350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64</xdr:row>
      <xdr:rowOff>9525</xdr:rowOff>
    </xdr:from>
    <xdr:to>
      <xdr:col>5</xdr:col>
      <xdr:colOff>466725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7160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64</xdr:row>
      <xdr:rowOff>9525</xdr:rowOff>
    </xdr:from>
    <xdr:to>
      <xdr:col>5</xdr:col>
      <xdr:colOff>466725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7160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64</xdr:row>
      <xdr:rowOff>9525</xdr:rowOff>
    </xdr:from>
    <xdr:to>
      <xdr:col>5</xdr:col>
      <xdr:colOff>466725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7160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64</xdr:row>
      <xdr:rowOff>19050</xdr:rowOff>
    </xdr:from>
    <xdr:to>
      <xdr:col>5</xdr:col>
      <xdr:colOff>504825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0970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64</xdr:row>
      <xdr:rowOff>0</xdr:rowOff>
    </xdr:from>
    <xdr:to>
      <xdr:col>5</xdr:col>
      <xdr:colOff>514350</xdr:colOff>
      <xdr:row>67</xdr:row>
      <xdr:rowOff>209551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19225" y="1223010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64</xdr:row>
      <xdr:rowOff>9525</xdr:rowOff>
    </xdr:from>
    <xdr:to>
      <xdr:col>5</xdr:col>
      <xdr:colOff>495300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00175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64</xdr:row>
      <xdr:rowOff>19050</xdr:rowOff>
    </xdr:from>
    <xdr:to>
      <xdr:col>5</xdr:col>
      <xdr:colOff>485775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9065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64</xdr:row>
      <xdr:rowOff>9525</xdr:rowOff>
    </xdr:from>
    <xdr:to>
      <xdr:col>5</xdr:col>
      <xdr:colOff>476250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81125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64</xdr:row>
      <xdr:rowOff>28575</xdr:rowOff>
    </xdr:from>
    <xdr:to>
      <xdr:col>5</xdr:col>
      <xdr:colOff>581025</xdr:colOff>
      <xdr:row>68</xdr:row>
      <xdr:rowOff>9526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85900" y="1225867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64</xdr:row>
      <xdr:rowOff>9525</xdr:rowOff>
    </xdr:from>
    <xdr:to>
      <xdr:col>5</xdr:col>
      <xdr:colOff>476250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81125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64</xdr:row>
      <xdr:rowOff>9525</xdr:rowOff>
    </xdr:from>
    <xdr:to>
      <xdr:col>5</xdr:col>
      <xdr:colOff>514350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19225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64</xdr:row>
      <xdr:rowOff>9525</xdr:rowOff>
    </xdr:from>
    <xdr:to>
      <xdr:col>5</xdr:col>
      <xdr:colOff>476250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81125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64</xdr:row>
      <xdr:rowOff>9525</xdr:rowOff>
    </xdr:from>
    <xdr:to>
      <xdr:col>5</xdr:col>
      <xdr:colOff>447675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5255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64</xdr:row>
      <xdr:rowOff>0</xdr:rowOff>
    </xdr:from>
    <xdr:to>
      <xdr:col>5</xdr:col>
      <xdr:colOff>485775</xdr:colOff>
      <xdr:row>67</xdr:row>
      <xdr:rowOff>209551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90650" y="1223010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64</xdr:row>
      <xdr:rowOff>19050</xdr:rowOff>
    </xdr:from>
    <xdr:to>
      <xdr:col>5</xdr:col>
      <xdr:colOff>485775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90650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64</xdr:row>
      <xdr:rowOff>9525</xdr:rowOff>
    </xdr:from>
    <xdr:to>
      <xdr:col>5</xdr:col>
      <xdr:colOff>400050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04925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64</xdr:row>
      <xdr:rowOff>9525</xdr:rowOff>
    </xdr:from>
    <xdr:to>
      <xdr:col>5</xdr:col>
      <xdr:colOff>485775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9065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64</xdr:row>
      <xdr:rowOff>9525</xdr:rowOff>
    </xdr:from>
    <xdr:to>
      <xdr:col>5</xdr:col>
      <xdr:colOff>542925</xdr:colOff>
      <xdr:row>67</xdr:row>
      <xdr:rowOff>219076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447800" y="12239625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64</xdr:row>
      <xdr:rowOff>19050</xdr:rowOff>
    </xdr:from>
    <xdr:to>
      <xdr:col>5</xdr:col>
      <xdr:colOff>476250</xdr:colOff>
      <xdr:row>68</xdr:row>
      <xdr:rowOff>1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</xdr:cNvPr>
        <xdr:cNvSpPr/>
      </xdr:nvSpPr>
      <xdr:spPr>
        <a:xfrm>
          <a:off x="1381125" y="12249150"/>
          <a:ext cx="2143125" cy="8572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400" b="1" i="0" baseline="0">
              <a:ln>
                <a:noFill/>
              </a:ln>
            </a:rPr>
            <a:t>Перейти на "Исследование сезонных колебаний"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showdata.gks.ru/report/274264/?&amp;filter_1_0=2009-04-01+00%3A00%3A00%7C-56%2C2010-04-01+00%3A00%3A00%7C-56%2C2011-01-01+00%3A00%3A00%7C-56%2C2011-04-01+00%3A00%3A00%7C-56%2C2011-07-01+00%3A00%3A00%7C-56%2C2011-10-01+00%3A00%3A00%7C-56%2C2012-01-01+0" TargetMode="External"/><Relationship Id="rId7" Type="http://schemas.openxmlformats.org/officeDocument/2006/relationships/hyperlink" Target="https://showdata.gks.ru/report/273992/?&amp;filter_1_0=2010-01-01+00%3A00%3A00%7C-56%2C2010-04-01+00%3A00%3A00%7C-56%2C2010-07-01+00%3A00%3A00%7C-56%2C2010-10-01+00%3A00%3A00%7C-56%2C2011-01-01+00%3A00%3A00%7C-56%2C2011-04-01+00%3A00%3A00%7C-56%2C2011-07-01+0" TargetMode="External"/><Relationship Id="rId2" Type="http://schemas.openxmlformats.org/officeDocument/2006/relationships/hyperlink" Target="https://showdata.gks.ru/report/274426/" TargetMode="External"/><Relationship Id="rId1" Type="http://schemas.openxmlformats.org/officeDocument/2006/relationships/hyperlink" Target="https://showdata.gks.ru/report/277328/?&amp;filter_1_0=1995-01-01+00%3A00%3A00%7C-56%2C1995-02-01+00%3A00%3A00%7C-56%2C1995-03-01+00%3A00%3A00%7C-56%2C1995-04-01+00%3A00%3A00%7C-56%2C1995-05-01+00%3A00%3A00%7C-56%2C1995-06-01+00%3A00%3A00%7C-56%2C1995-07-01+0" TargetMode="External"/><Relationship Id="rId6" Type="http://schemas.openxmlformats.org/officeDocument/2006/relationships/hyperlink" Target="https://showdata.gks.ru/report/279082/?filter_1_0=2019-04-01+00%3A00%3A00%7C-55%2C2019-07-01+00%3A00%3A00%7C-55%2C2019-10-01+00%3A00%3A00%7C-55%2C2020-01-01+00%3A00%3A00%7C-55%2C2020-04-01+00%3A00%3A00%7C-55%2C2020-07-01+00%3A00%3A00%7C-55%2C2020-10-01+00" TargetMode="External"/><Relationship Id="rId5" Type="http://schemas.openxmlformats.org/officeDocument/2006/relationships/hyperlink" Target="https://showdata.gks.ru/report/274016/?&amp;filter_1_0=2012-01-01+00%3A00%3A00%7C-56%2C2012-02-01+00%3A00%3A00%7C-56%2C2012-03-01+00%3A00%3A00%7C-56%2C2012-04-01+00%3A00%3A00%7C-56%2C2012-05-01+00%3A00%3A00%7C-56%2C2012-06-01+00%3A00%3A00%7C-56%2C2012-07-01+0" TargetMode="External"/><Relationship Id="rId4" Type="http://schemas.openxmlformats.org/officeDocument/2006/relationships/hyperlink" Target="https://showdata.gks.ru/report/274016/?&amp;filter_1_0=2012-01-01+00%3A00%3A00%7C-56%2C2012-02-01+00%3A00%3A00%7C-56%2C2012-03-01+00%3A00%3A00%7C-56%2C2012-04-01+00%3A00%3A00%7C-56%2C2012-05-01+00%3A00%3A00%7C-56%2C2012-06-01+00%3A00%3A00%7C-56%2C2012-07-01+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zoomScaleNormal="100" workbookViewId="0"/>
  </sheetViews>
  <sheetFormatPr defaultRowHeight="15" x14ac:dyDescent="0.25"/>
  <cols>
    <col min="1" max="1" width="109.28515625" bestFit="1" customWidth="1"/>
    <col min="2" max="2" width="46.7109375" customWidth="1"/>
    <col min="3" max="3" width="23.28515625" bestFit="1" customWidth="1"/>
    <col min="4" max="4" width="25.5703125" bestFit="1" customWidth="1"/>
    <col min="5" max="5" width="13.85546875" bestFit="1" customWidth="1"/>
    <col min="6" max="6" width="21.7109375" bestFit="1" customWidth="1"/>
    <col min="7" max="7" width="40.7109375" customWidth="1"/>
    <col min="8" max="9" width="1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18" t="s">
        <v>22</v>
      </c>
      <c r="B3" s="18"/>
    </row>
    <row r="4" spans="1:9" x14ac:dyDescent="0.25">
      <c r="A4" s="15" t="s">
        <v>23</v>
      </c>
      <c r="B4" s="15">
        <v>0.98007230013056068</v>
      </c>
    </row>
    <row r="5" spans="1:9" x14ac:dyDescent="0.25">
      <c r="A5" s="15" t="s">
        <v>24</v>
      </c>
      <c r="B5" s="15">
        <v>0.96054171348320772</v>
      </c>
    </row>
    <row r="6" spans="1:9" x14ac:dyDescent="0.25">
      <c r="A6" s="15" t="s">
        <v>25</v>
      </c>
      <c r="B6" s="15">
        <v>0.95607473765111795</v>
      </c>
    </row>
    <row r="7" spans="1:9" x14ac:dyDescent="0.25">
      <c r="A7" s="15" t="s">
        <v>26</v>
      </c>
      <c r="B7" s="15">
        <v>2.7680521295100702</v>
      </c>
    </row>
    <row r="8" spans="1:9" ht="15.75" thickBot="1" x14ac:dyDescent="0.3">
      <c r="A8" s="16" t="s">
        <v>27</v>
      </c>
      <c r="B8" s="16">
        <v>60</v>
      </c>
    </row>
    <row r="10" spans="1:9" ht="15.75" thickBot="1" x14ac:dyDescent="0.3">
      <c r="A10" t="s">
        <v>28</v>
      </c>
    </row>
    <row r="11" spans="1:9" x14ac:dyDescent="0.25">
      <c r="A11" s="17"/>
      <c r="B11" s="17" t="s">
        <v>33</v>
      </c>
      <c r="C11" s="17" t="s">
        <v>34</v>
      </c>
      <c r="D11" s="17" t="s">
        <v>35</v>
      </c>
      <c r="E11" s="17" t="s">
        <v>36</v>
      </c>
      <c r="F11" s="17" t="s">
        <v>37</v>
      </c>
    </row>
    <row r="12" spans="1:9" x14ac:dyDescent="0.25">
      <c r="A12" s="15" t="s">
        <v>29</v>
      </c>
      <c r="B12" s="15">
        <v>6</v>
      </c>
      <c r="C12" s="15">
        <v>9885.585730974015</v>
      </c>
      <c r="D12" s="15">
        <v>1647.5976218290025</v>
      </c>
      <c r="E12" s="15">
        <v>215.03176860347119</v>
      </c>
      <c r="F12" s="15">
        <v>2.2758326302388377E-35</v>
      </c>
    </row>
    <row r="13" spans="1:9" x14ac:dyDescent="0.25">
      <c r="A13" s="15" t="s">
        <v>30</v>
      </c>
      <c r="B13" s="15">
        <v>53</v>
      </c>
      <c r="C13" s="15">
        <v>406.09196735931749</v>
      </c>
      <c r="D13" s="15">
        <v>7.6621125916852355</v>
      </c>
      <c r="E13" s="15"/>
      <c r="F13" s="15"/>
    </row>
    <row r="14" spans="1:9" ht="15.75" thickBot="1" x14ac:dyDescent="0.3">
      <c r="A14" s="16" t="s">
        <v>31</v>
      </c>
      <c r="B14" s="16">
        <v>59</v>
      </c>
      <c r="C14" s="16">
        <v>10291.677698333333</v>
      </c>
      <c r="D14" s="16"/>
      <c r="E14" s="16"/>
      <c r="F14" s="16"/>
    </row>
    <row r="15" spans="1:9" ht="15.75" thickBot="1" x14ac:dyDescent="0.3"/>
    <row r="16" spans="1:9" x14ac:dyDescent="0.25">
      <c r="A16" s="17"/>
      <c r="B16" s="17" t="s">
        <v>38</v>
      </c>
      <c r="C16" s="17" t="s">
        <v>26</v>
      </c>
      <c r="D16" s="17" t="s">
        <v>39</v>
      </c>
      <c r="E16" s="17" t="s">
        <v>40</v>
      </c>
      <c r="F16" s="17" t="s">
        <v>41</v>
      </c>
      <c r="G16" s="17" t="s">
        <v>42</v>
      </c>
      <c r="H16" s="17" t="s">
        <v>43</v>
      </c>
      <c r="I16" s="17" t="s">
        <v>44</v>
      </c>
    </row>
    <row r="17" spans="1:9" x14ac:dyDescent="0.25">
      <c r="A17" s="15" t="s">
        <v>32</v>
      </c>
      <c r="B17" s="15">
        <v>85.51443537978102</v>
      </c>
      <c r="C17" s="15">
        <v>24.753215859956629</v>
      </c>
      <c r="D17" s="15">
        <v>3.4546798227586275</v>
      </c>
      <c r="E17" s="15">
        <v>1.0920964021163485E-3</v>
      </c>
      <c r="F17" s="15">
        <v>35.865771797434235</v>
      </c>
      <c r="G17" s="15">
        <v>135.1630989621278</v>
      </c>
      <c r="H17" s="15">
        <v>44.074674798010953</v>
      </c>
      <c r="I17" s="15">
        <v>126.95419596155108</v>
      </c>
    </row>
    <row r="18" spans="1:9" x14ac:dyDescent="0.25">
      <c r="A18" s="15" t="s">
        <v>20</v>
      </c>
      <c r="B18" s="15">
        <v>9.2719350103870628E-4</v>
      </c>
      <c r="C18" s="15">
        <v>8.2018654539085312E-5</v>
      </c>
      <c r="D18" s="15">
        <v>11.304666069556895</v>
      </c>
      <c r="E18" s="15">
        <v>9.7210334840998433E-16</v>
      </c>
      <c r="F18" s="15">
        <v>7.6268491315557613E-4</v>
      </c>
      <c r="G18" s="15">
        <v>1.0917020889218364E-3</v>
      </c>
      <c r="H18" s="15">
        <v>7.8988473976228119E-4</v>
      </c>
      <c r="I18" s="15">
        <v>1.0645022623151314E-3</v>
      </c>
    </row>
    <row r="19" spans="1:9" x14ac:dyDescent="0.25">
      <c r="A19" s="15" t="s">
        <v>14</v>
      </c>
      <c r="B19" s="15">
        <v>-7.0630360077822519E-5</v>
      </c>
      <c r="C19" s="15">
        <v>5.837381658093255E-5</v>
      </c>
      <c r="D19" s="15">
        <v>-1.2099664578192664</v>
      </c>
      <c r="E19" s="15">
        <v>0.23166084020027145</v>
      </c>
      <c r="F19" s="15">
        <v>-1.8771340891644785E-4</v>
      </c>
      <c r="G19" s="15">
        <v>4.6452688760802795E-5</v>
      </c>
      <c r="H19" s="15">
        <v>-1.683549142142903E-4</v>
      </c>
      <c r="I19" s="15">
        <v>2.709419405864526E-5</v>
      </c>
    </row>
    <row r="20" spans="1:9" x14ac:dyDescent="0.25">
      <c r="A20" s="15" t="s">
        <v>15</v>
      </c>
      <c r="B20" s="15">
        <v>1.1541091209884968E-4</v>
      </c>
      <c r="C20" s="15">
        <v>2.8218411350530937E-4</v>
      </c>
      <c r="D20" s="15">
        <v>0.40899152920129994</v>
      </c>
      <c r="E20" s="15">
        <v>0.68419392737165508</v>
      </c>
      <c r="F20" s="15">
        <v>-4.5057874350674774E-4</v>
      </c>
      <c r="G20" s="15">
        <v>6.8140056770444712E-4</v>
      </c>
      <c r="H20" s="15">
        <v>-3.5699809406005908E-4</v>
      </c>
      <c r="I20" s="15">
        <v>5.8781991825775841E-4</v>
      </c>
    </row>
    <row r="21" spans="1:9" x14ac:dyDescent="0.25">
      <c r="A21" s="15" t="s">
        <v>16</v>
      </c>
      <c r="B21" s="15">
        <v>-1.6827295221003469E-3</v>
      </c>
      <c r="C21" s="15">
        <v>1.3194228225322008E-3</v>
      </c>
      <c r="D21" s="15">
        <v>-1.2753527477044073</v>
      </c>
      <c r="E21" s="15">
        <v>0.20774644309082133</v>
      </c>
      <c r="F21" s="15">
        <v>-4.3291565645253091E-3</v>
      </c>
      <c r="G21" s="15">
        <v>9.636975203246149E-4</v>
      </c>
      <c r="H21" s="15">
        <v>-3.8915966923781359E-3</v>
      </c>
      <c r="I21" s="15">
        <v>5.2613764817744215E-4</v>
      </c>
    </row>
    <row r="22" spans="1:9" x14ac:dyDescent="0.25">
      <c r="A22" s="15" t="s">
        <v>17</v>
      </c>
      <c r="B22" s="15">
        <v>-0.34118723380716315</v>
      </c>
      <c r="C22" s="15">
        <v>6.9797094268978968E-2</v>
      </c>
      <c r="D22" s="15">
        <v>-4.8882727480361945</v>
      </c>
      <c r="E22" s="15">
        <v>9.8277641287991989E-6</v>
      </c>
      <c r="F22" s="15">
        <v>-0.4811824761219915</v>
      </c>
      <c r="G22" s="15">
        <v>-0.20119199149233477</v>
      </c>
      <c r="H22" s="15">
        <v>-0.45803568259755767</v>
      </c>
      <c r="I22" s="15">
        <v>-0.22433878501676863</v>
      </c>
    </row>
    <row r="23" spans="1:9" ht="15.75" thickBot="1" x14ac:dyDescent="0.3">
      <c r="A23" s="16" t="s">
        <v>19</v>
      </c>
      <c r="B23" s="16">
        <v>-5.8644272155444202E-4</v>
      </c>
      <c r="C23" s="16">
        <v>3.1025480499556255E-4</v>
      </c>
      <c r="D23" s="16">
        <v>-1.8901970641931869</v>
      </c>
      <c r="E23" s="16">
        <v>6.4205168121180045E-2</v>
      </c>
      <c r="F23" s="16">
        <v>-1.208735054202418E-3</v>
      </c>
      <c r="G23" s="16">
        <v>3.5849611093534081E-5</v>
      </c>
      <c r="H23" s="16">
        <v>-1.1058453281126671E-3</v>
      </c>
      <c r="I23" s="16">
        <v>-6.7040114996216957E-5</v>
      </c>
    </row>
    <row r="27" spans="1:9" x14ac:dyDescent="0.25">
      <c r="A27" t="s">
        <v>57</v>
      </c>
      <c r="F27" t="s">
        <v>61</v>
      </c>
    </row>
    <row r="28" spans="1:9" ht="15.75" thickBot="1" x14ac:dyDescent="0.3"/>
    <row r="29" spans="1:9" ht="45" x14ac:dyDescent="0.25">
      <c r="A29" s="17" t="s">
        <v>58</v>
      </c>
      <c r="B29" s="23" t="s">
        <v>63</v>
      </c>
      <c r="C29" s="17" t="s">
        <v>59</v>
      </c>
      <c r="D29" s="17" t="s">
        <v>60</v>
      </c>
      <c r="F29" s="17" t="s">
        <v>62</v>
      </c>
      <c r="G29" s="23" t="s">
        <v>18</v>
      </c>
    </row>
    <row r="30" spans="1:9" x14ac:dyDescent="0.25">
      <c r="A30" s="15">
        <v>1</v>
      </c>
      <c r="B30" s="15">
        <v>104.20115386005612</v>
      </c>
      <c r="C30" s="15">
        <v>-1.8811538600561306</v>
      </c>
      <c r="D30" s="15">
        <v>-0.71703131708274714</v>
      </c>
      <c r="F30" s="15">
        <v>0.83333333333333337</v>
      </c>
      <c r="G30" s="15">
        <v>102.06</v>
      </c>
    </row>
    <row r="31" spans="1:9" x14ac:dyDescent="0.25">
      <c r="A31" s="15">
        <v>2</v>
      </c>
      <c r="B31" s="15">
        <v>103.27686066152033</v>
      </c>
      <c r="C31" s="15">
        <v>-1.0668606615203373</v>
      </c>
      <c r="D31" s="15">
        <v>-0.40665068472967586</v>
      </c>
      <c r="F31" s="15">
        <v>2.5</v>
      </c>
      <c r="G31" s="15">
        <v>102.16</v>
      </c>
    </row>
    <row r="32" spans="1:9" x14ac:dyDescent="0.25">
      <c r="A32" s="15">
        <v>3</v>
      </c>
      <c r="B32" s="15">
        <v>104.19712886800028</v>
      </c>
      <c r="C32" s="15">
        <v>-2.0371288680002806</v>
      </c>
      <c r="D32" s="15">
        <v>-0.77648363927336728</v>
      </c>
      <c r="F32" s="15">
        <v>4.166666666666667</v>
      </c>
      <c r="G32" s="15">
        <v>102.21</v>
      </c>
    </row>
    <row r="33" spans="1:7" x14ac:dyDescent="0.25">
      <c r="A33" s="15">
        <v>4</v>
      </c>
      <c r="B33" s="15">
        <v>102.52349498628281</v>
      </c>
      <c r="C33" s="15">
        <v>-0.46349498628281083</v>
      </c>
      <c r="D33" s="15">
        <v>-0.17666838823364356</v>
      </c>
      <c r="F33" s="15">
        <v>5.833333333333333</v>
      </c>
      <c r="G33" s="15">
        <v>102.32</v>
      </c>
    </row>
    <row r="34" spans="1:7" x14ac:dyDescent="0.25">
      <c r="A34" s="15">
        <v>5</v>
      </c>
      <c r="B34" s="15">
        <v>105.01370597712634</v>
      </c>
      <c r="C34" s="15">
        <v>-2.4637059771263381</v>
      </c>
      <c r="D34" s="15">
        <v>-0.93908019922986186</v>
      </c>
      <c r="F34" s="15">
        <v>7.5</v>
      </c>
      <c r="G34" s="15">
        <v>102.55</v>
      </c>
    </row>
    <row r="35" spans="1:7" x14ac:dyDescent="0.25">
      <c r="A35" s="15">
        <v>6</v>
      </c>
      <c r="B35" s="15">
        <v>104.98432229988224</v>
      </c>
      <c r="C35" s="15">
        <v>-0.63432229988224265</v>
      </c>
      <c r="D35" s="15">
        <v>-0.24178189982075704</v>
      </c>
      <c r="F35" s="15">
        <v>9.1666666666666679</v>
      </c>
      <c r="G35" s="15">
        <v>104.35</v>
      </c>
    </row>
    <row r="36" spans="1:7" x14ac:dyDescent="0.25">
      <c r="A36" s="15">
        <v>7</v>
      </c>
      <c r="B36" s="15">
        <v>108.25478609911184</v>
      </c>
      <c r="C36" s="15">
        <v>-0.68478609911184662</v>
      </c>
      <c r="D36" s="15">
        <v>-0.26101696888922898</v>
      </c>
      <c r="F36" s="15">
        <v>10.833333333333334</v>
      </c>
      <c r="G36" s="15">
        <v>106.49</v>
      </c>
    </row>
    <row r="37" spans="1:7" x14ac:dyDescent="0.25">
      <c r="A37" s="15">
        <v>8</v>
      </c>
      <c r="B37" s="15">
        <v>110.43618390304874</v>
      </c>
      <c r="C37" s="15">
        <v>1.5238160969512506</v>
      </c>
      <c r="D37" s="15">
        <v>0.58082642052269151</v>
      </c>
      <c r="F37" s="15">
        <v>12.500000000000002</v>
      </c>
      <c r="G37" s="15">
        <v>106.57</v>
      </c>
    </row>
    <row r="38" spans="1:7" x14ac:dyDescent="0.25">
      <c r="A38" s="15">
        <v>9</v>
      </c>
      <c r="B38" s="15">
        <v>113.17387340254449</v>
      </c>
      <c r="C38" s="15">
        <v>2.096126597455509</v>
      </c>
      <c r="D38" s="15">
        <v>0.79897154978107654</v>
      </c>
      <c r="F38" s="15">
        <v>14.166666666666668</v>
      </c>
      <c r="G38" s="15">
        <v>106.61</v>
      </c>
    </row>
    <row r="39" spans="1:7" x14ac:dyDescent="0.25">
      <c r="A39" s="15">
        <v>10</v>
      </c>
      <c r="B39" s="15">
        <v>114.26120938287215</v>
      </c>
      <c r="C39" s="15">
        <v>2.908790617127849</v>
      </c>
      <c r="D39" s="15">
        <v>1.1087311950415819</v>
      </c>
      <c r="F39" s="15">
        <v>15.833333333333334</v>
      </c>
      <c r="G39" s="15">
        <v>107.03</v>
      </c>
    </row>
    <row r="40" spans="1:7" x14ac:dyDescent="0.25">
      <c r="A40" s="15">
        <v>11</v>
      </c>
      <c r="B40" s="15">
        <v>116.85421389305777</v>
      </c>
      <c r="C40" s="15">
        <v>0.75578610694222448</v>
      </c>
      <c r="D40" s="15">
        <v>0.28807973616653298</v>
      </c>
      <c r="F40" s="15">
        <v>17.5</v>
      </c>
      <c r="G40" s="15">
        <v>107.04</v>
      </c>
    </row>
    <row r="41" spans="1:7" x14ac:dyDescent="0.25">
      <c r="A41" s="15">
        <v>12</v>
      </c>
      <c r="B41" s="15">
        <v>117.09901221790329</v>
      </c>
      <c r="C41" s="15">
        <v>0.16098778209671138</v>
      </c>
      <c r="D41" s="15">
        <v>6.1363019730661973E-2</v>
      </c>
      <c r="F41" s="15">
        <v>19.166666666666668</v>
      </c>
      <c r="G41" s="15">
        <v>107.47</v>
      </c>
    </row>
    <row r="42" spans="1:7" x14ac:dyDescent="0.25">
      <c r="A42" s="15">
        <v>13</v>
      </c>
      <c r="B42" s="15">
        <v>113.85024726645227</v>
      </c>
      <c r="C42" s="15">
        <v>2.0297527335477241</v>
      </c>
      <c r="D42" s="15">
        <v>0.77367210986378554</v>
      </c>
      <c r="F42" s="15">
        <v>20.833333333333332</v>
      </c>
      <c r="G42" s="15">
        <v>107.57</v>
      </c>
    </row>
    <row r="43" spans="1:7" x14ac:dyDescent="0.25">
      <c r="A43" s="15">
        <v>14</v>
      </c>
      <c r="B43" s="15">
        <v>109.21524298464495</v>
      </c>
      <c r="C43" s="15">
        <v>4.1347570153550492</v>
      </c>
      <c r="D43" s="15">
        <v>1.5760275283642649</v>
      </c>
      <c r="F43" s="15">
        <v>22.5</v>
      </c>
      <c r="G43" s="15">
        <v>107.8</v>
      </c>
    </row>
    <row r="44" spans="1:7" x14ac:dyDescent="0.25">
      <c r="A44" s="15">
        <v>15</v>
      </c>
      <c r="B44" s="15">
        <v>106.52667973091779</v>
      </c>
      <c r="C44" s="15">
        <v>4.8633202690822088</v>
      </c>
      <c r="D44" s="15">
        <v>1.8537308467852733</v>
      </c>
      <c r="F44" s="15">
        <v>24.166666666666668</v>
      </c>
      <c r="G44" s="15">
        <v>108.19</v>
      </c>
    </row>
    <row r="45" spans="1:7" x14ac:dyDescent="0.25">
      <c r="A45" s="15">
        <v>16</v>
      </c>
      <c r="B45" s="15">
        <v>109.00434208920088</v>
      </c>
      <c r="C45" s="15">
        <v>0.7556579107991297</v>
      </c>
      <c r="D45" s="15">
        <v>0.28803087219464851</v>
      </c>
      <c r="F45" s="15">
        <v>25.833333333333332</v>
      </c>
      <c r="G45" s="15">
        <v>108.36</v>
      </c>
    </row>
    <row r="46" spans="1:7" x14ac:dyDescent="0.25">
      <c r="A46" s="15">
        <v>17</v>
      </c>
      <c r="B46" s="15">
        <v>107.3109967736638</v>
      </c>
      <c r="C46" s="15">
        <v>2.1890032263361974</v>
      </c>
      <c r="D46" s="15">
        <v>0.8343729345091383</v>
      </c>
      <c r="F46" s="15">
        <v>27.5</v>
      </c>
      <c r="G46" s="15">
        <v>108.49</v>
      </c>
    </row>
    <row r="47" spans="1:7" x14ac:dyDescent="0.25">
      <c r="A47" s="15">
        <v>18</v>
      </c>
      <c r="B47" s="15">
        <v>108.31574607190237</v>
      </c>
      <c r="C47" s="15">
        <v>0.54425392809763196</v>
      </c>
      <c r="D47" s="15">
        <v>0.20745092635838913</v>
      </c>
      <c r="F47" s="15">
        <v>29.166666666666668</v>
      </c>
      <c r="G47" s="15">
        <v>108.86</v>
      </c>
    </row>
    <row r="48" spans="1:7" x14ac:dyDescent="0.25">
      <c r="A48" s="15">
        <v>19</v>
      </c>
      <c r="B48" s="15">
        <v>107.87659298965487</v>
      </c>
      <c r="C48" s="15">
        <v>0.6134070103451279</v>
      </c>
      <c r="D48" s="15">
        <v>0.23380970896364292</v>
      </c>
      <c r="F48" s="15">
        <v>30.833333333333332</v>
      </c>
      <c r="G48" s="15">
        <v>109.5</v>
      </c>
    </row>
    <row r="49" spans="1:7" x14ac:dyDescent="0.25">
      <c r="A49" s="15">
        <v>20</v>
      </c>
      <c r="B49" s="15">
        <v>108.54117891582716</v>
      </c>
      <c r="C49" s="15">
        <v>-0.18117891582716084</v>
      </c>
      <c r="D49" s="15">
        <v>-6.9059187236974323E-2</v>
      </c>
      <c r="F49" s="15">
        <v>32.5</v>
      </c>
      <c r="G49" s="15">
        <v>109.76</v>
      </c>
    </row>
    <row r="50" spans="1:7" x14ac:dyDescent="0.25">
      <c r="A50" s="15">
        <v>21</v>
      </c>
      <c r="B50" s="15">
        <v>108.21637964325301</v>
      </c>
      <c r="C50" s="15">
        <v>-2.6379643253008567E-2</v>
      </c>
      <c r="D50" s="15">
        <v>-1.0055015034928267E-2</v>
      </c>
      <c r="F50" s="15">
        <v>34.166666666666671</v>
      </c>
      <c r="G50" s="15">
        <v>111.35</v>
      </c>
    </row>
    <row r="51" spans="1:7" x14ac:dyDescent="0.25">
      <c r="A51" s="15">
        <v>22</v>
      </c>
      <c r="B51" s="15">
        <v>106.78573108391231</v>
      </c>
      <c r="C51" s="15">
        <v>1.014268916087687</v>
      </c>
      <c r="D51" s="15">
        <v>0.3866045155693667</v>
      </c>
      <c r="F51" s="15">
        <v>35.833333333333336</v>
      </c>
      <c r="G51" s="15">
        <v>111.39</v>
      </c>
    </row>
    <row r="52" spans="1:7" x14ac:dyDescent="0.25">
      <c r="A52" s="15">
        <v>23</v>
      </c>
      <c r="B52" s="15">
        <v>107.01639121464214</v>
      </c>
      <c r="C52" s="15">
        <v>0.45360878535785787</v>
      </c>
      <c r="D52" s="15">
        <v>0.17290010759446597</v>
      </c>
      <c r="F52" s="15">
        <v>37.500000000000007</v>
      </c>
      <c r="G52" s="15">
        <v>111.96</v>
      </c>
    </row>
    <row r="53" spans="1:7" x14ac:dyDescent="0.25">
      <c r="A53" s="15">
        <v>24</v>
      </c>
      <c r="B53" s="15">
        <v>99.255005392473976</v>
      </c>
      <c r="C53" s="15">
        <v>7.7749946075260254</v>
      </c>
      <c r="D53" s="15">
        <v>2.9635612174643153</v>
      </c>
      <c r="F53" s="15">
        <v>39.166666666666671</v>
      </c>
      <c r="G53" s="15">
        <v>113.35</v>
      </c>
    </row>
    <row r="54" spans="1:7" x14ac:dyDescent="0.25">
      <c r="A54" s="15">
        <v>25</v>
      </c>
      <c r="B54" s="15">
        <v>110.53822691946951</v>
      </c>
      <c r="C54" s="15">
        <v>-3.928226919469509</v>
      </c>
      <c r="D54" s="15">
        <v>-1.4973053409799664</v>
      </c>
      <c r="F54" s="15">
        <v>40.833333333333336</v>
      </c>
      <c r="G54" s="15">
        <v>115.27</v>
      </c>
    </row>
    <row r="55" spans="1:7" x14ac:dyDescent="0.25">
      <c r="A55" s="15">
        <v>26</v>
      </c>
      <c r="B55" s="15">
        <v>108.34481131094039</v>
      </c>
      <c r="C55" s="15">
        <v>-1.7748113109403931</v>
      </c>
      <c r="D55" s="15">
        <v>-0.6764971855194104</v>
      </c>
      <c r="F55" s="15">
        <v>42.500000000000007</v>
      </c>
      <c r="G55" s="15">
        <v>115.88</v>
      </c>
    </row>
    <row r="56" spans="1:7" x14ac:dyDescent="0.25">
      <c r="A56" s="15">
        <v>27</v>
      </c>
      <c r="B56" s="15">
        <v>112.68747421272954</v>
      </c>
      <c r="C56" s="15">
        <v>-6.1974742127295457</v>
      </c>
      <c r="D56" s="15">
        <v>-2.3622645609685708</v>
      </c>
      <c r="F56" s="15">
        <v>44.166666666666671</v>
      </c>
      <c r="G56" s="15">
        <v>117.17</v>
      </c>
    </row>
    <row r="57" spans="1:7" x14ac:dyDescent="0.25">
      <c r="A57" s="15">
        <v>28</v>
      </c>
      <c r="B57" s="15">
        <v>113.9943733997346</v>
      </c>
      <c r="C57" s="15">
        <v>-6.9543733997345925</v>
      </c>
      <c r="D57" s="15">
        <v>-2.650768565070019</v>
      </c>
      <c r="F57" s="15">
        <v>45.833333333333336</v>
      </c>
      <c r="G57" s="15">
        <v>117.26</v>
      </c>
    </row>
    <row r="58" spans="1:7" x14ac:dyDescent="0.25">
      <c r="A58" s="15">
        <v>29</v>
      </c>
      <c r="B58" s="15">
        <v>116.54098471036039</v>
      </c>
      <c r="C58" s="15">
        <v>-5.1909847103603965</v>
      </c>
      <c r="D58" s="15">
        <v>-1.9786252910301854</v>
      </c>
      <c r="F58" s="15">
        <v>47.500000000000007</v>
      </c>
      <c r="G58" s="15">
        <v>117.54</v>
      </c>
    </row>
    <row r="59" spans="1:7" x14ac:dyDescent="0.25">
      <c r="A59" s="15">
        <v>30</v>
      </c>
      <c r="B59" s="15">
        <v>120.36267910429905</v>
      </c>
      <c r="C59" s="15">
        <v>-2.8226791042990413</v>
      </c>
      <c r="D59" s="15">
        <v>-1.0759084404702013</v>
      </c>
      <c r="F59" s="15">
        <v>49.166666666666671</v>
      </c>
      <c r="G59" s="15">
        <v>117.61</v>
      </c>
    </row>
    <row r="60" spans="1:7" x14ac:dyDescent="0.25">
      <c r="A60" s="15">
        <v>31</v>
      </c>
      <c r="B60" s="15">
        <v>124.66304061472849</v>
      </c>
      <c r="C60" s="15">
        <v>-2.083040614728489</v>
      </c>
      <c r="D60" s="15">
        <v>-0.79398362208982576</v>
      </c>
      <c r="F60" s="15">
        <v>50.833333333333336</v>
      </c>
      <c r="G60" s="15">
        <v>122.58</v>
      </c>
    </row>
    <row r="61" spans="1:7" x14ac:dyDescent="0.25">
      <c r="A61" s="15">
        <v>32</v>
      </c>
      <c r="B61" s="15">
        <v>129.35377888661878</v>
      </c>
      <c r="C61" s="15">
        <v>-1.1937788866187873</v>
      </c>
      <c r="D61" s="15">
        <v>-0.45502755811388207</v>
      </c>
      <c r="F61" s="15">
        <v>52.500000000000007</v>
      </c>
      <c r="G61" s="15">
        <v>128.16</v>
      </c>
    </row>
    <row r="62" spans="1:7" x14ac:dyDescent="0.25">
      <c r="A62" s="15">
        <v>33</v>
      </c>
      <c r="B62" s="15">
        <v>133.23574109522025</v>
      </c>
      <c r="C62" s="15">
        <v>-0.37574109522023491</v>
      </c>
      <c r="D62" s="15">
        <v>-0.14321961542254708</v>
      </c>
      <c r="F62" s="15">
        <v>54.166666666666671</v>
      </c>
      <c r="G62" s="15">
        <v>128.94</v>
      </c>
    </row>
    <row r="63" spans="1:7" x14ac:dyDescent="0.25">
      <c r="A63" s="15">
        <v>34</v>
      </c>
      <c r="B63" s="15">
        <v>136.67147707743592</v>
      </c>
      <c r="C63" s="15">
        <v>-1.7514770774359363</v>
      </c>
      <c r="D63" s="15">
        <v>-0.66760297620560249</v>
      </c>
      <c r="F63" s="15">
        <v>55.833333333333336</v>
      </c>
      <c r="G63" s="15">
        <v>129.16</v>
      </c>
    </row>
    <row r="64" spans="1:7" x14ac:dyDescent="0.25">
      <c r="A64" s="15">
        <v>35</v>
      </c>
      <c r="B64" s="15">
        <v>135.81595361709932</v>
      </c>
      <c r="C64" s="15">
        <v>-0.11595361709933627</v>
      </c>
      <c r="D64" s="15">
        <v>-4.4197540963908613E-2</v>
      </c>
      <c r="F64" s="15">
        <v>57.500000000000007</v>
      </c>
      <c r="G64" s="15">
        <v>129.30000000000001</v>
      </c>
    </row>
    <row r="65" spans="1:7" x14ac:dyDescent="0.25">
      <c r="A65" s="15">
        <v>36</v>
      </c>
      <c r="B65" s="15">
        <v>136.01082780896175</v>
      </c>
      <c r="C65" s="15">
        <v>0.12917219103823641</v>
      </c>
      <c r="D65" s="15">
        <v>4.9236007876488762E-2</v>
      </c>
      <c r="F65" s="15">
        <v>59.166666666666671</v>
      </c>
      <c r="G65" s="15">
        <v>130.28</v>
      </c>
    </row>
    <row r="66" spans="1:7" x14ac:dyDescent="0.25">
      <c r="A66" s="15">
        <v>37</v>
      </c>
      <c r="B66" s="15">
        <v>139.11717107147291</v>
      </c>
      <c r="C66" s="15">
        <v>1.0328289285270955</v>
      </c>
      <c r="D66" s="15">
        <v>0.39367895559635319</v>
      </c>
      <c r="F66" s="15">
        <v>60.833333333333336</v>
      </c>
      <c r="G66" s="15">
        <v>130.59</v>
      </c>
    </row>
    <row r="67" spans="1:7" x14ac:dyDescent="0.25">
      <c r="A67" s="15">
        <v>38</v>
      </c>
      <c r="B67" s="15">
        <v>136.04881127027315</v>
      </c>
      <c r="C67" s="15">
        <v>4.0411887297268549</v>
      </c>
      <c r="D67" s="15">
        <v>1.5403625078118486</v>
      </c>
      <c r="F67" s="15">
        <v>62.500000000000007</v>
      </c>
      <c r="G67" s="15">
        <v>131.22</v>
      </c>
    </row>
    <row r="68" spans="1:7" x14ac:dyDescent="0.25">
      <c r="A68" s="15">
        <v>39</v>
      </c>
      <c r="B68" s="15">
        <v>134.43369875604085</v>
      </c>
      <c r="C68" s="15">
        <v>4.6663012439591398</v>
      </c>
      <c r="D68" s="15">
        <v>1.7786339532913313</v>
      </c>
      <c r="F68" s="15">
        <v>64.166666666666671</v>
      </c>
      <c r="G68" s="15">
        <v>132.01</v>
      </c>
    </row>
    <row r="69" spans="1:7" x14ac:dyDescent="0.25">
      <c r="A69" s="15">
        <v>40</v>
      </c>
      <c r="B69" s="15">
        <v>135.01337487904189</v>
      </c>
      <c r="C69" s="15">
        <v>2.4866251209581094</v>
      </c>
      <c r="D69" s="15">
        <v>0.94781619060039946</v>
      </c>
      <c r="F69" s="15">
        <v>65.833333333333329</v>
      </c>
      <c r="G69" s="15">
        <v>132.52000000000001</v>
      </c>
    </row>
    <row r="70" spans="1:7" x14ac:dyDescent="0.25">
      <c r="A70" s="15">
        <v>41</v>
      </c>
      <c r="B70" s="15">
        <v>133.14716900532079</v>
      </c>
      <c r="C70" s="15">
        <v>2.9728309946792137</v>
      </c>
      <c r="D70" s="15">
        <v>1.133141190011776</v>
      </c>
      <c r="F70" s="15">
        <v>67.5</v>
      </c>
      <c r="G70" s="15">
        <v>132.86000000000001</v>
      </c>
    </row>
    <row r="71" spans="1:7" x14ac:dyDescent="0.25">
      <c r="A71" s="15">
        <v>42</v>
      </c>
      <c r="B71" s="15">
        <v>132.29182746054019</v>
      </c>
      <c r="C71" s="15">
        <v>2.9281725394598084</v>
      </c>
      <c r="D71" s="15">
        <v>1.1161189189233838</v>
      </c>
      <c r="F71" s="15">
        <v>69.166666666666671</v>
      </c>
      <c r="G71" s="15">
        <v>133.72999999999999</v>
      </c>
    </row>
    <row r="72" spans="1:7" x14ac:dyDescent="0.25">
      <c r="A72" s="15">
        <v>43</v>
      </c>
      <c r="B72" s="15">
        <v>133.68126134573211</v>
      </c>
      <c r="C72" s="15">
        <v>1.0487386542678792</v>
      </c>
      <c r="D72" s="15">
        <v>0.39974319725386387</v>
      </c>
      <c r="F72" s="15">
        <v>70.833333333333329</v>
      </c>
      <c r="G72" s="15">
        <v>134.25</v>
      </c>
    </row>
    <row r="73" spans="1:7" x14ac:dyDescent="0.25">
      <c r="A73" s="15">
        <v>44</v>
      </c>
      <c r="B73" s="15">
        <v>133.06885979041456</v>
      </c>
      <c r="C73" s="15">
        <v>1.3211402095854226</v>
      </c>
      <c r="D73" s="15">
        <v>0.50357332520464126</v>
      </c>
      <c r="F73" s="15">
        <v>72.5</v>
      </c>
      <c r="G73" s="15">
        <v>134.27000000000001</v>
      </c>
    </row>
    <row r="74" spans="1:7" x14ac:dyDescent="0.25">
      <c r="A74" s="15">
        <v>45</v>
      </c>
      <c r="B74" s="15">
        <v>131.95437994653</v>
      </c>
      <c r="C74" s="15">
        <v>2.555620053469994</v>
      </c>
      <c r="D74" s="15">
        <v>0.9741146919518815</v>
      </c>
      <c r="F74" s="15">
        <v>74.166666666666671</v>
      </c>
      <c r="G74" s="15">
        <v>134.38999999999999</v>
      </c>
    </row>
    <row r="75" spans="1:7" x14ac:dyDescent="0.25">
      <c r="A75" s="15">
        <v>46</v>
      </c>
      <c r="B75" s="15">
        <v>132.56442417475719</v>
      </c>
      <c r="C75" s="15">
        <v>1.8955758252428154</v>
      </c>
      <c r="D75" s="15">
        <v>0.72252847545575849</v>
      </c>
      <c r="F75" s="15">
        <v>75.833333333333329</v>
      </c>
      <c r="G75" s="15">
        <v>134.46</v>
      </c>
    </row>
    <row r="76" spans="1:7" x14ac:dyDescent="0.25">
      <c r="A76" s="15">
        <v>47</v>
      </c>
      <c r="B76" s="15">
        <v>134.07449374859434</v>
      </c>
      <c r="C76" s="15">
        <v>0.1955062514056749</v>
      </c>
      <c r="D76" s="15">
        <v>7.4520276049689471E-2</v>
      </c>
      <c r="F76" s="15">
        <v>77.5</v>
      </c>
      <c r="G76" s="15">
        <v>134.51</v>
      </c>
    </row>
    <row r="77" spans="1:7" x14ac:dyDescent="0.25">
      <c r="A77" s="15">
        <v>48</v>
      </c>
      <c r="B77" s="15">
        <v>134.3924641584008</v>
      </c>
      <c r="C77" s="15">
        <v>-0.66246415840080886</v>
      </c>
      <c r="D77" s="15">
        <v>-0.25250861086082144</v>
      </c>
      <c r="F77" s="15">
        <v>79.166666666666671</v>
      </c>
      <c r="G77" s="15">
        <v>134.72999999999999</v>
      </c>
    </row>
    <row r="78" spans="1:7" x14ac:dyDescent="0.25">
      <c r="A78" s="15">
        <v>49</v>
      </c>
      <c r="B78" s="15">
        <v>134.07263228002131</v>
      </c>
      <c r="C78" s="15">
        <v>-2.0626322800213188</v>
      </c>
      <c r="D78" s="15">
        <v>-0.78620466502242714</v>
      </c>
      <c r="F78" s="15">
        <v>80.833333333333329</v>
      </c>
      <c r="G78" s="15">
        <v>134.91999999999999</v>
      </c>
    </row>
    <row r="79" spans="1:7" x14ac:dyDescent="0.25">
      <c r="A79" s="15">
        <v>50</v>
      </c>
      <c r="B79" s="15">
        <v>133.02689499617682</v>
      </c>
      <c r="C79" s="15">
        <v>-2.436894996176818</v>
      </c>
      <c r="D79" s="15">
        <v>-0.92886077306238124</v>
      </c>
      <c r="F79" s="15">
        <v>82.5</v>
      </c>
      <c r="G79" s="15">
        <v>135.22</v>
      </c>
    </row>
    <row r="80" spans="1:7" x14ac:dyDescent="0.25">
      <c r="A80" s="15">
        <v>51</v>
      </c>
      <c r="B80" s="15">
        <v>133.58432128794598</v>
      </c>
      <c r="C80" s="15">
        <v>-3.3043212879459816</v>
      </c>
      <c r="D80" s="15">
        <v>-1.2594939177860605</v>
      </c>
      <c r="F80" s="15">
        <v>84.166666666666671</v>
      </c>
      <c r="G80" s="15">
        <v>135.69999999999999</v>
      </c>
    </row>
    <row r="81" spans="1:7" x14ac:dyDescent="0.25">
      <c r="A81" s="15">
        <v>52</v>
      </c>
      <c r="B81" s="15">
        <v>131.60974907973647</v>
      </c>
      <c r="C81" s="15">
        <v>-2.4497490797364776</v>
      </c>
      <c r="D81" s="15">
        <v>-0.93376030874650617</v>
      </c>
      <c r="F81" s="15">
        <v>85.833333333333329</v>
      </c>
      <c r="G81" s="15">
        <v>136.06</v>
      </c>
    </row>
    <row r="82" spans="1:7" x14ac:dyDescent="0.25">
      <c r="A82" s="15">
        <v>53</v>
      </c>
      <c r="B82" s="15">
        <v>130.93519648057395</v>
      </c>
      <c r="C82" s="15">
        <v>-1.9951964805739522</v>
      </c>
      <c r="D82" s="15">
        <v>-0.76050045170792957</v>
      </c>
      <c r="F82" s="15">
        <v>87.5</v>
      </c>
      <c r="G82" s="15">
        <v>136.12</v>
      </c>
    </row>
    <row r="83" spans="1:7" x14ac:dyDescent="0.25">
      <c r="A83" s="15">
        <v>54</v>
      </c>
      <c r="B83" s="15">
        <v>130.75591598199156</v>
      </c>
      <c r="C83" s="15">
        <v>-1.4559159819915521</v>
      </c>
      <c r="D83" s="15">
        <v>-0.5549452260635791</v>
      </c>
      <c r="F83" s="15">
        <v>89.166666666666671</v>
      </c>
      <c r="G83" s="15">
        <v>136.13999999999999</v>
      </c>
    </row>
    <row r="84" spans="1:7" x14ac:dyDescent="0.25">
      <c r="A84" s="15">
        <v>55</v>
      </c>
      <c r="B84" s="15">
        <v>129.97128692322772</v>
      </c>
      <c r="C84" s="15">
        <v>1.2487130767722761</v>
      </c>
      <c r="D84" s="15">
        <v>0.475966586842481</v>
      </c>
      <c r="F84" s="15">
        <v>90.833333333333329</v>
      </c>
      <c r="G84" s="15">
        <v>137.5</v>
      </c>
    </row>
    <row r="85" spans="1:7" x14ac:dyDescent="0.25">
      <c r="A85" s="15">
        <v>56</v>
      </c>
      <c r="B85" s="15">
        <v>132.74261503457626</v>
      </c>
      <c r="C85" s="15">
        <v>-0.22261503457625054</v>
      </c>
      <c r="D85" s="15">
        <v>-8.4853214207511643E-2</v>
      </c>
      <c r="F85" s="15">
        <v>92.5</v>
      </c>
      <c r="G85" s="15">
        <v>137.97</v>
      </c>
    </row>
    <row r="86" spans="1:7" x14ac:dyDescent="0.25">
      <c r="A86" s="15">
        <v>57</v>
      </c>
      <c r="B86" s="15">
        <v>135.27675235304582</v>
      </c>
      <c r="C86" s="15">
        <v>-1.026752353045822</v>
      </c>
      <c r="D86" s="15">
        <v>-0.39136277348429549</v>
      </c>
      <c r="F86" s="15">
        <v>94.166666666666671</v>
      </c>
      <c r="G86" s="15">
        <v>138.49</v>
      </c>
    </row>
    <row r="87" spans="1:7" x14ac:dyDescent="0.25">
      <c r="A87" s="15">
        <v>58</v>
      </c>
      <c r="B87" s="15">
        <v>136.33576912076072</v>
      </c>
      <c r="C87" s="15">
        <v>-0.2757691207607138</v>
      </c>
      <c r="D87" s="15">
        <v>-0.10511372837089768</v>
      </c>
      <c r="F87" s="15">
        <v>95.833333333333329</v>
      </c>
      <c r="G87" s="15">
        <v>139.1</v>
      </c>
    </row>
    <row r="88" spans="1:7" x14ac:dyDescent="0.25">
      <c r="A88" s="15">
        <v>59</v>
      </c>
      <c r="B88" s="15">
        <v>138.07556426918578</v>
      </c>
      <c r="C88" s="15">
        <v>-0.10556426918577699</v>
      </c>
      <c r="D88" s="15">
        <v>-4.0237477953502847E-2</v>
      </c>
      <c r="F88" s="15">
        <v>97.5</v>
      </c>
      <c r="G88" s="15">
        <v>140.09</v>
      </c>
    </row>
    <row r="89" spans="1:7" ht="15.75" thickBot="1" x14ac:dyDescent="0.3">
      <c r="A89" s="16">
        <v>60</v>
      </c>
      <c r="B89" s="16">
        <v>139.00551812009019</v>
      </c>
      <c r="C89" s="16">
        <v>-0.51551812009017794</v>
      </c>
      <c r="D89" s="16">
        <v>-0.19649782214903599</v>
      </c>
      <c r="F89" s="16">
        <v>99.166666666666671</v>
      </c>
      <c r="G89" s="16">
        <v>140.15</v>
      </c>
    </row>
  </sheetData>
  <sortState ref="G30:G89">
    <sortCondition ref="G30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45"/>
  <sheetViews>
    <sheetView tabSelected="1" workbookViewId="0"/>
  </sheetViews>
  <sheetFormatPr defaultRowHeight="15" x14ac:dyDescent="0.25"/>
  <cols>
    <col min="2" max="2" width="10.85546875" customWidth="1"/>
    <col min="3" max="3" width="18.85546875" customWidth="1"/>
    <col min="4" max="4" width="27.140625" customWidth="1"/>
    <col min="5" max="5" width="11.42578125" customWidth="1"/>
    <col min="6" max="7" width="18.28515625" customWidth="1"/>
    <col min="8" max="8" width="13.85546875" customWidth="1"/>
    <col min="9" max="9" width="15.28515625" customWidth="1"/>
  </cols>
  <sheetData>
    <row r="1" spans="1:70" x14ac:dyDescent="0.25">
      <c r="A1" t="s">
        <v>814</v>
      </c>
    </row>
    <row r="2" spans="1:70" ht="26.25" x14ac:dyDescent="0.4">
      <c r="A2" s="202" t="s">
        <v>813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</row>
    <row r="3" spans="1:70" x14ac:dyDescent="0.25">
      <c r="A3" t="s">
        <v>56</v>
      </c>
    </row>
    <row r="4" spans="1:70" x14ac:dyDescent="0.25">
      <c r="A4" t="s">
        <v>601</v>
      </c>
    </row>
    <row r="5" spans="1:70" ht="15.75" customHeight="1" x14ac:dyDescent="0.25">
      <c r="F5" s="1"/>
      <c r="G5" s="1"/>
      <c r="H5" s="1"/>
      <c r="I5" s="1"/>
      <c r="J5" s="1"/>
      <c r="K5" s="1"/>
      <c r="L5" s="1"/>
      <c r="M5" s="1"/>
    </row>
    <row r="6" spans="1:70" x14ac:dyDescent="0.25">
      <c r="A6" s="20" t="s">
        <v>55</v>
      </c>
      <c r="B6" s="21"/>
    </row>
    <row r="7" spans="1:70" x14ac:dyDescent="0.25">
      <c r="A7" s="22" t="s">
        <v>45</v>
      </c>
      <c r="B7" s="22"/>
    </row>
    <row r="8" spans="1:70" x14ac:dyDescent="0.25">
      <c r="A8" s="22" t="s">
        <v>46</v>
      </c>
      <c r="B8" s="22"/>
    </row>
    <row r="9" spans="1:70" x14ac:dyDescent="0.25">
      <c r="A9" s="22" t="s">
        <v>47</v>
      </c>
      <c r="B9" s="22"/>
      <c r="D9" s="22"/>
      <c r="E9" s="22"/>
      <c r="K9" s="2"/>
    </row>
    <row r="10" spans="1:70" x14ac:dyDescent="0.25">
      <c r="D10" s="22"/>
      <c r="E10" s="22"/>
    </row>
    <row r="11" spans="1:70" x14ac:dyDescent="0.25">
      <c r="D11" s="19"/>
    </row>
    <row r="12" spans="1:70" ht="18" x14ac:dyDescent="0.25">
      <c r="C12" s="4" t="s">
        <v>48</v>
      </c>
      <c r="D12" s="4" t="s">
        <v>49</v>
      </c>
      <c r="E12" s="4" t="s">
        <v>50</v>
      </c>
      <c r="F12" s="4" t="s">
        <v>51</v>
      </c>
      <c r="G12" s="4" t="s">
        <v>52</v>
      </c>
      <c r="H12" s="4" t="s">
        <v>53</v>
      </c>
      <c r="I12" s="4" t="s">
        <v>54</v>
      </c>
    </row>
    <row r="13" spans="1:70" ht="120" x14ac:dyDescent="0.25">
      <c r="A13" s="12" t="s">
        <v>0</v>
      </c>
      <c r="B13" s="12" t="s">
        <v>1</v>
      </c>
      <c r="C13" s="13" t="s">
        <v>18</v>
      </c>
      <c r="D13" s="13" t="s">
        <v>20</v>
      </c>
      <c r="E13" s="14" t="s">
        <v>14</v>
      </c>
      <c r="F13" s="13" t="s">
        <v>15</v>
      </c>
      <c r="G13" s="13" t="s">
        <v>16</v>
      </c>
      <c r="H13" s="13" t="s">
        <v>17</v>
      </c>
      <c r="I13" s="13" t="s">
        <v>19</v>
      </c>
    </row>
    <row r="14" spans="1:70" x14ac:dyDescent="0.25">
      <c r="A14" s="205">
        <v>2012</v>
      </c>
      <c r="B14" s="10" t="s">
        <v>2</v>
      </c>
      <c r="C14" s="11">
        <v>102.32</v>
      </c>
      <c r="D14" s="11">
        <v>70893.600000000006</v>
      </c>
      <c r="E14" s="10">
        <v>495852.6</v>
      </c>
      <c r="F14" s="10">
        <v>30693.27</v>
      </c>
      <c r="G14" s="11">
        <v>2710.03</v>
      </c>
      <c r="H14" s="11">
        <v>-5</v>
      </c>
      <c r="I14" s="11">
        <v>21675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9"/>
      <c r="BR14" s="9"/>
    </row>
    <row r="15" spans="1:70" x14ac:dyDescent="0.25">
      <c r="A15" s="204"/>
      <c r="B15" s="3" t="s">
        <v>3</v>
      </c>
      <c r="C15" s="6">
        <v>102.21</v>
      </c>
      <c r="D15" s="6">
        <v>70392.98</v>
      </c>
      <c r="E15" s="3">
        <v>494356.21</v>
      </c>
      <c r="F15" s="3">
        <v>30330.845000000001</v>
      </c>
      <c r="G15" s="6">
        <v>2802.63</v>
      </c>
      <c r="H15" s="6">
        <v>-4</v>
      </c>
      <c r="I15" s="6">
        <v>21721</v>
      </c>
      <c r="K15" s="8"/>
      <c r="L15" s="8"/>
      <c r="M15" s="8"/>
      <c r="N15" s="7"/>
      <c r="O15" s="8"/>
      <c r="P15" s="8"/>
      <c r="Q15" s="7"/>
      <c r="R15" s="8"/>
      <c r="S15" s="7"/>
      <c r="T15" s="8"/>
      <c r="U15" s="8"/>
      <c r="V15" s="8"/>
      <c r="W15" s="7"/>
      <c r="X15" s="8"/>
      <c r="Y15" s="8"/>
      <c r="Z15" s="8"/>
      <c r="AA15" s="7"/>
      <c r="AB15" s="7"/>
      <c r="AC15" s="7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9"/>
    </row>
    <row r="16" spans="1:70" x14ac:dyDescent="0.25">
      <c r="A16" s="204"/>
      <c r="B16" s="3" t="s">
        <v>4</v>
      </c>
      <c r="C16" s="6">
        <v>102.16</v>
      </c>
      <c r="D16" s="6">
        <v>70256.63</v>
      </c>
      <c r="E16" s="3">
        <v>493826.35</v>
      </c>
      <c r="F16" s="3">
        <v>29117.575000000001</v>
      </c>
      <c r="G16" s="6">
        <v>2739.21</v>
      </c>
      <c r="H16" s="6">
        <v>-5</v>
      </c>
      <c r="I16" s="6">
        <v>20525</v>
      </c>
    </row>
    <row r="17" spans="1:9" x14ac:dyDescent="0.25">
      <c r="A17" s="204"/>
      <c r="B17" s="3" t="s">
        <v>5</v>
      </c>
      <c r="C17" s="6">
        <v>102.06</v>
      </c>
      <c r="D17" s="6">
        <v>70189.759999999995</v>
      </c>
      <c r="E17" s="3">
        <v>491922.49</v>
      </c>
      <c r="F17" s="3">
        <v>26374.77</v>
      </c>
      <c r="G17" s="6">
        <v>3487.76</v>
      </c>
      <c r="H17" s="6">
        <v>-4</v>
      </c>
      <c r="I17" s="6">
        <v>20233</v>
      </c>
    </row>
    <row r="18" spans="1:9" ht="15" customHeight="1" x14ac:dyDescent="0.25">
      <c r="A18" s="204"/>
      <c r="B18" s="3" t="s">
        <v>6</v>
      </c>
      <c r="C18" s="6">
        <v>102.55</v>
      </c>
      <c r="D18" s="6">
        <v>70468.94</v>
      </c>
      <c r="E18" s="3">
        <v>494987.4</v>
      </c>
      <c r="F18" s="3">
        <v>27921.035</v>
      </c>
      <c r="G18" s="6">
        <v>2649.2</v>
      </c>
      <c r="H18" s="6">
        <v>-6</v>
      </c>
      <c r="I18" s="6">
        <v>19933</v>
      </c>
    </row>
    <row r="19" spans="1:9" x14ac:dyDescent="0.25">
      <c r="A19" s="204"/>
      <c r="B19" s="3" t="s">
        <v>7</v>
      </c>
      <c r="C19" s="6">
        <v>104.35</v>
      </c>
      <c r="D19" s="6">
        <v>70520.399999999994</v>
      </c>
      <c r="E19" s="3">
        <v>499933.2</v>
      </c>
      <c r="F19" s="3">
        <v>26684.254999999997</v>
      </c>
      <c r="G19" s="6">
        <v>2645.58</v>
      </c>
      <c r="H19" s="6">
        <v>-5</v>
      </c>
      <c r="I19" s="6">
        <v>18654</v>
      </c>
    </row>
    <row r="20" spans="1:9" x14ac:dyDescent="0.25">
      <c r="A20" s="204"/>
      <c r="B20" s="3" t="s">
        <v>8</v>
      </c>
      <c r="C20" s="6">
        <v>107.57</v>
      </c>
      <c r="D20" s="6">
        <v>74325.27</v>
      </c>
      <c r="E20" s="3">
        <v>504654.29</v>
      </c>
      <c r="F20" s="3">
        <v>27998.165000000001</v>
      </c>
      <c r="G20" s="6">
        <v>3077.61</v>
      </c>
      <c r="H20" s="6">
        <v>-6</v>
      </c>
      <c r="I20" s="6">
        <v>18125</v>
      </c>
    </row>
    <row r="21" spans="1:9" x14ac:dyDescent="0.25">
      <c r="A21" s="204"/>
      <c r="B21" s="3" t="s">
        <v>9</v>
      </c>
      <c r="C21" s="6">
        <v>111.96</v>
      </c>
      <c r="D21" s="6">
        <v>76378.39</v>
      </c>
      <c r="E21" s="3">
        <v>502246.32</v>
      </c>
      <c r="F21" s="3">
        <v>26800.445</v>
      </c>
      <c r="G21" s="6">
        <v>3099.03</v>
      </c>
      <c r="H21" s="6">
        <v>-7</v>
      </c>
      <c r="I21" s="6">
        <v>18226</v>
      </c>
    </row>
    <row r="22" spans="1:9" x14ac:dyDescent="0.25">
      <c r="A22" s="204"/>
      <c r="B22" s="3" t="s">
        <v>10</v>
      </c>
      <c r="C22" s="6">
        <v>115.27</v>
      </c>
      <c r="D22" s="6">
        <v>79677.22</v>
      </c>
      <c r="E22" s="3">
        <v>507284.61</v>
      </c>
      <c r="F22" s="3">
        <v>28104.639999999999</v>
      </c>
      <c r="G22" s="6">
        <v>3279.89</v>
      </c>
      <c r="H22" s="6">
        <v>-8</v>
      </c>
      <c r="I22" s="6">
        <v>18486</v>
      </c>
    </row>
    <row r="23" spans="1:9" x14ac:dyDescent="0.25">
      <c r="A23" s="204"/>
      <c r="B23" s="3" t="s">
        <v>11</v>
      </c>
      <c r="C23" s="6">
        <v>117.17</v>
      </c>
      <c r="D23" s="6">
        <v>80664.95</v>
      </c>
      <c r="E23" s="3">
        <v>511264.1</v>
      </c>
      <c r="F23" s="3">
        <v>29187.01</v>
      </c>
      <c r="G23" s="6">
        <v>3087.95</v>
      </c>
      <c r="H23" s="6">
        <v>-8</v>
      </c>
      <c r="I23" s="6">
        <v>18478</v>
      </c>
    </row>
    <row r="24" spans="1:9" x14ac:dyDescent="0.25">
      <c r="A24" s="204"/>
      <c r="B24" s="3" t="s">
        <v>12</v>
      </c>
      <c r="C24" s="6">
        <v>117.61</v>
      </c>
      <c r="D24" s="6">
        <v>82246.86</v>
      </c>
      <c r="E24" s="3">
        <v>507893.75</v>
      </c>
      <c r="F24" s="3">
        <v>31053.75</v>
      </c>
      <c r="G24" s="6">
        <v>3004.93</v>
      </c>
      <c r="H24" s="6">
        <v>-8</v>
      </c>
      <c r="I24" s="6">
        <v>17569</v>
      </c>
    </row>
    <row r="25" spans="1:9" x14ac:dyDescent="0.25">
      <c r="A25" s="204"/>
      <c r="B25" s="3" t="s">
        <v>13</v>
      </c>
      <c r="C25" s="6">
        <v>117.26</v>
      </c>
      <c r="D25" s="6">
        <v>81836.759999999995</v>
      </c>
      <c r="E25" s="3">
        <v>503968.92</v>
      </c>
      <c r="F25" s="3">
        <v>32834.595000000001</v>
      </c>
      <c r="G25" s="6">
        <v>2833.66</v>
      </c>
      <c r="H25" s="6">
        <v>-7</v>
      </c>
      <c r="I25" s="6">
        <v>17236</v>
      </c>
    </row>
    <row r="26" spans="1:9" x14ac:dyDescent="0.25">
      <c r="A26" s="204">
        <v>2013</v>
      </c>
      <c r="B26" s="3" t="s">
        <v>2</v>
      </c>
      <c r="C26" s="6">
        <v>115.88</v>
      </c>
      <c r="D26" s="6">
        <v>78275.3</v>
      </c>
      <c r="E26" s="3">
        <v>494578.49</v>
      </c>
      <c r="F26" s="3">
        <v>33410.415000000001</v>
      </c>
      <c r="G26" s="6">
        <v>3534.59</v>
      </c>
      <c r="H26" s="6">
        <v>-7</v>
      </c>
      <c r="I26" s="6">
        <v>16378</v>
      </c>
    </row>
    <row r="27" spans="1:9" x14ac:dyDescent="0.25">
      <c r="A27" s="204"/>
      <c r="B27" s="3" t="s">
        <v>3</v>
      </c>
      <c r="C27" s="6">
        <v>113.35</v>
      </c>
      <c r="D27" s="6">
        <v>73730.42</v>
      </c>
      <c r="E27" s="3">
        <v>497892.4</v>
      </c>
      <c r="F27" s="3">
        <v>33158.774999999994</v>
      </c>
      <c r="G27" s="6">
        <v>3518.38</v>
      </c>
      <c r="H27" s="6">
        <v>-6</v>
      </c>
      <c r="I27" s="6">
        <v>16112</v>
      </c>
    </row>
    <row r="28" spans="1:9" x14ac:dyDescent="0.25">
      <c r="A28" s="204"/>
      <c r="B28" s="3" t="s">
        <v>4</v>
      </c>
      <c r="C28" s="6">
        <v>111.39</v>
      </c>
      <c r="D28" s="6">
        <v>71289.279999999999</v>
      </c>
      <c r="E28" s="3">
        <v>502643.15</v>
      </c>
      <c r="F28" s="3">
        <v>32302.74</v>
      </c>
      <c r="G28" s="6">
        <v>3585.83</v>
      </c>
      <c r="H28" s="6">
        <v>-5</v>
      </c>
      <c r="I28" s="6">
        <v>15321</v>
      </c>
    </row>
    <row r="29" spans="1:9" x14ac:dyDescent="0.25">
      <c r="A29" s="204"/>
      <c r="B29" s="3" t="s">
        <v>5</v>
      </c>
      <c r="C29" s="6">
        <v>109.76</v>
      </c>
      <c r="D29" s="6">
        <v>72839.63</v>
      </c>
      <c r="E29" s="3">
        <v>505356.49</v>
      </c>
      <c r="F29" s="3">
        <v>31546.885000000002</v>
      </c>
      <c r="G29" s="6">
        <v>3185.23</v>
      </c>
      <c r="H29" s="6">
        <v>-6</v>
      </c>
      <c r="I29" s="6">
        <v>14803</v>
      </c>
    </row>
    <row r="30" spans="1:9" x14ac:dyDescent="0.25">
      <c r="A30" s="204"/>
      <c r="B30" s="3" t="s">
        <v>6</v>
      </c>
      <c r="C30" s="6">
        <v>109.5</v>
      </c>
      <c r="D30" s="6">
        <v>70868.39</v>
      </c>
      <c r="E30" s="3">
        <v>505894.26</v>
      </c>
      <c r="F30" s="3">
        <v>31470.025000000001</v>
      </c>
      <c r="G30" s="6">
        <v>3405.33</v>
      </c>
      <c r="H30" s="6">
        <v>-8</v>
      </c>
      <c r="I30" s="6">
        <v>15026</v>
      </c>
    </row>
    <row r="31" spans="1:9" x14ac:dyDescent="0.25">
      <c r="A31" s="204"/>
      <c r="B31" s="3" t="s">
        <v>7</v>
      </c>
      <c r="C31" s="6">
        <v>108.86</v>
      </c>
      <c r="D31" s="6">
        <v>72645.23</v>
      </c>
      <c r="E31" s="3">
        <v>509487.6</v>
      </c>
      <c r="F31" s="3">
        <v>31161.184999999998</v>
      </c>
      <c r="G31" s="6">
        <v>3370.77</v>
      </c>
      <c r="H31" s="6">
        <v>-6</v>
      </c>
      <c r="I31" s="6">
        <v>14564</v>
      </c>
    </row>
    <row r="32" spans="1:9" x14ac:dyDescent="0.25">
      <c r="A32" s="204"/>
      <c r="B32" s="3" t="s">
        <v>8</v>
      </c>
      <c r="C32" s="6">
        <v>108.49</v>
      </c>
      <c r="D32" s="6">
        <v>72701.83</v>
      </c>
      <c r="E32" s="3">
        <v>515679.9</v>
      </c>
      <c r="F32" s="3">
        <v>31784.445</v>
      </c>
      <c r="G32" s="6">
        <v>3789.67</v>
      </c>
      <c r="H32" s="6">
        <v>-7</v>
      </c>
      <c r="I32" s="6">
        <v>14159</v>
      </c>
    </row>
    <row r="33" spans="1:9" x14ac:dyDescent="0.25">
      <c r="A33" s="204"/>
      <c r="B33" s="3" t="s">
        <v>9</v>
      </c>
      <c r="C33" s="6">
        <v>108.36</v>
      </c>
      <c r="D33" s="6">
        <v>72815.929999999993</v>
      </c>
      <c r="E33" s="3">
        <v>516214.74</v>
      </c>
      <c r="F33" s="3">
        <v>32330.63</v>
      </c>
      <c r="G33" s="6">
        <v>3843.62</v>
      </c>
      <c r="H33" s="6">
        <v>-9</v>
      </c>
      <c r="I33" s="6">
        <v>14258</v>
      </c>
    </row>
    <row r="34" spans="1:9" x14ac:dyDescent="0.25">
      <c r="A34" s="204"/>
      <c r="B34" s="3" t="s">
        <v>10</v>
      </c>
      <c r="C34" s="6">
        <v>108.19</v>
      </c>
      <c r="D34" s="5">
        <v>72786</v>
      </c>
      <c r="E34" s="3">
        <v>514256.13</v>
      </c>
      <c r="F34" s="3">
        <v>33370.205000000002</v>
      </c>
      <c r="G34" s="5">
        <v>3837</v>
      </c>
      <c r="H34" s="6">
        <v>-9</v>
      </c>
      <c r="I34" s="6">
        <v>15224</v>
      </c>
    </row>
    <row r="35" spans="1:9" x14ac:dyDescent="0.25">
      <c r="A35" s="204"/>
      <c r="B35" s="3" t="s">
        <v>11</v>
      </c>
      <c r="C35" s="6">
        <v>107.8</v>
      </c>
      <c r="D35" s="6">
        <v>69715.53</v>
      </c>
      <c r="E35" s="3">
        <v>512965.3</v>
      </c>
      <c r="F35" s="3">
        <v>33649.68</v>
      </c>
      <c r="G35" s="6">
        <v>3673.56</v>
      </c>
      <c r="H35" s="6">
        <v>-11</v>
      </c>
      <c r="I35" s="6">
        <v>14652</v>
      </c>
    </row>
    <row r="36" spans="1:9" x14ac:dyDescent="0.25">
      <c r="A36" s="204"/>
      <c r="B36" s="3" t="s">
        <v>12</v>
      </c>
      <c r="C36" s="6">
        <v>107.47</v>
      </c>
      <c r="D36" s="6">
        <v>70508.039999999994</v>
      </c>
      <c r="E36" s="3">
        <v>519654.25</v>
      </c>
      <c r="F36" s="3">
        <v>34390.550000000003</v>
      </c>
      <c r="G36" s="6">
        <v>3495.5</v>
      </c>
      <c r="H36" s="6">
        <v>-10</v>
      </c>
      <c r="I36" s="6">
        <v>14781</v>
      </c>
    </row>
    <row r="37" spans="1:9" x14ac:dyDescent="0.25">
      <c r="A37" s="204"/>
      <c r="B37" s="3" t="s">
        <v>13</v>
      </c>
      <c r="C37" s="6">
        <v>107.03</v>
      </c>
      <c r="D37" s="6">
        <v>69879.350000000006</v>
      </c>
      <c r="E37" s="3">
        <v>523874.3</v>
      </c>
      <c r="F37" s="3">
        <v>35060.425000000003</v>
      </c>
      <c r="G37" s="6">
        <v>3518.73</v>
      </c>
      <c r="H37" s="6">
        <v>11</v>
      </c>
      <c r="I37" s="6">
        <v>14361</v>
      </c>
    </row>
    <row r="38" spans="1:9" x14ac:dyDescent="0.25">
      <c r="A38" s="204">
        <v>2014</v>
      </c>
      <c r="B38" s="3" t="s">
        <v>2</v>
      </c>
      <c r="C38" s="6">
        <v>106.61</v>
      </c>
      <c r="D38" s="6">
        <v>74218.64</v>
      </c>
      <c r="E38" s="3">
        <v>527326</v>
      </c>
      <c r="F38" s="3">
        <v>35321.544999999998</v>
      </c>
      <c r="G38" s="6">
        <v>3664.96</v>
      </c>
      <c r="H38" s="6">
        <v>-11</v>
      </c>
      <c r="I38" s="6">
        <v>13997</v>
      </c>
    </row>
    <row r="39" spans="1:9" x14ac:dyDescent="0.25">
      <c r="A39" s="204"/>
      <c r="B39" s="3" t="s">
        <v>3</v>
      </c>
      <c r="C39" s="6">
        <v>106.57</v>
      </c>
      <c r="D39" s="6">
        <v>72517.240000000005</v>
      </c>
      <c r="E39" s="3">
        <v>521835.7</v>
      </c>
      <c r="F39" s="3">
        <v>34869.084999999999</v>
      </c>
      <c r="G39" s="6">
        <v>3675.08</v>
      </c>
      <c r="H39" s="6">
        <v>-8</v>
      </c>
      <c r="I39" s="6">
        <v>13845</v>
      </c>
    </row>
    <row r="40" spans="1:9" x14ac:dyDescent="0.25">
      <c r="A40" s="204"/>
      <c r="B40" s="3" t="s">
        <v>4</v>
      </c>
      <c r="C40" s="6">
        <v>106.49</v>
      </c>
      <c r="D40" s="6">
        <v>76730.179999999993</v>
      </c>
      <c r="E40" s="3">
        <v>515389</v>
      </c>
      <c r="F40" s="3">
        <v>34749.365000000005</v>
      </c>
      <c r="G40" s="6">
        <v>3610.9</v>
      </c>
      <c r="H40" s="6">
        <v>-7</v>
      </c>
      <c r="I40" s="6">
        <v>13456</v>
      </c>
    </row>
    <row r="41" spans="1:9" x14ac:dyDescent="0.25">
      <c r="A41" s="204"/>
      <c r="B41" s="3" t="s">
        <v>5</v>
      </c>
      <c r="C41" s="6">
        <v>107.04</v>
      </c>
      <c r="D41" s="6">
        <v>78696.2</v>
      </c>
      <c r="E41" s="3">
        <v>510620.8</v>
      </c>
      <c r="F41" s="3">
        <v>34217.119999999995</v>
      </c>
      <c r="G41" s="6">
        <v>3918.14</v>
      </c>
      <c r="H41" s="6">
        <v>-6</v>
      </c>
      <c r="I41" s="6">
        <v>13342</v>
      </c>
    </row>
    <row r="42" spans="1:9" x14ac:dyDescent="0.25">
      <c r="A42" s="204"/>
      <c r="B42" s="3" t="s">
        <v>6</v>
      </c>
      <c r="C42" s="6">
        <v>111.35</v>
      </c>
      <c r="D42" s="6">
        <v>82153.98</v>
      </c>
      <c r="E42" s="3">
        <v>518659</v>
      </c>
      <c r="F42" s="3">
        <v>34651.399999999994</v>
      </c>
      <c r="G42" s="6">
        <v>3896.81</v>
      </c>
      <c r="H42" s="6">
        <v>-6</v>
      </c>
      <c r="I42" s="6">
        <v>13645</v>
      </c>
    </row>
    <row r="43" spans="1:9" x14ac:dyDescent="0.25">
      <c r="A43" s="204"/>
      <c r="B43" s="3" t="s">
        <v>7</v>
      </c>
      <c r="C43" s="6">
        <v>117.54</v>
      </c>
      <c r="D43" s="6">
        <v>86601.85</v>
      </c>
      <c r="E43" s="3">
        <v>529324.68000000005</v>
      </c>
      <c r="F43" s="3">
        <v>34633.524999999994</v>
      </c>
      <c r="G43" s="6">
        <v>3995.53</v>
      </c>
      <c r="H43" s="6">
        <v>-7</v>
      </c>
      <c r="I43" s="6">
        <v>13171</v>
      </c>
    </row>
    <row r="44" spans="1:9" x14ac:dyDescent="0.25">
      <c r="A44" s="204"/>
      <c r="B44" s="3" t="s">
        <v>8</v>
      </c>
      <c r="C44" s="6">
        <v>122.58</v>
      </c>
      <c r="D44" s="6">
        <v>91844.53</v>
      </c>
      <c r="E44" s="3">
        <v>537441.18999999994</v>
      </c>
      <c r="F44" s="3">
        <v>35402.485000000001</v>
      </c>
      <c r="G44" s="6">
        <v>4005.55</v>
      </c>
      <c r="H44" s="6">
        <v>-7</v>
      </c>
      <c r="I44" s="6">
        <v>13272</v>
      </c>
    </row>
    <row r="45" spans="1:9" x14ac:dyDescent="0.25">
      <c r="A45" s="204"/>
      <c r="B45" s="3" t="s">
        <v>9</v>
      </c>
      <c r="C45" s="6">
        <v>128.16</v>
      </c>
      <c r="D45" s="6">
        <v>95474.23</v>
      </c>
      <c r="E45" s="3">
        <v>542365.21</v>
      </c>
      <c r="F45" s="3">
        <v>35556.824999999997</v>
      </c>
      <c r="G45" s="6">
        <v>4088.28</v>
      </c>
      <c r="H45" s="6">
        <v>-12</v>
      </c>
      <c r="I45" s="6">
        <v>13121</v>
      </c>
    </row>
    <row r="46" spans="1:9" x14ac:dyDescent="0.25">
      <c r="A46" s="204"/>
      <c r="B46" s="3" t="s">
        <v>10</v>
      </c>
      <c r="C46" s="6">
        <v>132.86000000000001</v>
      </c>
      <c r="D46" s="6">
        <v>98413.41</v>
      </c>
      <c r="E46" s="3">
        <v>545986.31999999995</v>
      </c>
      <c r="F46" s="3">
        <v>36010.71</v>
      </c>
      <c r="G46" s="6">
        <v>3942.97</v>
      </c>
      <c r="H46" s="6">
        <v>-15</v>
      </c>
      <c r="I46" s="6">
        <v>12964</v>
      </c>
    </row>
    <row r="47" spans="1:9" x14ac:dyDescent="0.25">
      <c r="A47" s="204"/>
      <c r="B47" s="3" t="s">
        <v>11</v>
      </c>
      <c r="C47" s="6">
        <v>134.91999999999999</v>
      </c>
      <c r="D47" s="6">
        <v>100417.43</v>
      </c>
      <c r="E47" s="3">
        <v>547324.80000000005</v>
      </c>
      <c r="F47" s="3">
        <v>36435.434999999998</v>
      </c>
      <c r="G47" s="6">
        <v>3667.51</v>
      </c>
      <c r="H47" s="6">
        <v>-18</v>
      </c>
      <c r="I47" s="6">
        <v>12732</v>
      </c>
    </row>
    <row r="48" spans="1:9" x14ac:dyDescent="0.25">
      <c r="A48" s="204"/>
      <c r="B48" s="3" t="s">
        <v>12</v>
      </c>
      <c r="C48" s="6">
        <v>135.69999999999999</v>
      </c>
      <c r="D48" s="6">
        <v>98281.93</v>
      </c>
      <c r="E48" s="3">
        <v>545895.19999999995</v>
      </c>
      <c r="F48" s="3">
        <v>37231.79</v>
      </c>
      <c r="G48" s="6">
        <v>3931.27</v>
      </c>
      <c r="H48" s="6">
        <v>-22.7</v>
      </c>
      <c r="I48" s="6">
        <v>13121</v>
      </c>
    </row>
    <row r="49" spans="1:9" x14ac:dyDescent="0.25">
      <c r="A49" s="204"/>
      <c r="B49" s="3" t="s">
        <v>13</v>
      </c>
      <c r="C49" s="6">
        <v>136.13999999999999</v>
      </c>
      <c r="D49" s="6">
        <v>97019.43</v>
      </c>
      <c r="E49" s="3">
        <v>548956.56000000006</v>
      </c>
      <c r="F49" s="3">
        <v>37307.69</v>
      </c>
      <c r="G49" s="6">
        <v>3877.77</v>
      </c>
      <c r="H49" s="6">
        <v>-26.4</v>
      </c>
      <c r="I49" s="6">
        <v>12745</v>
      </c>
    </row>
    <row r="50" spans="1:9" x14ac:dyDescent="0.25">
      <c r="A50" s="204">
        <v>2015</v>
      </c>
      <c r="B50" s="3" t="s">
        <v>2</v>
      </c>
      <c r="C50" s="6">
        <v>140.15</v>
      </c>
      <c r="D50" s="6">
        <v>98420.3</v>
      </c>
      <c r="E50" s="3">
        <v>547195.30000000005</v>
      </c>
      <c r="F50" s="3">
        <v>36741.72</v>
      </c>
      <c r="G50" s="6">
        <v>3963.93</v>
      </c>
      <c r="H50" s="6">
        <v>-32.299999999999997</v>
      </c>
      <c r="I50" s="6">
        <v>12949</v>
      </c>
    </row>
    <row r="51" spans="1:9" x14ac:dyDescent="0.25">
      <c r="A51" s="204"/>
      <c r="B51" s="3" t="s">
        <v>3</v>
      </c>
      <c r="C51" s="6">
        <v>140.09</v>
      </c>
      <c r="D51" s="6">
        <v>97818.39</v>
      </c>
      <c r="E51" s="3">
        <v>546512.30000000005</v>
      </c>
      <c r="F51" s="3">
        <v>36150.604999999996</v>
      </c>
      <c r="G51" s="6">
        <v>4197.93</v>
      </c>
      <c r="H51" s="6">
        <v>-25.6</v>
      </c>
      <c r="I51" s="6">
        <v>12626</v>
      </c>
    </row>
    <row r="52" spans="1:9" x14ac:dyDescent="0.25">
      <c r="A52" s="204"/>
      <c r="B52" s="3" t="s">
        <v>4</v>
      </c>
      <c r="C52" s="6">
        <v>139.1</v>
      </c>
      <c r="D52" s="6">
        <v>96463.79</v>
      </c>
      <c r="E52" s="3">
        <v>544625</v>
      </c>
      <c r="F52" s="3">
        <v>38026.050000000003</v>
      </c>
      <c r="G52" s="6">
        <v>4405.04</v>
      </c>
      <c r="H52" s="6">
        <v>-24.2</v>
      </c>
      <c r="I52" s="6">
        <v>12426</v>
      </c>
    </row>
    <row r="53" spans="1:9" x14ac:dyDescent="0.25">
      <c r="A53" s="204"/>
      <c r="B53" s="3" t="s">
        <v>5</v>
      </c>
      <c r="C53" s="6">
        <v>137.5</v>
      </c>
      <c r="D53" s="6">
        <v>97592.48</v>
      </c>
      <c r="E53" s="3">
        <v>545049.80000000005</v>
      </c>
      <c r="F53" s="3">
        <v>36228.885000000002</v>
      </c>
      <c r="G53" s="6">
        <v>4407.75</v>
      </c>
      <c r="H53" s="6">
        <v>-23.4</v>
      </c>
      <c r="I53" s="6">
        <v>12344</v>
      </c>
    </row>
    <row r="54" spans="1:9" x14ac:dyDescent="0.25">
      <c r="A54" s="204"/>
      <c r="B54" s="3" t="s">
        <v>6</v>
      </c>
      <c r="C54" s="6">
        <v>136.12</v>
      </c>
      <c r="D54" s="6">
        <v>95935.15</v>
      </c>
      <c r="E54" s="3">
        <v>547123.1</v>
      </c>
      <c r="F54" s="3">
        <v>37326.339999999997</v>
      </c>
      <c r="G54" s="6">
        <v>4450.25</v>
      </c>
      <c r="H54" s="6">
        <v>-22.7</v>
      </c>
      <c r="I54" s="6">
        <v>12343</v>
      </c>
    </row>
    <row r="55" spans="1:9" x14ac:dyDescent="0.25">
      <c r="A55" s="204"/>
      <c r="B55" s="3" t="s">
        <v>7</v>
      </c>
      <c r="C55" s="6">
        <v>135.22</v>
      </c>
      <c r="D55" s="6">
        <v>95011.99</v>
      </c>
      <c r="E55" s="3">
        <v>545156.30000000005</v>
      </c>
      <c r="F55" s="3">
        <v>36578.83</v>
      </c>
      <c r="G55" s="6">
        <v>4434.34</v>
      </c>
      <c r="H55" s="6">
        <v>-23.6</v>
      </c>
      <c r="I55" s="6">
        <v>13001</v>
      </c>
    </row>
    <row r="56" spans="1:9" x14ac:dyDescent="0.25">
      <c r="A56" s="204"/>
      <c r="B56" s="3" t="s">
        <v>8</v>
      </c>
      <c r="C56" s="6">
        <v>134.72999999999999</v>
      </c>
      <c r="D56" s="6">
        <v>96402.04</v>
      </c>
      <c r="E56" s="3">
        <v>545049.80000000005</v>
      </c>
      <c r="F56" s="3">
        <v>37371.214999999997</v>
      </c>
      <c r="G56" s="6">
        <v>4768.6099999999997</v>
      </c>
      <c r="H56" s="6">
        <v>-24.1</v>
      </c>
      <c r="I56" s="6">
        <v>12329.99</v>
      </c>
    </row>
    <row r="57" spans="1:9" x14ac:dyDescent="0.25">
      <c r="A57" s="204"/>
      <c r="B57" s="3" t="s">
        <v>9</v>
      </c>
      <c r="C57" s="6">
        <v>134.38999999999999</v>
      </c>
      <c r="D57" s="6">
        <v>95988.39</v>
      </c>
      <c r="E57" s="3">
        <v>551483.6</v>
      </c>
      <c r="F57" s="3">
        <v>37812.94</v>
      </c>
      <c r="G57" s="6">
        <v>4761.05</v>
      </c>
      <c r="H57" s="6">
        <v>-24.1</v>
      </c>
      <c r="I57" s="6">
        <v>12054</v>
      </c>
    </row>
    <row r="58" spans="1:9" x14ac:dyDescent="0.25">
      <c r="A58" s="204"/>
      <c r="B58" s="3" t="s">
        <v>10</v>
      </c>
      <c r="C58" s="6">
        <v>134.51</v>
      </c>
      <c r="D58" s="6">
        <v>94977.86</v>
      </c>
      <c r="E58" s="3">
        <v>559456.31999999995</v>
      </c>
      <c r="F58" s="3">
        <v>38081.755000000005</v>
      </c>
      <c r="G58" s="6">
        <v>4728.13</v>
      </c>
      <c r="H58" s="6">
        <v>-25.3</v>
      </c>
      <c r="I58" s="6">
        <v>12242</v>
      </c>
    </row>
    <row r="59" spans="1:9" x14ac:dyDescent="0.25">
      <c r="A59" s="204"/>
      <c r="B59" s="3" t="s">
        <v>11</v>
      </c>
      <c r="C59" s="6">
        <v>134.46</v>
      </c>
      <c r="D59" s="6">
        <v>96262.87</v>
      </c>
      <c r="E59" s="3">
        <v>569744.39</v>
      </c>
      <c r="F59" s="3">
        <v>38537.42</v>
      </c>
      <c r="G59" s="6">
        <v>4789.46</v>
      </c>
      <c r="H59" s="6">
        <v>-26.4</v>
      </c>
      <c r="I59" s="6">
        <v>12548</v>
      </c>
    </row>
    <row r="60" spans="1:9" x14ac:dyDescent="0.25">
      <c r="A60" s="204"/>
      <c r="B60" s="3" t="s">
        <v>12</v>
      </c>
      <c r="C60" s="6">
        <v>134.27000000000001</v>
      </c>
      <c r="D60" s="6">
        <v>97210.37</v>
      </c>
      <c r="E60" s="3">
        <v>562321.17000000004</v>
      </c>
      <c r="F60" s="3">
        <v>38555.22</v>
      </c>
      <c r="G60" s="6">
        <v>4849.1000000000004</v>
      </c>
      <c r="H60" s="6">
        <v>-27.8</v>
      </c>
      <c r="I60" s="6">
        <v>13012</v>
      </c>
    </row>
    <row r="61" spans="1:9" x14ac:dyDescent="0.25">
      <c r="A61" s="204"/>
      <c r="B61" s="3" t="s">
        <v>13</v>
      </c>
      <c r="C61" s="6">
        <v>133.72999999999999</v>
      </c>
      <c r="D61" s="6">
        <v>96372.24</v>
      </c>
      <c r="E61" s="3">
        <v>557562.30000000005</v>
      </c>
      <c r="F61" s="3">
        <v>37939.195</v>
      </c>
      <c r="G61" s="6">
        <v>4694.05</v>
      </c>
      <c r="H61" s="6">
        <v>-29.2</v>
      </c>
      <c r="I61" s="6">
        <v>12856</v>
      </c>
    </row>
    <row r="62" spans="1:9" x14ac:dyDescent="0.25">
      <c r="A62" s="204">
        <v>2016</v>
      </c>
      <c r="B62" s="3" t="s">
        <v>2</v>
      </c>
      <c r="C62" s="6">
        <v>132.01</v>
      </c>
      <c r="D62" s="6">
        <v>94819.62</v>
      </c>
      <c r="E62" s="3">
        <v>553010.49</v>
      </c>
      <c r="F62" s="3">
        <v>37000.61</v>
      </c>
      <c r="G62" s="6">
        <v>4493.75</v>
      </c>
      <c r="H62" s="6">
        <v>-30.4</v>
      </c>
      <c r="I62" s="6">
        <v>12583</v>
      </c>
    </row>
    <row r="63" spans="1:9" x14ac:dyDescent="0.25">
      <c r="A63" s="204"/>
      <c r="B63" s="3" t="s">
        <v>3</v>
      </c>
      <c r="C63" s="6">
        <v>130.59</v>
      </c>
      <c r="D63" s="6">
        <v>94680.68</v>
      </c>
      <c r="E63" s="3">
        <v>554289.6</v>
      </c>
      <c r="F63" s="3">
        <v>36885.69</v>
      </c>
      <c r="G63" s="6">
        <v>4625.6400000000003</v>
      </c>
      <c r="H63" s="6">
        <v>-28.5</v>
      </c>
      <c r="I63" s="6">
        <v>12486</v>
      </c>
    </row>
    <row r="64" spans="1:9" x14ac:dyDescent="0.25">
      <c r="A64" s="204"/>
      <c r="B64" s="3" t="s">
        <v>4</v>
      </c>
      <c r="C64" s="6">
        <v>130.28</v>
      </c>
      <c r="D64" s="6">
        <v>95779.95</v>
      </c>
      <c r="E64" s="3">
        <v>552386.15</v>
      </c>
      <c r="F64" s="3">
        <v>36631.455000000002</v>
      </c>
      <c r="G64" s="6">
        <v>4615.66</v>
      </c>
      <c r="H64" s="6">
        <v>-27.2</v>
      </c>
      <c r="I64" s="6">
        <v>12725</v>
      </c>
    </row>
    <row r="65" spans="1:9" x14ac:dyDescent="0.25">
      <c r="A65" s="204"/>
      <c r="B65" s="3" t="s">
        <v>5</v>
      </c>
      <c r="C65" s="6">
        <v>129.16</v>
      </c>
      <c r="D65" s="6">
        <v>94871.55</v>
      </c>
      <c r="E65" s="3">
        <v>551803.18999999994</v>
      </c>
      <c r="F65" s="3">
        <v>36881.425000000003</v>
      </c>
      <c r="G65" s="6">
        <v>4951.17</v>
      </c>
      <c r="H65" s="6">
        <v>-25.8</v>
      </c>
      <c r="I65" s="6">
        <v>12998</v>
      </c>
    </row>
    <row r="66" spans="1:9" x14ac:dyDescent="0.25">
      <c r="A66" s="204"/>
      <c r="B66" s="3" t="s">
        <v>6</v>
      </c>
      <c r="C66" s="6">
        <v>128.94</v>
      </c>
      <c r="D66" s="6">
        <v>95734.9</v>
      </c>
      <c r="E66" s="3">
        <v>556821.30000000005</v>
      </c>
      <c r="F66" s="3">
        <v>36675.324999999997</v>
      </c>
      <c r="G66" s="6">
        <v>4934.33</v>
      </c>
      <c r="H66" s="6">
        <v>-22.1</v>
      </c>
      <c r="I66" s="6">
        <v>12764</v>
      </c>
    </row>
    <row r="67" spans="1:9" x14ac:dyDescent="0.25">
      <c r="A67" s="204"/>
      <c r="B67" s="3" t="s">
        <v>7</v>
      </c>
      <c r="C67" s="6">
        <v>129.30000000000001</v>
      </c>
      <c r="D67" s="6">
        <v>95827.11</v>
      </c>
      <c r="E67" s="3">
        <v>557458.36</v>
      </c>
      <c r="F67" s="3">
        <v>37859.599999999999</v>
      </c>
      <c r="G67" s="6">
        <v>5018.21</v>
      </c>
      <c r="H67" s="6">
        <v>-20.9</v>
      </c>
      <c r="I67" s="6">
        <v>12433</v>
      </c>
    </row>
    <row r="68" spans="1:9" x14ac:dyDescent="0.25">
      <c r="A68" s="204"/>
      <c r="B68" s="3" t="s">
        <v>8</v>
      </c>
      <c r="C68" s="6">
        <v>131.22</v>
      </c>
      <c r="D68" s="6">
        <v>96289.02</v>
      </c>
      <c r="E68" s="3">
        <v>559287.59</v>
      </c>
      <c r="F68" s="3">
        <v>38639.339999999997</v>
      </c>
      <c r="G68" s="6">
        <v>5337.03</v>
      </c>
      <c r="H68" s="6">
        <v>-18.899999999999999</v>
      </c>
      <c r="I68" s="6">
        <v>12355.99</v>
      </c>
    </row>
    <row r="69" spans="1:9" x14ac:dyDescent="0.25">
      <c r="A69" s="204"/>
      <c r="B69" s="3" t="s">
        <v>9</v>
      </c>
      <c r="C69" s="6">
        <v>132.52000000000001</v>
      </c>
      <c r="D69" s="6">
        <v>98548.43</v>
      </c>
      <c r="E69" s="3">
        <v>564587.19999999995</v>
      </c>
      <c r="F69" s="3">
        <v>38118.095000000001</v>
      </c>
      <c r="G69" s="6">
        <v>4828.42</v>
      </c>
      <c r="H69" s="6">
        <v>-19.399999999999999</v>
      </c>
      <c r="I69" s="6">
        <v>12212</v>
      </c>
    </row>
    <row r="70" spans="1:9" x14ac:dyDescent="0.25">
      <c r="A70" s="204"/>
      <c r="B70" s="3" t="s">
        <v>10</v>
      </c>
      <c r="C70" s="6">
        <v>134.25</v>
      </c>
      <c r="D70" s="6">
        <v>102016.72</v>
      </c>
      <c r="E70" s="3">
        <v>566745.39</v>
      </c>
      <c r="F70" s="3">
        <v>38031.785000000003</v>
      </c>
      <c r="G70" s="6">
        <v>4839.95</v>
      </c>
      <c r="H70" s="6">
        <v>-18.100000000000001</v>
      </c>
      <c r="I70" s="6">
        <v>12308</v>
      </c>
    </row>
    <row r="71" spans="1:9" x14ac:dyDescent="0.25">
      <c r="A71" s="204"/>
      <c r="B71" s="3" t="s">
        <v>11</v>
      </c>
      <c r="C71" s="6">
        <v>136.06</v>
      </c>
      <c r="D71" s="6">
        <v>103575.62</v>
      </c>
      <c r="E71" s="3">
        <v>570205.5</v>
      </c>
      <c r="F71" s="3">
        <v>38303.055</v>
      </c>
      <c r="G71" s="6">
        <v>4872.42</v>
      </c>
      <c r="H71" s="6">
        <v>-17.899999999999999</v>
      </c>
      <c r="I71" s="6">
        <v>12393.99</v>
      </c>
    </row>
    <row r="72" spans="1:9" x14ac:dyDescent="0.25">
      <c r="A72" s="204"/>
      <c r="B72" s="25" t="s">
        <v>12</v>
      </c>
      <c r="C72" s="26">
        <v>137.97</v>
      </c>
      <c r="D72" s="26">
        <v>105493.35</v>
      </c>
      <c r="E72" s="25">
        <v>568319.4</v>
      </c>
      <c r="F72" s="25">
        <v>39416.955000000002</v>
      </c>
      <c r="G72" s="26">
        <v>4729.82</v>
      </c>
      <c r="H72" s="26">
        <v>-16.3</v>
      </c>
      <c r="I72" s="26">
        <v>12384</v>
      </c>
    </row>
    <row r="73" spans="1:9" x14ac:dyDescent="0.25">
      <c r="A73" s="204"/>
      <c r="B73" s="25" t="s">
        <v>13</v>
      </c>
      <c r="C73" s="26">
        <v>138.49</v>
      </c>
      <c r="D73" s="26">
        <v>105200.29</v>
      </c>
      <c r="E73" s="25">
        <v>563212.69999999995</v>
      </c>
      <c r="F73" s="25">
        <v>40166.119999999995</v>
      </c>
      <c r="G73" s="26">
        <v>4676.71</v>
      </c>
      <c r="H73" s="26">
        <v>-18.100000000000001</v>
      </c>
      <c r="I73" s="26">
        <v>12297</v>
      </c>
    </row>
    <row r="74" spans="1:9" x14ac:dyDescent="0.25">
      <c r="A74" s="203"/>
      <c r="B74" s="9"/>
      <c r="C74" s="9"/>
      <c r="D74" s="8"/>
      <c r="E74" s="8"/>
      <c r="F74" s="9"/>
    </row>
    <row r="75" spans="1:9" x14ac:dyDescent="0.25">
      <c r="A75" s="203"/>
      <c r="B75" s="24"/>
      <c r="C75" s="9" t="s">
        <v>64</v>
      </c>
      <c r="D75" s="8"/>
      <c r="E75" s="9"/>
      <c r="F75" s="9"/>
    </row>
    <row r="76" spans="1:9" x14ac:dyDescent="0.25">
      <c r="A76" s="203"/>
      <c r="B76" s="9"/>
      <c r="C76" s="9"/>
      <c r="D76" s="8"/>
      <c r="E76" s="9"/>
      <c r="F76" s="9"/>
    </row>
    <row r="77" spans="1:9" x14ac:dyDescent="0.25">
      <c r="A77" s="203"/>
      <c r="B77" s="9"/>
      <c r="C77" s="9"/>
      <c r="D77" s="8"/>
      <c r="E77" s="8"/>
      <c r="F77" s="9"/>
    </row>
    <row r="78" spans="1:9" x14ac:dyDescent="0.25">
      <c r="A78" s="203"/>
      <c r="B78" s="9"/>
      <c r="C78" s="9"/>
      <c r="D78" s="8"/>
      <c r="E78" s="9"/>
      <c r="F78" s="9"/>
    </row>
    <row r="79" spans="1:9" ht="15" customHeight="1" x14ac:dyDescent="0.25">
      <c r="A79" s="203"/>
      <c r="B79" s="9"/>
      <c r="C79" s="9"/>
      <c r="D79" s="8"/>
      <c r="E79" s="9"/>
      <c r="F79" s="9"/>
    </row>
    <row r="80" spans="1:9" x14ac:dyDescent="0.25">
      <c r="A80" s="203"/>
      <c r="B80" s="9"/>
      <c r="C80" s="9"/>
      <c r="D80" s="8"/>
      <c r="E80" s="8"/>
      <c r="F80" s="9"/>
    </row>
    <row r="81" spans="1:6" x14ac:dyDescent="0.25">
      <c r="A81" s="203"/>
      <c r="B81" s="9"/>
      <c r="C81" s="9"/>
      <c r="D81" s="8"/>
      <c r="E81" s="9"/>
      <c r="F81" s="9"/>
    </row>
    <row r="82" spans="1:6" x14ac:dyDescent="0.25">
      <c r="A82" s="203"/>
      <c r="B82" s="9"/>
      <c r="C82" s="9"/>
      <c r="D82" s="8"/>
      <c r="E82" s="9"/>
      <c r="F82" s="9"/>
    </row>
    <row r="83" spans="1:6" x14ac:dyDescent="0.25">
      <c r="A83" s="203"/>
      <c r="B83" s="9"/>
      <c r="C83" s="9"/>
      <c r="D83" s="8"/>
      <c r="E83" s="8"/>
      <c r="F83" s="9"/>
    </row>
    <row r="84" spans="1:6" x14ac:dyDescent="0.25">
      <c r="A84" s="203"/>
      <c r="B84" s="9"/>
      <c r="C84" s="9"/>
      <c r="D84" s="8"/>
      <c r="E84" s="9"/>
      <c r="F84" s="9"/>
    </row>
    <row r="85" spans="1:6" x14ac:dyDescent="0.25">
      <c r="A85" s="203"/>
      <c r="B85" s="9"/>
      <c r="C85" s="9"/>
      <c r="D85" s="8"/>
      <c r="E85" s="9"/>
      <c r="F85" s="9"/>
    </row>
    <row r="86" spans="1:6" x14ac:dyDescent="0.25">
      <c r="A86" s="203"/>
      <c r="B86" s="9"/>
      <c r="C86" s="9"/>
      <c r="D86" s="8"/>
      <c r="E86" s="8"/>
      <c r="F86" s="9"/>
    </row>
    <row r="87" spans="1:6" x14ac:dyDescent="0.25">
      <c r="A87" s="203"/>
      <c r="B87" s="9"/>
      <c r="C87" s="9"/>
      <c r="D87" s="8"/>
      <c r="E87" s="9"/>
      <c r="F87" s="9"/>
    </row>
    <row r="88" spans="1:6" x14ac:dyDescent="0.25">
      <c r="A88" s="203"/>
      <c r="B88" s="9"/>
      <c r="C88" s="9"/>
      <c r="D88" s="8"/>
      <c r="E88" s="9"/>
      <c r="F88" s="9"/>
    </row>
    <row r="89" spans="1:6" x14ac:dyDescent="0.25">
      <c r="A89" s="203"/>
      <c r="B89" s="9"/>
      <c r="C89" s="9"/>
      <c r="D89" s="8"/>
      <c r="E89" s="8"/>
      <c r="F89" s="9"/>
    </row>
    <row r="90" spans="1:6" x14ac:dyDescent="0.25">
      <c r="A90" s="203"/>
      <c r="B90" s="9"/>
      <c r="C90" s="9"/>
      <c r="D90" s="8"/>
      <c r="E90" s="9"/>
      <c r="F90" s="9"/>
    </row>
    <row r="91" spans="1:6" x14ac:dyDescent="0.25">
      <c r="A91" s="203"/>
      <c r="B91" s="9"/>
      <c r="C91" s="9"/>
      <c r="D91" s="8"/>
      <c r="E91" s="9"/>
      <c r="F91" s="9"/>
    </row>
    <row r="92" spans="1:6" x14ac:dyDescent="0.25">
      <c r="A92" s="203"/>
      <c r="B92" s="9"/>
      <c r="C92" s="9"/>
      <c r="D92" s="8"/>
      <c r="E92" s="8"/>
      <c r="F92" s="9"/>
    </row>
    <row r="93" spans="1:6" x14ac:dyDescent="0.25">
      <c r="A93" s="203"/>
      <c r="B93" s="9"/>
      <c r="C93" s="9"/>
      <c r="D93" s="8"/>
      <c r="E93" s="9"/>
      <c r="F93" s="9"/>
    </row>
    <row r="94" spans="1:6" x14ac:dyDescent="0.25">
      <c r="A94" s="203"/>
      <c r="B94" s="9"/>
      <c r="C94" s="9"/>
      <c r="D94" s="8"/>
      <c r="E94" s="9"/>
      <c r="F94" s="9"/>
    </row>
    <row r="95" spans="1:6" x14ac:dyDescent="0.25">
      <c r="A95" s="203"/>
      <c r="B95" s="9"/>
      <c r="C95" s="9"/>
      <c r="D95" s="8"/>
      <c r="E95" s="8"/>
      <c r="F95" s="9"/>
    </row>
    <row r="96" spans="1:6" x14ac:dyDescent="0.25">
      <c r="A96" s="203"/>
      <c r="B96" s="9"/>
      <c r="C96" s="9"/>
      <c r="D96" s="8"/>
      <c r="E96" s="9"/>
      <c r="F96" s="9"/>
    </row>
    <row r="97" spans="1:6" x14ac:dyDescent="0.25">
      <c r="A97" s="203"/>
      <c r="B97" s="9"/>
      <c r="C97" s="9"/>
      <c r="D97" s="8"/>
      <c r="E97" s="9"/>
      <c r="F97" s="9"/>
    </row>
    <row r="98" spans="1:6" x14ac:dyDescent="0.25">
      <c r="A98" s="203"/>
      <c r="B98" s="9"/>
      <c r="C98" s="9"/>
      <c r="D98" s="8"/>
      <c r="E98" s="8"/>
      <c r="F98" s="9"/>
    </row>
    <row r="99" spans="1:6" x14ac:dyDescent="0.25">
      <c r="A99" s="203"/>
      <c r="B99" s="9"/>
      <c r="C99" s="9"/>
      <c r="D99" s="8"/>
      <c r="E99" s="9"/>
      <c r="F99" s="9"/>
    </row>
    <row r="100" spans="1:6" x14ac:dyDescent="0.25">
      <c r="A100" s="203"/>
      <c r="B100" s="9"/>
      <c r="C100" s="9"/>
      <c r="D100" s="8"/>
      <c r="E100" s="9"/>
      <c r="F100" s="9"/>
    </row>
    <row r="101" spans="1:6" x14ac:dyDescent="0.25">
      <c r="A101" s="203"/>
      <c r="B101" s="9"/>
      <c r="C101" s="9"/>
      <c r="D101" s="8"/>
      <c r="E101" s="8"/>
      <c r="F101" s="9"/>
    </row>
    <row r="102" spans="1:6" x14ac:dyDescent="0.25">
      <c r="A102" s="203"/>
      <c r="B102" s="9"/>
      <c r="C102" s="9"/>
      <c r="D102" s="8"/>
      <c r="E102" s="9"/>
      <c r="F102" s="9"/>
    </row>
    <row r="103" spans="1:6" x14ac:dyDescent="0.25">
      <c r="A103" s="203"/>
      <c r="B103" s="9"/>
      <c r="C103" s="9"/>
      <c r="D103" s="8"/>
      <c r="E103" s="9"/>
      <c r="F103" s="9"/>
    </row>
    <row r="104" spans="1:6" x14ac:dyDescent="0.25">
      <c r="A104" s="203"/>
      <c r="B104" s="9"/>
      <c r="C104" s="9"/>
      <c r="D104" s="8"/>
      <c r="E104" s="8"/>
      <c r="F104" s="9"/>
    </row>
    <row r="105" spans="1:6" x14ac:dyDescent="0.25">
      <c r="A105" s="203"/>
      <c r="B105" s="9"/>
      <c r="C105" s="9"/>
      <c r="D105" s="8"/>
      <c r="E105" s="9"/>
      <c r="F105" s="9"/>
    </row>
    <row r="106" spans="1:6" x14ac:dyDescent="0.25">
      <c r="A106" s="203"/>
      <c r="B106" s="9"/>
      <c r="C106" s="9"/>
      <c r="D106" s="8"/>
      <c r="E106" s="9"/>
      <c r="F106" s="9"/>
    </row>
    <row r="107" spans="1:6" x14ac:dyDescent="0.25">
      <c r="A107" s="203"/>
      <c r="B107" s="9"/>
      <c r="C107" s="9"/>
      <c r="D107" s="8"/>
      <c r="E107" s="8"/>
      <c r="F107" s="9"/>
    </row>
    <row r="108" spans="1:6" x14ac:dyDescent="0.25">
      <c r="A108" s="203"/>
      <c r="B108" s="9"/>
      <c r="C108" s="9"/>
      <c r="D108" s="8"/>
      <c r="E108" s="9"/>
      <c r="F108" s="9"/>
    </row>
    <row r="109" spans="1:6" x14ac:dyDescent="0.25">
      <c r="A109" s="203"/>
      <c r="B109" s="9"/>
      <c r="C109" s="9"/>
      <c r="D109" s="8"/>
      <c r="E109" s="9"/>
      <c r="F109" s="9"/>
    </row>
    <row r="110" spans="1:6" x14ac:dyDescent="0.25">
      <c r="A110" s="203"/>
      <c r="B110" s="9"/>
      <c r="C110" s="9"/>
      <c r="D110" s="8"/>
      <c r="E110" s="8"/>
      <c r="F110" s="9"/>
    </row>
    <row r="111" spans="1:6" x14ac:dyDescent="0.25">
      <c r="A111" s="203"/>
      <c r="B111" s="9"/>
      <c r="C111" s="9"/>
      <c r="D111" s="8"/>
      <c r="E111" s="9"/>
      <c r="F111" s="9"/>
    </row>
    <row r="112" spans="1:6" x14ac:dyDescent="0.25">
      <c r="A112" s="203"/>
      <c r="B112" s="9"/>
      <c r="C112" s="9"/>
      <c r="D112" s="8"/>
      <c r="E112" s="9"/>
      <c r="F112" s="9"/>
    </row>
    <row r="113" spans="1:6" x14ac:dyDescent="0.25">
      <c r="A113" s="203"/>
      <c r="B113" s="9"/>
      <c r="C113" s="9"/>
      <c r="D113" s="8"/>
      <c r="E113" s="8"/>
      <c r="F113" s="9"/>
    </row>
    <row r="114" spans="1:6" x14ac:dyDescent="0.25">
      <c r="A114" s="203"/>
      <c r="B114" s="9"/>
      <c r="C114" s="9"/>
      <c r="D114" s="8"/>
      <c r="E114" s="9"/>
      <c r="F114" s="9"/>
    </row>
    <row r="115" spans="1:6" x14ac:dyDescent="0.25">
      <c r="A115" s="203"/>
      <c r="B115" s="9"/>
      <c r="C115" s="9"/>
      <c r="D115" s="8"/>
      <c r="E115" s="9"/>
      <c r="F115" s="9"/>
    </row>
    <row r="116" spans="1:6" x14ac:dyDescent="0.25">
      <c r="A116" s="203"/>
      <c r="B116" s="9"/>
      <c r="C116" s="9"/>
      <c r="D116" s="8"/>
      <c r="E116" s="8"/>
      <c r="F116" s="9"/>
    </row>
    <row r="117" spans="1:6" x14ac:dyDescent="0.25">
      <c r="A117" s="203"/>
      <c r="B117" s="9"/>
      <c r="C117" s="9"/>
      <c r="D117" s="8"/>
      <c r="E117" s="9"/>
      <c r="F117" s="9"/>
    </row>
    <row r="118" spans="1:6" x14ac:dyDescent="0.25">
      <c r="A118" s="203"/>
      <c r="B118" s="9"/>
      <c r="C118" s="9"/>
      <c r="D118" s="8"/>
      <c r="E118" s="9"/>
      <c r="F118" s="9"/>
    </row>
    <row r="119" spans="1:6" x14ac:dyDescent="0.25">
      <c r="A119" s="203"/>
      <c r="B119" s="9"/>
      <c r="C119" s="9"/>
      <c r="D119" s="8"/>
      <c r="E119" s="8"/>
      <c r="F119" s="9"/>
    </row>
    <row r="120" spans="1:6" x14ac:dyDescent="0.25">
      <c r="A120" s="203"/>
      <c r="B120" s="9"/>
      <c r="C120" s="9"/>
      <c r="D120" s="8"/>
      <c r="E120" s="9"/>
      <c r="F120" s="9"/>
    </row>
    <row r="121" spans="1:6" x14ac:dyDescent="0.25">
      <c r="A121" s="203"/>
      <c r="B121" s="9"/>
      <c r="C121" s="9"/>
      <c r="D121" s="8"/>
      <c r="E121" s="9"/>
      <c r="F121" s="9"/>
    </row>
    <row r="122" spans="1:6" x14ac:dyDescent="0.25">
      <c r="A122" s="9"/>
      <c r="B122" s="9"/>
      <c r="C122" s="9"/>
      <c r="D122" s="8"/>
      <c r="E122" s="8"/>
      <c r="F122" s="9"/>
    </row>
    <row r="123" spans="1:6" x14ac:dyDescent="0.25">
      <c r="A123" s="9"/>
      <c r="B123" s="9"/>
      <c r="C123" s="9"/>
      <c r="D123" s="9"/>
      <c r="E123" s="9"/>
      <c r="F123" s="9"/>
    </row>
    <row r="124" spans="1:6" x14ac:dyDescent="0.25">
      <c r="A124" s="9"/>
      <c r="B124" s="9"/>
      <c r="C124" s="9"/>
      <c r="D124" s="9"/>
      <c r="E124" s="9"/>
      <c r="F124" s="9"/>
    </row>
    <row r="125" spans="1:6" x14ac:dyDescent="0.25">
      <c r="C125" s="9"/>
      <c r="D125" s="9"/>
      <c r="E125" s="9"/>
      <c r="F125" s="9"/>
    </row>
    <row r="126" spans="1:6" x14ac:dyDescent="0.25">
      <c r="C126" s="9"/>
      <c r="D126" s="9"/>
      <c r="E126" s="9"/>
      <c r="F126" s="9"/>
    </row>
    <row r="127" spans="1:6" x14ac:dyDescent="0.25">
      <c r="C127" s="9"/>
      <c r="D127" s="9"/>
      <c r="E127" s="9"/>
      <c r="F127" s="9"/>
    </row>
    <row r="128" spans="1:6" x14ac:dyDescent="0.25">
      <c r="C128" s="9"/>
      <c r="D128" s="9"/>
      <c r="E128" s="9"/>
      <c r="F128" s="9"/>
    </row>
    <row r="129" spans="3:6" x14ac:dyDescent="0.25">
      <c r="C129" s="9"/>
      <c r="D129" s="9"/>
      <c r="E129" s="9"/>
      <c r="F129" s="9"/>
    </row>
    <row r="130" spans="3:6" x14ac:dyDescent="0.25">
      <c r="C130" s="9"/>
      <c r="D130" s="9"/>
      <c r="E130" s="9"/>
      <c r="F130" s="9"/>
    </row>
    <row r="131" spans="3:6" x14ac:dyDescent="0.25">
      <c r="C131" s="9"/>
      <c r="D131" s="9"/>
      <c r="E131" s="9"/>
      <c r="F131" s="9"/>
    </row>
    <row r="132" spans="3:6" x14ac:dyDescent="0.25">
      <c r="C132" s="9"/>
      <c r="D132" s="9"/>
      <c r="E132" s="9"/>
      <c r="F132" s="9"/>
    </row>
    <row r="133" spans="3:6" x14ac:dyDescent="0.25">
      <c r="C133" s="9"/>
      <c r="D133" s="9"/>
      <c r="E133" s="9"/>
      <c r="F133" s="9"/>
    </row>
    <row r="134" spans="3:6" x14ac:dyDescent="0.25">
      <c r="C134" s="9"/>
      <c r="D134" s="9"/>
      <c r="E134" s="9"/>
      <c r="F134" s="9"/>
    </row>
    <row r="135" spans="3:6" x14ac:dyDescent="0.25">
      <c r="C135" s="9"/>
      <c r="D135" s="9"/>
      <c r="E135" s="9"/>
      <c r="F135" s="9"/>
    </row>
    <row r="136" spans="3:6" x14ac:dyDescent="0.25">
      <c r="C136" s="9"/>
      <c r="D136" s="9"/>
      <c r="E136" s="9"/>
      <c r="F136" s="9"/>
    </row>
    <row r="137" spans="3:6" x14ac:dyDescent="0.25">
      <c r="C137" s="9"/>
      <c r="D137" s="9"/>
      <c r="E137" s="9"/>
      <c r="F137" s="9"/>
    </row>
    <row r="138" spans="3:6" x14ac:dyDescent="0.25">
      <c r="C138" s="9"/>
      <c r="D138" s="9"/>
      <c r="E138" s="9"/>
      <c r="F138" s="9"/>
    </row>
    <row r="139" spans="3:6" x14ac:dyDescent="0.25">
      <c r="C139" s="9"/>
      <c r="D139" s="9"/>
      <c r="E139" s="9"/>
      <c r="F139" s="9"/>
    </row>
    <row r="140" spans="3:6" x14ac:dyDescent="0.25">
      <c r="C140" s="9"/>
      <c r="D140" s="9"/>
      <c r="E140" s="9"/>
      <c r="F140" s="9"/>
    </row>
    <row r="141" spans="3:6" x14ac:dyDescent="0.25">
      <c r="C141" s="9"/>
      <c r="D141" s="9"/>
      <c r="E141" s="9"/>
      <c r="F141" s="9"/>
    </row>
    <row r="142" spans="3:6" x14ac:dyDescent="0.25">
      <c r="C142" s="9"/>
      <c r="D142" s="9"/>
      <c r="E142" s="9"/>
      <c r="F142" s="9"/>
    </row>
    <row r="143" spans="3:6" x14ac:dyDescent="0.25">
      <c r="C143" s="9"/>
      <c r="D143" s="9"/>
      <c r="E143" s="9"/>
      <c r="F143" s="9"/>
    </row>
    <row r="144" spans="3:6" x14ac:dyDescent="0.25">
      <c r="C144" s="9"/>
      <c r="D144" s="9"/>
      <c r="E144" s="9"/>
      <c r="F144" s="9"/>
    </row>
    <row r="145" spans="3:6" x14ac:dyDescent="0.25">
      <c r="C145" s="9"/>
      <c r="D145" s="9"/>
      <c r="E145" s="9"/>
      <c r="F145" s="9"/>
    </row>
  </sheetData>
  <mergeCells count="10">
    <mergeCell ref="A2:N2"/>
    <mergeCell ref="A110:A121"/>
    <mergeCell ref="A38:A49"/>
    <mergeCell ref="A50:A61"/>
    <mergeCell ref="A62:A73"/>
    <mergeCell ref="A74:A85"/>
    <mergeCell ref="A86:A97"/>
    <mergeCell ref="A98:A109"/>
    <mergeCell ref="A14:A25"/>
    <mergeCell ref="A26:A37"/>
  </mergeCells>
  <hyperlinks>
    <hyperlink ref="C13" r:id="rId1"/>
    <hyperlink ref="D13" r:id="rId2" display="Средние цены производителей с/х продукции, реализуемой с/х организациями (птица с/х в убойном весе), Рубль"/>
    <hyperlink ref="E13" r:id="rId3"/>
    <hyperlink ref="F13" r:id="rId4"/>
    <hyperlink ref="G13" r:id="rId5"/>
    <hyperlink ref="H13" r:id="rId6"/>
    <hyperlink ref="I13" r:id="rId7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"/>
  <sheetViews>
    <sheetView workbookViewId="0"/>
  </sheetViews>
  <sheetFormatPr defaultRowHeight="15" x14ac:dyDescent="0.25"/>
  <cols>
    <col min="1" max="1" width="15.140625" customWidth="1"/>
    <col min="2" max="2" width="10.85546875" customWidth="1"/>
    <col min="3" max="3" width="14.7109375" customWidth="1"/>
    <col min="4" max="4" width="18" customWidth="1"/>
    <col min="5" max="5" width="16" customWidth="1"/>
    <col min="8" max="8" width="9.28515625" customWidth="1"/>
    <col min="9" max="9" width="10.42578125" customWidth="1"/>
    <col min="10" max="10" width="10.42578125" style="135" customWidth="1"/>
  </cols>
  <sheetData>
    <row r="1" spans="1:15" x14ac:dyDescent="0.25">
      <c r="A1" s="146" t="s">
        <v>809</v>
      </c>
    </row>
    <row r="2" spans="1:15" ht="45" customHeight="1" x14ac:dyDescent="0.25">
      <c r="A2" s="173" t="s">
        <v>744</v>
      </c>
      <c r="B2" s="204" t="s">
        <v>736</v>
      </c>
      <c r="C2" s="204"/>
      <c r="D2" s="173" t="s">
        <v>737</v>
      </c>
      <c r="E2" s="173" t="s">
        <v>739</v>
      </c>
      <c r="F2" s="206" t="s">
        <v>740</v>
      </c>
      <c r="G2" s="206"/>
      <c r="H2" s="206"/>
      <c r="I2" s="173" t="s">
        <v>759</v>
      </c>
      <c r="J2" s="182" t="s">
        <v>742</v>
      </c>
      <c r="K2" s="206" t="s">
        <v>741</v>
      </c>
      <c r="L2" s="206"/>
      <c r="M2" s="206"/>
      <c r="N2" s="173" t="s">
        <v>760</v>
      </c>
      <c r="O2" s="182" t="s">
        <v>743</v>
      </c>
    </row>
    <row r="3" spans="1:15" ht="21.75" customHeight="1" x14ac:dyDescent="0.25">
      <c r="A3" s="14" t="s">
        <v>763</v>
      </c>
      <c r="B3" s="174" t="s">
        <v>574</v>
      </c>
      <c r="C3" s="175"/>
      <c r="D3" s="147">
        <f>'Тренд (лин)'!L9</f>
        <v>0.68483515233267556</v>
      </c>
      <c r="E3" s="176">
        <f>'Тренд (лин)'!L12</f>
        <v>5.0984049112565666</v>
      </c>
      <c r="F3" s="184">
        <f>'АД тренд (лин)'!$G$18*59+'АД тренд (лин)'!$G$17</f>
        <v>150.58041251600795</v>
      </c>
      <c r="G3" s="185" t="s">
        <v>761</v>
      </c>
      <c r="H3" s="186">
        <f>'АД тренд (лин)'!$H$18*59+'АД тренд (лин)'!$H$17</f>
        <v>128.99254574170533</v>
      </c>
      <c r="I3" s="169">
        <f>'Тренд (лин)'!$K$21*59+'Тренд (лин)'!$L$21</f>
        <v>139.78647912885663</v>
      </c>
      <c r="J3" s="183">
        <f>'Тит лист'!$C$72-Выводы!I3</f>
        <v>-1.8164791288566278</v>
      </c>
      <c r="K3" s="184">
        <f>'АД тренд (лин)'!$G$18*60+'АД тренд (лин)'!$G$17</f>
        <v>151.33625355499564</v>
      </c>
      <c r="L3" s="185" t="s">
        <v>762</v>
      </c>
      <c r="M3" s="186">
        <f>'АД тренд (лин)'!$H$18*60+'АД тренд (лин)'!$H$17</f>
        <v>129.51605688211413</v>
      </c>
      <c r="N3" s="169">
        <f>'Тренд (лин)'!$K$21*60+'Тренд (лин)'!$L$21</f>
        <v>140.42615521855487</v>
      </c>
      <c r="O3" s="183">
        <f>'Тит лист'!$C$73-N3</f>
        <v>-1.9361552185548589</v>
      </c>
    </row>
    <row r="4" spans="1:15" ht="18" x14ac:dyDescent="0.35">
      <c r="A4" s="187" t="s">
        <v>745</v>
      </c>
      <c r="B4" s="178" t="s">
        <v>752</v>
      </c>
      <c r="C4" s="179"/>
      <c r="D4" s="177">
        <f>'Y от Х1'!O9</f>
        <v>0.93894972129431753</v>
      </c>
      <c r="E4" s="180">
        <f>'Y от Х1'!$O$12</f>
        <v>2.2385668929726665</v>
      </c>
      <c r="F4" s="184">
        <f>'АД Y от Х1'!$G$18*'Тит лист'!$D$72+'АД Y от Х1'!$G$17</f>
        <v>156.46678444624084</v>
      </c>
      <c r="G4" s="185" t="s">
        <v>761</v>
      </c>
      <c r="H4" s="186">
        <f>'АД Y от Х1'!$H$18*'Тит лист'!$D$72+'АД Y от Х1'!$H$17</f>
        <v>128.49500234919182</v>
      </c>
      <c r="I4" s="169">
        <f>'Y от Х1'!$N$21*'Тит лист'!D72+'Y от Х1'!$O$21</f>
        <v>142.48089339771633</v>
      </c>
      <c r="J4" s="183">
        <f>'Тит лист'!$C$72-Выводы!I4</f>
        <v>-4.5108933977163304</v>
      </c>
      <c r="K4" s="184">
        <f>'АД Y от Х1'!$G$18*'Тит лист'!$D$73+'АД Y от Х1'!$G$17</f>
        <v>156.1320357948328</v>
      </c>
      <c r="L4" s="185" t="s">
        <v>762</v>
      </c>
      <c r="M4" s="186">
        <f>'АД Y от Х1'!$H$18*'Тит лист'!$D$73+'АД Y от Х1'!$H$17</f>
        <v>128.20303302349984</v>
      </c>
      <c r="N4" s="169">
        <f>'Y от Х1'!$N$21*'Тит лист'!D73+'Y от Х1'!$O$21</f>
        <v>142.16753440916631</v>
      </c>
      <c r="O4" s="183">
        <f>'Тит лист'!$C$73-N4</f>
        <v>-3.6775344091662987</v>
      </c>
    </row>
    <row r="5" spans="1:15" ht="18" x14ac:dyDescent="0.35">
      <c r="A5" s="187" t="s">
        <v>746</v>
      </c>
      <c r="B5" s="178" t="s">
        <v>753</v>
      </c>
      <c r="C5" s="179"/>
      <c r="D5" s="177">
        <f>'Y от Х2'!O9</f>
        <v>0.78803573263791149</v>
      </c>
      <c r="E5" s="180">
        <f>'Y от Х2'!$O$12</f>
        <v>4.1105350412532147</v>
      </c>
      <c r="F5" s="184">
        <f>'АД Y от Х2'!$G$18*'Тит лист'!$E$72+'АД Y от Х2'!$G$17</f>
        <v>211.95844871601454</v>
      </c>
      <c r="G5" s="185" t="s">
        <v>761</v>
      </c>
      <c r="H5" s="186">
        <f>'АД Y от Х2'!$H$18*'Тит лист'!$E$72+'АД Y от Х2'!$H$17</f>
        <v>66.621848102062273</v>
      </c>
      <c r="I5" s="169">
        <f>'Y от Х2'!$N$21*'Тит лист'!$E$72+'Y от Х2'!$O$21</f>
        <v>139.29014840903841</v>
      </c>
      <c r="J5" s="183">
        <f>'Тит лист'!$C$72-Выводы!I5</f>
        <v>-1.3201484090384099</v>
      </c>
      <c r="K5" s="184">
        <f>'АД Y от Х2'!$G$18*'Тит лист'!$E$73+'АД Y от Х2'!$G$17</f>
        <v>209.18767806575997</v>
      </c>
      <c r="L5" s="185" t="s">
        <v>762</v>
      </c>
      <c r="M5" s="186">
        <f>'АД Y от Х2'!$H$18*'Тит лист'!$E$73+'АД Y от Х2'!$H$17</f>
        <v>64.526642924061434</v>
      </c>
      <c r="N5" s="169">
        <f>'Y от Х2'!$N$21*'Тит лист'!$E$73+'Y от Х2'!$O$21</f>
        <v>136.85716049491072</v>
      </c>
      <c r="O5" s="183">
        <f>'Тит лист'!$C$73-N5</f>
        <v>1.6328395050892937</v>
      </c>
    </row>
    <row r="6" spans="1:15" ht="18" x14ac:dyDescent="0.35">
      <c r="A6" s="187" t="s">
        <v>747</v>
      </c>
      <c r="B6" s="178" t="s">
        <v>754</v>
      </c>
      <c r="C6" s="179"/>
      <c r="D6" s="177">
        <f>'Y от Х3'!O9</f>
        <v>0.63656942447412679</v>
      </c>
      <c r="E6" s="180">
        <f>'Y от Х3'!$O$12</f>
        <v>5.3551052562232799</v>
      </c>
      <c r="F6" s="184">
        <f>'АД Y от Х3'!$G$18*'Тит лист'!$F$72+'АД Y от Х3'!$G$17</f>
        <v>180.53847537577047</v>
      </c>
      <c r="G6" s="185" t="s">
        <v>761</v>
      </c>
      <c r="H6" s="186">
        <f>'АД Y от Х3'!$H$18*'Тит лист'!$F$72+'АД Y от Х3'!$H$17</f>
        <v>91.534852027771819</v>
      </c>
      <c r="I6" s="169">
        <f>'Y от Х3'!$N$21*'Тит лист'!$F$72+'Y от Х3'!$O$21</f>
        <v>136.03666370177115</v>
      </c>
      <c r="J6" s="183">
        <f>'Тит лист'!$C$72-Выводы!I6</f>
        <v>1.933336298228852</v>
      </c>
      <c r="K6" s="184">
        <f>'АД Y от Х3'!$G$18*'Тит лист'!$F$73+'АД Y от Х3'!$G$17</f>
        <v>183.21900557093841</v>
      </c>
      <c r="L6" s="185" t="s">
        <v>762</v>
      </c>
      <c r="M6" s="186">
        <f>'АД Y от Х3'!$H$18*'Тит лист'!$F$73+'АД Y от Х3'!$H$17</f>
        <v>93.313444780605366</v>
      </c>
      <c r="N6" s="169">
        <f>'Y от Х3'!$N$21*'Тит лист'!$F$73+'Y от Х3'!$O$21</f>
        <v>138.26622517577186</v>
      </c>
      <c r="O6" s="183">
        <f>'Тит лист'!$C$73-N6</f>
        <v>0.2237748242281441</v>
      </c>
    </row>
    <row r="7" spans="1:15" ht="18" x14ac:dyDescent="0.35">
      <c r="A7" s="187" t="s">
        <v>748</v>
      </c>
      <c r="B7" s="178" t="s">
        <v>755</v>
      </c>
      <c r="C7" s="179"/>
      <c r="D7" s="177">
        <f>'Y от Х4'!O9</f>
        <v>0.60073763288596294</v>
      </c>
      <c r="E7" s="180">
        <f>'Y от Х4'!$O$12</f>
        <v>5.3264972248816882</v>
      </c>
      <c r="F7" s="184">
        <f>'АД Y от Х4'!$G$18*'Тит лист'!$G$72+'АД Y от Х4'!$G$17</f>
        <v>159.4171060751068</v>
      </c>
      <c r="G7" s="185" t="s">
        <v>761</v>
      </c>
      <c r="H7" s="186">
        <f>'АД Y от Х4'!$H$18*'Тит лист'!$G$72+'АД Y от Х4'!$H$17</f>
        <v>105.39307214341142</v>
      </c>
      <c r="I7" s="169">
        <f>'Y от Х4'!$N$21*'Тит лист'!$G$72+'Y от Х4'!$O$21</f>
        <v>132.40508910925911</v>
      </c>
      <c r="J7" s="183">
        <f>'Тит лист'!$C$72-Выводы!I7</f>
        <v>5.5649108907408902</v>
      </c>
      <c r="K7" s="184">
        <f>'АД Y от Х4'!$G$18*'Тит лист'!$G$73+'АД Y от Х4'!$G$17</f>
        <v>158.49807999911599</v>
      </c>
      <c r="L7" s="185" t="s">
        <v>762</v>
      </c>
      <c r="M7" s="186">
        <f>'АД Y от Х4'!$H$18*'Тит лист'!$G$73+'АД Y от Х4'!$H$17</f>
        <v>104.80331623499285</v>
      </c>
      <c r="N7" s="169">
        <f>'Y от Х4'!$N$21*'Тит лист'!$G$73+'Y от Х4'!$O$21</f>
        <v>131.65069811705442</v>
      </c>
      <c r="O7" s="183">
        <f>'Тит лист'!$C$73-N7</f>
        <v>6.8393018829455912</v>
      </c>
    </row>
    <row r="8" spans="1:15" ht="18" x14ac:dyDescent="0.35">
      <c r="A8" s="187" t="s">
        <v>749</v>
      </c>
      <c r="B8" s="178" t="s">
        <v>756</v>
      </c>
      <c r="C8" s="179"/>
      <c r="D8" s="177">
        <f>'Y от Х5'!O9</f>
        <v>0.77032624924852355</v>
      </c>
      <c r="E8" s="180">
        <f>'Y от Х5'!$O$12</f>
        <v>4.4318962640868369</v>
      </c>
      <c r="F8" s="184">
        <f>'АД Y от Х5'!$G$18*'Тит лист'!$H$72+'АД Y от Х5'!$G$17</f>
        <v>123.4568822230908</v>
      </c>
      <c r="G8" s="185" t="s">
        <v>761</v>
      </c>
      <c r="H8" s="186">
        <f>'АД Y от Х5'!$H$18*'Тит лист'!$H$72+'АД Y от Х5'!$H$17</f>
        <v>123.1590216069992</v>
      </c>
      <c r="I8" s="169">
        <f>'Y от Х5'!$N$21*'Тит лист'!$H$72+'Y от Х5'!$O$21</f>
        <v>123.30795191504501</v>
      </c>
      <c r="J8" s="183">
        <f>'Тит лист'!$C$72-Выводы!I8</f>
        <v>14.662048084954989</v>
      </c>
      <c r="K8" s="184">
        <f>'АД Y от Х5'!$G$18*'Тит лист'!$H$73+'АД Y от Х5'!$G$17</f>
        <v>125.30450121924692</v>
      </c>
      <c r="L8" s="185" t="s">
        <v>762</v>
      </c>
      <c r="M8" s="186">
        <f>'АД Y от Х5'!$H$18*'Тит лист'!$H$73+'АД Y от Х5'!$H$17</f>
        <v>125.63923935140974</v>
      </c>
      <c r="N8" s="169">
        <f>'Y от Х5'!$N$21*'Тит лист'!$H$73+'Y от Х5'!$O$21</f>
        <v>125.47187028532834</v>
      </c>
      <c r="O8" s="183">
        <f>'Тит лист'!$C$73-N8</f>
        <v>13.018129714671673</v>
      </c>
    </row>
    <row r="9" spans="1:15" ht="18" x14ac:dyDescent="0.35">
      <c r="A9" s="187" t="s">
        <v>750</v>
      </c>
      <c r="B9" s="178" t="s">
        <v>757</v>
      </c>
      <c r="C9" s="179"/>
      <c r="D9" s="177">
        <f>'Y от Х6'!O9</f>
        <v>0.53055608257403641</v>
      </c>
      <c r="E9" s="180">
        <f>'Y от Х6'!$O$12</f>
        <v>6.3598466959095941</v>
      </c>
      <c r="F9" s="184">
        <f>'АД Y от Х6'!$G$18*'Тит лист'!$I$72+'АД Y от Х6'!$G$17</f>
        <v>153.08120226246456</v>
      </c>
      <c r="G9" s="185" t="s">
        <v>761</v>
      </c>
      <c r="H9" s="186">
        <f>'АД Y от Х6'!$H$18*'Тит лист'!$I$72+'АД Y от Х6'!$H$17</f>
        <v>104.3900391896161</v>
      </c>
      <c r="I9" s="169">
        <f>'Y от Х6'!$N$21*'Тит лист'!I72+'Y от Х6'!$O$21</f>
        <v>128.73562072604034</v>
      </c>
      <c r="J9" s="183">
        <f>'Тит лист'!$C$72-Выводы!I9</f>
        <v>9.2343792739596608</v>
      </c>
      <c r="K9" s="184">
        <f>'АД Y от Х6'!$G$18*'Тит лист'!$I$73+'АД Y от Х6'!$G$17</f>
        <v>153.31251323022724</v>
      </c>
      <c r="L9" s="185" t="s">
        <v>762</v>
      </c>
      <c r="M9" s="186">
        <f>'АД Y от Х6'!$H$18*'Тит лист'!$I$73+'АД Y от Х6'!$H$17</f>
        <v>104.77704602514838</v>
      </c>
      <c r="N9" s="169">
        <f>'Y от Х6'!$N$21*'Тит лист'!I73+'Y от Х6'!$O$21</f>
        <v>129.04477962768783</v>
      </c>
      <c r="O9" s="183">
        <f>'Тит лист'!$C$73-N9</f>
        <v>9.4452203723121784</v>
      </c>
    </row>
    <row r="10" spans="1:15" ht="18" x14ac:dyDescent="0.35">
      <c r="A10" s="187" t="s">
        <v>751</v>
      </c>
      <c r="B10" s="178" t="s">
        <v>758</v>
      </c>
      <c r="C10" s="179"/>
      <c r="D10" s="181">
        <f>'Y от Х5 и Х6'!P15</f>
        <v>0.80844719670623744</v>
      </c>
      <c r="E10" s="180">
        <f>'Y от Х5 и Х6'!P13</f>
        <v>3.7910590438174681</v>
      </c>
      <c r="F10" s="184">
        <f>'АД Y от Х5 и Х6'!$G$19*'Тит лист'!$I$72+'АД Y от Х5 и Х6'!$G$18*'Тит лист'!$H$72+'АД Y от Х5 и Х6'!$G$17</f>
        <v>144.63105867358371</v>
      </c>
      <c r="G10" s="185" t="s">
        <v>761</v>
      </c>
      <c r="H10" s="186">
        <f>'АД Y от Х5 и Х6'!$H$19*'Тит лист'!$I$72+'АД Y от Х5 и Х6'!$H$18*'Тит лист'!$H$72+'АД Y от Х5 и Х6'!$H$17</f>
        <v>106.96299400695386</v>
      </c>
      <c r="I10" s="169">
        <f>'Y от Х5 и Х6'!$O$21*'Тит лист'!$I$72+'Y от Х5 и Х6'!$P$21*'Тит лист'!$H$72+'Y от Х5 и Х6'!$Q$21</f>
        <v>125.79702634026879</v>
      </c>
      <c r="J10" s="183">
        <f>'Тит лист'!$C$72-Выводы!I10</f>
        <v>12.172973659731213</v>
      </c>
      <c r="K10" s="184">
        <f>'АД Y от Х5 и Х6'!$G$19*'Тит лист'!$I$73+'АД Y от Х5 и Х6'!$G$18*'Тит лист'!$H$72+'АД Y от Х5 и Х6'!$G$17</f>
        <v>144.68418675306759</v>
      </c>
      <c r="L10" s="185" t="s">
        <v>762</v>
      </c>
      <c r="M10" s="186">
        <f>'АД Y от Х5 и Х6'!$H$19*'Тит лист'!$I$73+'АД Y от Х5 и Х6'!$H$18*'Тит лист'!$H$73+'АД Y от Х5 и Х6'!$H$17</f>
        <v>109.24283642900409</v>
      </c>
      <c r="N10" s="169">
        <f>'Y от Х5 и Х6'!$O$21*'Тит лист'!$I$73+'Y от Х5 и Х6'!$P$21*'Тит лист'!$H$73+'Y от Х5 и Х6'!$Q$21</f>
        <v>127.63720153663554</v>
      </c>
      <c r="O10" s="183">
        <f>'Тит лист'!$C$73-N10</f>
        <v>10.852798463364465</v>
      </c>
    </row>
    <row r="11" spans="1:15" s="135" customFormat="1" ht="18" x14ac:dyDescent="0.25">
      <c r="A11" s="187" t="s">
        <v>810</v>
      </c>
      <c r="B11" s="178" t="s">
        <v>800</v>
      </c>
      <c r="C11" s="178"/>
      <c r="D11" s="201">
        <f>'Y от t-1'!P15</f>
        <v>0.97528427377047977</v>
      </c>
      <c r="E11" s="180">
        <f>'Y от t-1'!P13</f>
        <v>1.295513061532181</v>
      </c>
      <c r="F11" s="185">
        <f>'АД Y от t-1'!$G$18*'Тит лист'!$C$71+'АД Y от t-1'!$G$17</f>
        <v>147.04228568319763</v>
      </c>
      <c r="G11" s="185" t="s">
        <v>761</v>
      </c>
      <c r="H11" s="186">
        <f>'АД Y от t-1'!$H$18*'Тит лист'!$C$71+'АД Y от t-1'!$H$17</f>
        <v>125.70113679335246</v>
      </c>
      <c r="I11" s="188">
        <f>'Y от t-1'!$P$18*'Тит лист'!$C$71+'Y от t-1'!$Q$18</f>
        <v>136.37171123827505</v>
      </c>
      <c r="J11" s="183">
        <f>'Тит лист'!$C$72-Выводы!I11</f>
        <v>1.5982887617249446</v>
      </c>
      <c r="K11" s="185">
        <f>'АД Y от t-1'!$G$18*'Тит лист'!C72+'АД Y от t-1'!$G$17</f>
        <v>148.99673329527309</v>
      </c>
      <c r="L11" s="185" t="s">
        <v>762</v>
      </c>
      <c r="M11" s="186">
        <f>'АД Y от t-1'!$H$18*'Тит лист'!$C$72+'АД Y от t-1'!$H$17</f>
        <v>127.49722393965578</v>
      </c>
      <c r="N11" s="188">
        <f>'Y от t-1'!$P$18*'Тит лист'!$C$72+'Y от t-1'!$Q$18</f>
        <v>138.24697861746444</v>
      </c>
      <c r="O11" s="183">
        <f>'Тит лист'!$C$73-N11</f>
        <v>0.24302138253557359</v>
      </c>
    </row>
    <row r="12" spans="1:15" s="135" customFormat="1" ht="18" x14ac:dyDescent="0.25">
      <c r="A12" s="187" t="s">
        <v>811</v>
      </c>
      <c r="B12" s="178" t="s">
        <v>801</v>
      </c>
      <c r="C12" s="168"/>
      <c r="D12" s="201">
        <f>'Y от t-2'!Q15</f>
        <v>0.99171510798951856</v>
      </c>
      <c r="E12" s="180">
        <f>'Y от t-2'!Q13</f>
        <v>0.66519694703599086</v>
      </c>
      <c r="F12" s="185">
        <f>'АД Y от t-2'!$G$19*'Тит лист'!$C$70+'АД Y от t-2'!$G$18*'Тит лист'!$C$71+'АД Y от t-2'!$G$17</f>
        <v>182.57847566057927</v>
      </c>
      <c r="G12" s="185" t="s">
        <v>761</v>
      </c>
      <c r="H12" s="186">
        <f>'АД Y от t-2'!$H$19*'Тит лист'!$C$70+'АД Y от t-2'!$H$18*'Тит лист'!$C$71+'АД Y от t-2'!$H$17</f>
        <v>92.070051089271942</v>
      </c>
      <c r="I12" s="188">
        <f>'Y от t-2'!$P$18*'Тит лист'!$C$70+'Y от t-2'!$Q$18*'Тит лист'!$C$71+'Y от t-2'!$R$18</f>
        <v>137.32426337492558</v>
      </c>
      <c r="J12" s="183">
        <f>'Тит лист'!$C$72-Выводы!I12</f>
        <v>0.64573662507442009</v>
      </c>
      <c r="K12" s="185">
        <f>'АД Y от t-2'!$G$19*'Тит лист'!C71+'АД Y от t-2'!$G$18*'Тит лист'!C72+'АД Y от t-2'!$G$17</f>
        <v>185.10736548573158</v>
      </c>
      <c r="L12" s="185" t="s">
        <v>762</v>
      </c>
      <c r="M12" s="186">
        <f>'АД Y от t-2'!$H$19*'Тит лист'!$C$71+'АД Y от t-2'!$H$18*'Тит лист'!$C$72+'АД Y от t-2'!$H$17</f>
        <v>93.435037021943913</v>
      </c>
      <c r="N12" s="188">
        <f>'Y от t-2'!$P$18*'Тит лист'!$C$71+'Y от t-2'!$Q$18*'Тит лист'!$C$72+'Y от t-2'!$R$18</f>
        <v>139.27120125383772</v>
      </c>
      <c r="O12" s="183">
        <f>'Тит лист'!$C$73-N12</f>
        <v>-0.78120125383770755</v>
      </c>
    </row>
    <row r="13" spans="1:15" x14ac:dyDescent="0.25">
      <c r="A13" t="s">
        <v>802</v>
      </c>
    </row>
    <row r="14" spans="1:15" x14ac:dyDescent="0.25">
      <c r="A14" t="s">
        <v>805</v>
      </c>
    </row>
    <row r="15" spans="1:15" s="135" customFormat="1" x14ac:dyDescent="0.25">
      <c r="A15" s="135" t="s">
        <v>804</v>
      </c>
    </row>
    <row r="16" spans="1:15" x14ac:dyDescent="0.25">
      <c r="A16" t="s">
        <v>803</v>
      </c>
    </row>
    <row r="17" spans="1:1" x14ac:dyDescent="0.25">
      <c r="A17" t="s">
        <v>772</v>
      </c>
    </row>
    <row r="18" spans="1:1" ht="18" x14ac:dyDescent="0.35">
      <c r="A18" t="s">
        <v>806</v>
      </c>
    </row>
    <row r="19" spans="1:1" x14ac:dyDescent="0.25">
      <c r="A19" t="s">
        <v>807</v>
      </c>
    </row>
  </sheetData>
  <mergeCells count="3">
    <mergeCell ref="B2:C2"/>
    <mergeCell ref="F2:H2"/>
    <mergeCell ref="K2:M2"/>
  </mergeCells>
  <hyperlinks>
    <hyperlink ref="D3" location="'Тренд (лин)'!L9" display="'Тренд (лин)'!L9"/>
    <hyperlink ref="D4" location="'Y от Х1'!O9" display="'Y от Х1'!O9"/>
    <hyperlink ref="D5" location="'Y от Х2'!O9" display="'Y от Х2'!O9"/>
    <hyperlink ref="D6" location="'Y от Х3'!O9" display="'Y от Х3'!O9"/>
    <hyperlink ref="D7" location="'Y от Х4'!O9" display="'Y от Х4'!O9"/>
    <hyperlink ref="D8" location="'Y от Х5'!O9" display="'Y от Х5'!O9"/>
    <hyperlink ref="D9" location="'Y от Х6'!O9" display="'Y от Х6'!O9"/>
    <hyperlink ref="D10" location="'Y от Х5 и Х6'!P15" display="'Y от Х5 и Х6'!P15"/>
    <hyperlink ref="A3" location="'анализ врем ряда'!A1" display="Тенденция временного ряда"/>
    <hyperlink ref="A4" location="'анализ У от Х1'!A1" display="Y от Х1"/>
    <hyperlink ref="A5" location="'анализ У от Х2'!A1" display="Y от Х2"/>
    <hyperlink ref="A6" location="'анализ У от Х3'!A1" display="Y от Х3"/>
    <hyperlink ref="A7" location="'анализ У от Х4'!A1" display="Y от Х4"/>
    <hyperlink ref="A8" location="'анализ У от Х5'!A1" display="Y от Х5"/>
    <hyperlink ref="A9" location="'анализ У от Х6'!A1" display="Y от Х6"/>
    <hyperlink ref="A10" location="'анализ Многофак'!A1" display="Y от Х5 и Х6"/>
    <hyperlink ref="B3" location="'Тренд (лин)'!K26" display=" T = 0,6397t + 102,05"/>
    <hyperlink ref="B10" location="'Y от Х5 и Х6'!O26" display="Y=-0,00135X6-0,96X5+126,95"/>
    <hyperlink ref="B4" location="'Y от Х1'!N26" display="Y=0,0011X1+29,68"/>
    <hyperlink ref="B5" location="'Y от Х2'!N26" display="Y=0,0005X2-131,47"/>
    <hyperlink ref="B6" location="'Y от Х3'!N26" display="Y=0,003X3+18,729"/>
    <hyperlink ref="B7" location="'Y от Х4'!N26" display="Y=0,0142X4+65,221"/>
    <hyperlink ref="B8" location="'АД Y от Х5'!N26" display="Y=-1,2022X5+103,71"/>
    <hyperlink ref="B9" location="'Y от Х6'!N26" display="Y=-0,0036X6+172,74"/>
    <hyperlink ref="E3" location="'Тренд (лин)'!L12" display="'Тренд (лин)'!L12"/>
    <hyperlink ref="E4" location="'Y от Х1'!O12" display="'Y от Х1'!O12"/>
    <hyperlink ref="E5" location="'Y от Х2'!O12" display="'Y от Х2'!O12"/>
    <hyperlink ref="E6" location="'Y от Х3'!O12" display="'Y от Х3'!O12"/>
    <hyperlink ref="E7" location="'Y от Х4'!O12" display="'Y от Х4'!O12"/>
    <hyperlink ref="E8" location="'Y от Х5'!O12" display="'Y от Х5'!O12"/>
    <hyperlink ref="E9" location="'Y от Х6'!O12" display="'Y от Х6'!O12"/>
    <hyperlink ref="E10" location="'Y от Х5 и Х6'!P13" display="'Y от Х5 и Х6'!P13"/>
    <hyperlink ref="D11" location="'Y от t-1'!P15" display="'Y от t-1'!P15"/>
    <hyperlink ref="D12" location="'Y от t-2'!Q15" display="'Y от t-2'!Q15"/>
    <hyperlink ref="B11" location="'Y от t-1'!P23" display="Y=0,98Yt-1+2,79"/>
    <hyperlink ref="B12" location="'Y от t-2'!Q23" display="Y=-0,82Yt-2+1,79Yt-1+2,98"/>
    <hyperlink ref="E11" location="'Y от t-1'!P13" display="'Y от t-1'!P13"/>
    <hyperlink ref="E12" location="'Y от t-2'!Q13" display="'Y от t-2'!Q13"/>
    <hyperlink ref="A11" location="'анализ Y от t-1'!A1" display="Yt от Yt-1"/>
    <hyperlink ref="A12" location="'анализ Y от t-2'!A1" display="Yt от Yt-2 и Yt-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"/>
  <sheetViews>
    <sheetView workbookViewId="0">
      <selection activeCell="A4" sqref="A4"/>
    </sheetView>
  </sheetViews>
  <sheetFormatPr defaultRowHeight="15" x14ac:dyDescent="0.25"/>
  <cols>
    <col min="1" max="1" width="14.140625" customWidth="1"/>
    <col min="2" max="2" width="14.85546875" customWidth="1"/>
    <col min="3" max="3" width="14.7109375" customWidth="1"/>
    <col min="4" max="4" width="16.28515625" customWidth="1"/>
  </cols>
  <sheetData>
    <row r="1" spans="1:11" x14ac:dyDescent="0.25">
      <c r="A1" s="19" t="s">
        <v>623</v>
      </c>
    </row>
    <row r="2" spans="1:11" ht="18" x14ac:dyDescent="0.35">
      <c r="A2" t="s">
        <v>624</v>
      </c>
    </row>
    <row r="3" spans="1:11" x14ac:dyDescent="0.25">
      <c r="A3" s="56" t="s">
        <v>625</v>
      </c>
    </row>
    <row r="4" spans="1:11" x14ac:dyDescent="0.25">
      <c r="A4" s="57" t="s">
        <v>558</v>
      </c>
    </row>
    <row r="5" spans="1:11" x14ac:dyDescent="0.25">
      <c r="A5" t="s">
        <v>559</v>
      </c>
    </row>
    <row r="6" spans="1:11" x14ac:dyDescent="0.25">
      <c r="A6" s="90" t="s">
        <v>561</v>
      </c>
    </row>
    <row r="7" spans="1:11" x14ac:dyDescent="0.25">
      <c r="A7" s="58" t="s">
        <v>562</v>
      </c>
    </row>
    <row r="8" spans="1:11" x14ac:dyDescent="0.25">
      <c r="A8" t="s">
        <v>564</v>
      </c>
    </row>
    <row r="9" spans="1:11" x14ac:dyDescent="0.25">
      <c r="A9" t="s">
        <v>563</v>
      </c>
    </row>
    <row r="10" spans="1:11" ht="18" x14ac:dyDescent="0.35">
      <c r="A10" t="s">
        <v>626</v>
      </c>
    </row>
    <row r="11" spans="1:11" x14ac:dyDescent="0.25">
      <c r="A11" s="62"/>
      <c r="B11" s="61"/>
      <c r="C11" s="61"/>
    </row>
    <row r="12" spans="1:11" x14ac:dyDescent="0.25">
      <c r="A12" s="94" t="s">
        <v>573</v>
      </c>
      <c r="B12" s="92"/>
      <c r="C12" s="92"/>
    </row>
    <row r="13" spans="1:11" x14ac:dyDescent="0.25">
      <c r="A13" s="90" t="s">
        <v>764</v>
      </c>
      <c r="B13" s="92"/>
      <c r="C13" s="92"/>
      <c r="D13" s="66"/>
      <c r="E13" s="66"/>
      <c r="F13" s="66"/>
      <c r="G13" s="66"/>
      <c r="H13" s="66"/>
      <c r="I13" s="66"/>
      <c r="J13" s="66"/>
      <c r="K13" s="66"/>
    </row>
    <row r="14" spans="1:11" ht="18" customHeight="1" x14ac:dyDescent="0.25">
      <c r="A14" s="92" t="s">
        <v>572</v>
      </c>
      <c r="B14" s="92"/>
      <c r="C14" s="92"/>
      <c r="D14" s="46"/>
      <c r="E14" s="46"/>
      <c r="F14" s="46"/>
      <c r="G14" s="46"/>
      <c r="H14" s="46"/>
      <c r="I14" s="46"/>
      <c r="J14" s="46"/>
      <c r="K14" s="66"/>
    </row>
    <row r="15" spans="1:11" ht="15.75" customHeight="1" x14ac:dyDescent="0.25">
      <c r="A15" s="72" t="s">
        <v>574</v>
      </c>
      <c r="B15" s="72"/>
      <c r="C15" s="92"/>
      <c r="D15" s="46"/>
      <c r="E15" s="45"/>
      <c r="F15" s="45"/>
      <c r="G15" s="45"/>
      <c r="H15" s="45"/>
      <c r="I15" s="45"/>
      <c r="J15" s="46"/>
      <c r="K15" s="66"/>
    </row>
    <row r="16" spans="1:11" x14ac:dyDescent="0.25">
      <c r="A16" s="90" t="s">
        <v>765</v>
      </c>
      <c r="B16" s="74"/>
      <c r="C16" s="74"/>
      <c r="D16" s="71"/>
      <c r="E16" s="71"/>
      <c r="F16" s="71"/>
      <c r="G16" s="71"/>
      <c r="H16" s="71"/>
      <c r="I16" s="71"/>
      <c r="J16" s="71"/>
      <c r="K16" s="66"/>
    </row>
    <row r="17" spans="1:12" x14ac:dyDescent="0.25">
      <c r="A17" s="156" t="s">
        <v>766</v>
      </c>
      <c r="B17" s="74"/>
      <c r="C17" s="74"/>
      <c r="D17" s="66"/>
      <c r="E17" s="66"/>
      <c r="F17" s="66"/>
      <c r="G17" s="66"/>
      <c r="H17" s="66"/>
      <c r="I17" s="66"/>
      <c r="J17" s="71"/>
      <c r="K17" s="66"/>
    </row>
    <row r="18" spans="1:12" x14ac:dyDescent="0.25">
      <c r="A18" s="73" t="s">
        <v>767</v>
      </c>
      <c r="C18" s="45"/>
      <c r="D18" s="66"/>
      <c r="E18" s="66"/>
      <c r="F18" s="66"/>
      <c r="G18" s="66"/>
      <c r="H18" s="66"/>
      <c r="I18" s="66"/>
      <c r="J18" s="41"/>
      <c r="K18" s="66"/>
    </row>
    <row r="19" spans="1:12" x14ac:dyDescent="0.25">
      <c r="A19" s="90" t="s">
        <v>768</v>
      </c>
      <c r="B19" s="70"/>
      <c r="C19" s="45"/>
      <c r="D19" s="66"/>
      <c r="E19" s="66"/>
      <c r="F19" s="66"/>
      <c r="G19" s="66"/>
      <c r="H19" s="66"/>
      <c r="I19" s="66"/>
      <c r="J19" s="41"/>
      <c r="K19" s="66"/>
    </row>
    <row r="20" spans="1:12" s="135" customFormat="1" x14ac:dyDescent="0.25">
      <c r="A20" s="73" t="s">
        <v>769</v>
      </c>
      <c r="B20" s="74"/>
      <c r="C20" s="152"/>
      <c r="D20" s="66"/>
      <c r="E20" s="66"/>
      <c r="F20" s="66"/>
      <c r="G20" s="66"/>
      <c r="H20" s="66"/>
      <c r="I20" s="66"/>
      <c r="J20" s="151"/>
      <c r="K20" s="66"/>
    </row>
    <row r="21" spans="1:12" s="74" customFormat="1" x14ac:dyDescent="0.25">
      <c r="A21" s="90" t="s">
        <v>647</v>
      </c>
      <c r="B21" s="70"/>
      <c r="C21" s="88"/>
      <c r="D21" s="66"/>
      <c r="E21" s="66"/>
      <c r="F21" s="66"/>
      <c r="G21" s="66"/>
      <c r="H21" s="66"/>
      <c r="I21" s="66"/>
      <c r="J21" s="87"/>
      <c r="K21" s="66"/>
    </row>
    <row r="22" spans="1:12" s="135" customFormat="1" x14ac:dyDescent="0.25">
      <c r="A22" s="155" t="s">
        <v>770</v>
      </c>
      <c r="B22" s="70"/>
      <c r="C22" s="152"/>
      <c r="D22" s="66"/>
      <c r="E22" s="66"/>
      <c r="F22" s="66"/>
      <c r="G22" s="66"/>
      <c r="H22" s="66"/>
      <c r="I22" s="66"/>
      <c r="J22" s="151"/>
      <c r="K22" s="66"/>
    </row>
    <row r="23" spans="1:12" x14ac:dyDescent="0.25">
      <c r="A23" s="97" t="s">
        <v>640</v>
      </c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</row>
    <row r="24" spans="1:12" x14ac:dyDescent="0.25">
      <c r="A24" s="95" t="s">
        <v>578</v>
      </c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</row>
    <row r="25" spans="1:12" x14ac:dyDescent="0.25">
      <c r="A25" s="69" t="s">
        <v>582</v>
      </c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</row>
    <row r="26" spans="1:12" x14ac:dyDescent="0.25">
      <c r="A26" s="95" t="s">
        <v>583</v>
      </c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</row>
    <row r="27" spans="1:12" x14ac:dyDescent="0.25">
      <c r="A27" s="98" t="s">
        <v>635</v>
      </c>
      <c r="B27" s="95"/>
      <c r="C27" s="99" t="s">
        <v>581</v>
      </c>
      <c r="D27" s="95"/>
      <c r="E27" s="95"/>
      <c r="F27" s="95"/>
      <c r="G27" s="95"/>
      <c r="H27" s="95"/>
      <c r="I27" s="95"/>
      <c r="J27" s="95"/>
      <c r="K27" s="95"/>
      <c r="L27" s="95"/>
    </row>
    <row r="28" spans="1:12" x14ac:dyDescent="0.25">
      <c r="A28" s="95">
        <f>57*'Тренд (лин)'!K47</f>
        <v>52.858852833139913</v>
      </c>
      <c r="B28" s="98" t="s">
        <v>580</v>
      </c>
      <c r="C28" s="95">
        <f>_xlfn.CHISQ.INV.RT(0.05,1)</f>
        <v>3.8414588206941236</v>
      </c>
      <c r="D28" s="95"/>
      <c r="E28" s="95"/>
      <c r="F28" s="95"/>
      <c r="G28" s="95"/>
      <c r="H28" s="95"/>
      <c r="I28" s="95"/>
      <c r="J28" s="95"/>
      <c r="K28" s="95"/>
      <c r="L28" s="95"/>
    </row>
    <row r="29" spans="1:12" x14ac:dyDescent="0.25">
      <c r="A29" s="95" t="s">
        <v>584</v>
      </c>
      <c r="B29" s="95"/>
      <c r="C29" s="95"/>
      <c r="D29" s="95"/>
      <c r="E29" s="95"/>
      <c r="F29" s="95"/>
      <c r="G29" s="95"/>
      <c r="H29" s="95"/>
      <c r="I29" s="95"/>
      <c r="J29" s="95"/>
      <c r="K29" s="95"/>
      <c r="L29" s="95"/>
    </row>
    <row r="30" spans="1:12" x14ac:dyDescent="0.25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</row>
    <row r="31" spans="1:12" x14ac:dyDescent="0.25">
      <c r="A31" s="97" t="s">
        <v>641</v>
      </c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</row>
    <row r="32" spans="1:12" x14ac:dyDescent="0.25">
      <c r="A32" s="69" t="s">
        <v>585</v>
      </c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</row>
    <row r="33" spans="1:12" x14ac:dyDescent="0.25">
      <c r="A33" s="74" t="s">
        <v>586</v>
      </c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</row>
    <row r="34" spans="1:12" x14ac:dyDescent="0.25">
      <c r="A34" s="98" t="s">
        <v>627</v>
      </c>
      <c r="B34" s="98" t="s">
        <v>628</v>
      </c>
      <c r="C34" s="98" t="s">
        <v>636</v>
      </c>
      <c r="D34" s="98" t="s">
        <v>628</v>
      </c>
      <c r="E34" s="98" t="s">
        <v>636</v>
      </c>
      <c r="F34" s="98" t="s">
        <v>637</v>
      </c>
      <c r="G34" s="95"/>
      <c r="H34" s="95"/>
      <c r="I34" s="95"/>
      <c r="J34" s="95"/>
      <c r="K34" s="95"/>
      <c r="L34" s="95"/>
    </row>
    <row r="35" spans="1:12" s="74" customFormat="1" x14ac:dyDescent="0.25">
      <c r="A35" s="98">
        <f>COUNT('Тренд (лин)'!D4:D9)</f>
        <v>6</v>
      </c>
      <c r="B35" s="98">
        <f>COUNT('Тренд (лин)'!D10:D17)</f>
        <v>8</v>
      </c>
      <c r="C35" s="98">
        <f>COUNT('Тренд (лин)'!D18:D33)</f>
        <v>16</v>
      </c>
      <c r="D35" s="98">
        <f>COUNT('Тренд (лин)'!D34:D51)</f>
        <v>18</v>
      </c>
      <c r="E35" s="98">
        <f>COUNT('Тренд (лин)'!D52:D61)</f>
        <v>10</v>
      </c>
      <c r="F35" s="95">
        <f>SUM(A35:E35)</f>
        <v>58</v>
      </c>
      <c r="G35" s="95"/>
      <c r="H35" s="95"/>
      <c r="I35" s="95"/>
      <c r="J35" s="95"/>
      <c r="K35" s="95"/>
      <c r="L35" s="95"/>
    </row>
    <row r="36" spans="1:12" ht="18" x14ac:dyDescent="0.35">
      <c r="A36" s="95" t="s">
        <v>587</v>
      </c>
      <c r="B36" s="95">
        <f>SUM(D35,B35)</f>
        <v>26</v>
      </c>
      <c r="C36" s="95"/>
      <c r="D36" s="95"/>
      <c r="E36" s="95"/>
      <c r="F36" s="95"/>
      <c r="G36" s="95"/>
      <c r="H36" s="95"/>
      <c r="I36" s="95"/>
      <c r="J36" s="95"/>
      <c r="K36" s="95"/>
      <c r="L36" s="95"/>
    </row>
    <row r="37" spans="1:12" ht="18" x14ac:dyDescent="0.35">
      <c r="A37" s="95" t="s">
        <v>588</v>
      </c>
      <c r="B37" s="95">
        <f>SUM(A35,C35,E35)</f>
        <v>32</v>
      </c>
      <c r="C37" s="95"/>
      <c r="D37" s="95"/>
      <c r="E37" s="95"/>
      <c r="F37" s="95"/>
      <c r="G37" s="95"/>
      <c r="H37" s="95"/>
      <c r="I37" s="95"/>
      <c r="J37" s="95"/>
      <c r="K37" s="95"/>
      <c r="L37" s="95"/>
    </row>
    <row r="38" spans="1:12" x14ac:dyDescent="0.25">
      <c r="A38" s="95" t="s">
        <v>589</v>
      </c>
      <c r="B38" s="95">
        <f>COUNT(A35:E35)</f>
        <v>5</v>
      </c>
      <c r="C38" s="95"/>
      <c r="D38" s="95"/>
      <c r="E38" s="95"/>
      <c r="F38" s="95"/>
      <c r="G38" s="95"/>
      <c r="H38" s="95"/>
      <c r="I38" s="95"/>
      <c r="J38" s="95"/>
      <c r="K38" s="95"/>
      <c r="L38" s="95"/>
    </row>
    <row r="39" spans="1:12" x14ac:dyDescent="0.25">
      <c r="A39" s="95" t="s">
        <v>590</v>
      </c>
      <c r="B39" s="95">
        <v>58</v>
      </c>
      <c r="C39" s="95"/>
      <c r="D39" s="95"/>
      <c r="E39" s="95"/>
      <c r="F39" s="95"/>
      <c r="G39" s="95"/>
      <c r="H39" s="95"/>
      <c r="I39" s="95"/>
      <c r="J39" s="95"/>
      <c r="K39" s="95"/>
      <c r="L39" s="95"/>
    </row>
    <row r="40" spans="1:12" x14ac:dyDescent="0.25">
      <c r="A40" s="95" t="s">
        <v>591</v>
      </c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</row>
    <row r="41" spans="1:12" x14ac:dyDescent="0.25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</row>
    <row r="42" spans="1:12" x14ac:dyDescent="0.25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</row>
    <row r="43" spans="1:12" x14ac:dyDescent="0.25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</row>
    <row r="44" spans="1:12" x14ac:dyDescent="0.25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</row>
    <row r="45" spans="1:12" x14ac:dyDescent="0.25">
      <c r="A45" s="95" t="s">
        <v>592</v>
      </c>
      <c r="B45" s="95">
        <f>((2*B36*B37)/(B36+B37))+1</f>
        <v>29.689655172413794</v>
      </c>
      <c r="C45" s="95"/>
      <c r="D45" s="95"/>
      <c r="E45" s="95"/>
      <c r="F45" s="95"/>
      <c r="G45" s="95"/>
      <c r="H45" s="95"/>
      <c r="I45" s="95"/>
      <c r="J45" s="95"/>
      <c r="K45" s="95"/>
      <c r="L45" s="95"/>
    </row>
    <row r="46" spans="1:12" x14ac:dyDescent="0.25">
      <c r="A46" s="95" t="s">
        <v>593</v>
      </c>
      <c r="B46" s="95">
        <f>(2*B36*B37*(2*B36*B37-B36-B37))/((B36+B37)*(B36+B37)*(B36+B37-1))</f>
        <v>13.936958925256064</v>
      </c>
      <c r="C46" s="95"/>
      <c r="D46" s="95"/>
      <c r="E46" s="95"/>
      <c r="F46" s="95"/>
      <c r="G46" s="95"/>
      <c r="H46" s="95"/>
      <c r="I46" s="95"/>
      <c r="J46" s="95"/>
      <c r="K46" s="95"/>
      <c r="L46" s="95"/>
    </row>
    <row r="47" spans="1:12" x14ac:dyDescent="0.25">
      <c r="A47" s="95" t="s">
        <v>594</v>
      </c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</row>
    <row r="48" spans="1:12" x14ac:dyDescent="0.25">
      <c r="A48" s="95">
        <f>B45-B46</f>
        <v>15.752696247157729</v>
      </c>
      <c r="B48" s="98" t="s">
        <v>579</v>
      </c>
      <c r="C48" s="98" t="s">
        <v>589</v>
      </c>
      <c r="D48" s="98" t="s">
        <v>579</v>
      </c>
      <c r="E48" s="95">
        <f>B45+B46</f>
        <v>43.626614097669858</v>
      </c>
      <c r="F48" s="95"/>
      <c r="G48" s="95"/>
      <c r="H48" s="95"/>
      <c r="I48" s="95"/>
      <c r="J48" s="95"/>
      <c r="K48" s="95"/>
      <c r="L48" s="95"/>
    </row>
    <row r="49" spans="1:12" x14ac:dyDescent="0.25">
      <c r="A49" s="95" t="s">
        <v>595</v>
      </c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</row>
    <row r="50" spans="1:12" x14ac:dyDescent="0.25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</row>
    <row r="51" spans="1:12" x14ac:dyDescent="0.25">
      <c r="A51" s="97" t="s">
        <v>642</v>
      </c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</row>
    <row r="52" spans="1:12" x14ac:dyDescent="0.25">
      <c r="A52" s="74" t="s">
        <v>596</v>
      </c>
      <c r="B52" s="104">
        <f>2*(1-'Тренд (лин)'!L14)</f>
        <v>6.6613381477509392E-16</v>
      </c>
      <c r="C52" s="95"/>
      <c r="D52" s="95"/>
      <c r="E52" s="95"/>
      <c r="F52" s="95"/>
      <c r="G52" s="95"/>
      <c r="H52" s="95"/>
      <c r="I52" s="95"/>
      <c r="J52" s="95"/>
      <c r="K52" s="95"/>
      <c r="L52" s="95"/>
    </row>
    <row r="53" spans="1:12" x14ac:dyDescent="0.25">
      <c r="A53" s="95" t="s">
        <v>638</v>
      </c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</row>
    <row r="54" spans="1:12" x14ac:dyDescent="0.25">
      <c r="A54" s="95" t="s">
        <v>639</v>
      </c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</row>
    <row r="55" spans="1:12" x14ac:dyDescent="0.25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</row>
    <row r="56" spans="1:12" x14ac:dyDescent="0.25">
      <c r="A56" s="66"/>
      <c r="B56" s="151"/>
      <c r="C56" s="151"/>
      <c r="D56" s="151"/>
      <c r="E56" s="66"/>
      <c r="F56" s="66"/>
      <c r="G56" s="66"/>
      <c r="H56" s="66"/>
      <c r="I56" s="66"/>
      <c r="J56" s="66"/>
      <c r="K56" s="66"/>
      <c r="L56" s="95"/>
    </row>
    <row r="57" spans="1:12" x14ac:dyDescent="0.25">
      <c r="A57" s="196"/>
      <c r="B57" s="197"/>
      <c r="C57" s="197"/>
      <c r="D57" s="153"/>
      <c r="E57" s="153"/>
      <c r="F57" s="153"/>
      <c r="G57" s="153"/>
      <c r="H57" s="153"/>
      <c r="I57" s="153"/>
      <c r="J57" s="153"/>
      <c r="K57" s="66"/>
      <c r="L57" s="135"/>
    </row>
    <row r="58" spans="1:12" x14ac:dyDescent="0.25">
      <c r="A58" s="66"/>
      <c r="B58" s="66"/>
      <c r="C58" s="197"/>
      <c r="D58" s="153"/>
      <c r="E58" s="152"/>
      <c r="F58" s="152"/>
      <c r="G58" s="152"/>
      <c r="H58" s="152"/>
      <c r="I58" s="152"/>
      <c r="J58" s="153"/>
      <c r="K58" s="66"/>
      <c r="L58" s="135"/>
    </row>
    <row r="59" spans="1:12" x14ac:dyDescent="0.25">
      <c r="A59" s="196"/>
      <c r="B59" s="66"/>
      <c r="C59" s="66"/>
      <c r="D59" s="71"/>
      <c r="E59" s="71"/>
      <c r="F59" s="71"/>
      <c r="G59" s="71"/>
      <c r="H59" s="71"/>
      <c r="I59" s="71"/>
      <c r="J59" s="71"/>
      <c r="K59" s="66"/>
      <c r="L59" s="135"/>
    </row>
    <row r="60" spans="1:12" x14ac:dyDescent="0.25">
      <c r="A60" s="198"/>
      <c r="B60" s="66"/>
      <c r="C60" s="66"/>
      <c r="D60" s="66"/>
      <c r="E60" s="66"/>
      <c r="F60" s="66"/>
      <c r="G60" s="66"/>
      <c r="H60" s="66"/>
      <c r="I60" s="66"/>
      <c r="J60" s="71"/>
      <c r="K60" s="66"/>
      <c r="L60" s="135"/>
    </row>
    <row r="61" spans="1:12" x14ac:dyDescent="0.25">
      <c r="A61" s="73"/>
      <c r="B61" s="66"/>
      <c r="C61" s="152"/>
      <c r="D61" s="66"/>
      <c r="E61" s="66"/>
      <c r="F61" s="66"/>
      <c r="G61" s="66"/>
      <c r="H61" s="66"/>
      <c r="I61" s="66"/>
      <c r="J61" s="151"/>
      <c r="K61" s="66"/>
      <c r="L61" s="135"/>
    </row>
    <row r="62" spans="1:12" x14ac:dyDescent="0.25">
      <c r="A62" s="196"/>
      <c r="B62" s="70"/>
      <c r="C62" s="152"/>
      <c r="D62" s="66"/>
      <c r="E62" s="66"/>
      <c r="F62" s="66"/>
      <c r="G62" s="66"/>
      <c r="H62" s="66"/>
      <c r="I62" s="66"/>
      <c r="J62" s="151"/>
      <c r="K62" s="66"/>
      <c r="L62" s="135"/>
    </row>
    <row r="63" spans="1:12" x14ac:dyDescent="0.25">
      <c r="A63" s="196"/>
      <c r="B63" s="70"/>
      <c r="C63" s="152"/>
      <c r="D63" s="66"/>
      <c r="E63" s="66"/>
      <c r="F63" s="66"/>
      <c r="G63" s="66"/>
      <c r="H63" s="66"/>
      <c r="I63" s="66"/>
      <c r="J63" s="151"/>
      <c r="K63" s="66"/>
      <c r="L63" s="135"/>
    </row>
    <row r="64" spans="1:12" x14ac:dyDescent="0.25">
      <c r="A64" s="196"/>
      <c r="B64" s="70"/>
      <c r="C64" s="152"/>
      <c r="D64" s="66"/>
      <c r="E64" s="66"/>
      <c r="F64" s="66"/>
      <c r="G64" s="66"/>
      <c r="H64" s="66"/>
      <c r="I64" s="66"/>
      <c r="J64" s="151"/>
      <c r="K64" s="66"/>
      <c r="L64" s="135"/>
    </row>
    <row r="65" spans="1:12" x14ac:dyDescent="0.25">
      <c r="A65" s="155"/>
      <c r="B65" s="70"/>
      <c r="C65" s="152"/>
      <c r="D65" s="66"/>
      <c r="E65" s="66"/>
      <c r="F65" s="66"/>
      <c r="G65" s="66"/>
      <c r="H65" s="66"/>
      <c r="I65" s="66"/>
      <c r="J65" s="151"/>
      <c r="K65" s="66"/>
      <c r="L65" s="135"/>
    </row>
  </sheetData>
  <hyperlinks>
    <hyperlink ref="A4" location="'Исслед сезон'!A1:L15" display=" 1.1.  Построим график исходных уровней временного ряда"/>
    <hyperlink ref="A7" location="'Исслед сезон'!C18:Q34" display="и построим коррелограмму"/>
    <hyperlink ref="A13" location="'Тренд (лин)'!P3:AA18" display="2.1. Проведем аналитическое выравнивание ряда (T+E) с помощью линейного тренда. "/>
    <hyperlink ref="A6" location="'Исслед сезон'!A18:A72" display=" 1.2. Для подтверждения или провержения выводов о наличии сезонности рассчитаем последовательные значения автокорреляции"/>
    <hyperlink ref="A16" location="'Тренд (лин)'!K4:O6" display="2.2. Рассчёт t-  и F-статистики показывают, что значимо как уравнение в целом, так и его коэффициенты"/>
    <hyperlink ref="A17" location="'Тренд (лин)'!L9" display="2.3. Уравнением регрессии объясняется 68% результирующего показателя"/>
    <hyperlink ref="A18" location="'Тренд (лин)'!L12" display="2.4. Средняя ошибка аппроксимации равна 5.1, что говорит о хорошем качестве уравнения."/>
    <hyperlink ref="A19" location="'Тренд (лин)'!N21:X27" display="2.5. При проверке предпосылок МНК было обнаружено нарушение первой и четвёртой предпосылок"/>
    <hyperlink ref="A25" location="'Тренд (лин)'!K43:M49" display="Построим с помощью функции ЛИНЕЙН вспомогательную модель по Y=ɛ, X=ɛt-1"/>
    <hyperlink ref="A20" location="'Тренд (лин)'!L14" display="2.5. Коэффициент автокорреляции первого порядка равен 1, следовательно тенденция имимеет линейную форму."/>
    <hyperlink ref="A32" location="'Тренд (лин)'!D4:D61" display="Этот метод основан на определении знаков отклонений"/>
    <hyperlink ref="A21" location="'АД тренд (лин)'!A1" display="2.7. Проверили расчёты с помощью АНАЛИЗА ДАННЫХ"/>
    <hyperlink ref="A22" location="'АД тренд (лин)'!D24:D82" display="2.8. Cтандартные остатки АНАЛИЗА ДАННЫХ находятся в пределах допустимых значений [-2;2] =&gt; Выбросы отсутствуют.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1"/>
  <sheetViews>
    <sheetView zoomScaleNormal="100" workbookViewId="0">
      <selection activeCell="A4" sqref="A4"/>
    </sheetView>
  </sheetViews>
  <sheetFormatPr defaultRowHeight="15" x14ac:dyDescent="0.25"/>
  <cols>
    <col min="1" max="1" width="14.7109375" customWidth="1"/>
    <col min="2" max="2" width="10.5703125" customWidth="1"/>
  </cols>
  <sheetData>
    <row r="1" spans="1:12" x14ac:dyDescent="0.25">
      <c r="A1" s="105" t="s">
        <v>643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</row>
    <row r="2" spans="1:12" ht="18" x14ac:dyDescent="0.35">
      <c r="A2" s="106" t="s">
        <v>644</v>
      </c>
      <c r="B2" s="93"/>
      <c r="C2" s="93"/>
      <c r="D2" s="95"/>
      <c r="E2" s="95"/>
      <c r="F2" s="95"/>
      <c r="G2" s="95"/>
      <c r="H2" s="95"/>
      <c r="I2" s="95"/>
      <c r="J2" s="95"/>
      <c r="K2" s="95"/>
      <c r="L2" s="95"/>
    </row>
    <row r="3" spans="1:12" x14ac:dyDescent="0.25">
      <c r="A3" s="107" t="s">
        <v>645</v>
      </c>
      <c r="B3" s="93"/>
      <c r="C3" s="93"/>
      <c r="D3" s="95"/>
      <c r="E3" s="95"/>
      <c r="F3" s="95"/>
      <c r="G3" s="95"/>
      <c r="H3" s="95"/>
      <c r="I3" s="95"/>
      <c r="J3" s="95"/>
      <c r="K3" s="95"/>
      <c r="L3" s="95"/>
    </row>
    <row r="4" spans="1:12" x14ac:dyDescent="0.25">
      <c r="A4" s="90" t="s">
        <v>658</v>
      </c>
      <c r="B4" s="92"/>
      <c r="C4" s="92"/>
      <c r="D4" s="89"/>
      <c r="E4" s="89"/>
      <c r="F4" s="89"/>
      <c r="G4" s="89"/>
      <c r="H4" s="89"/>
      <c r="I4" s="89"/>
      <c r="J4" s="89"/>
      <c r="K4" s="66"/>
      <c r="L4" s="74"/>
    </row>
    <row r="5" spans="1:12" ht="18" x14ac:dyDescent="0.35">
      <c r="A5" s="96" t="s">
        <v>648</v>
      </c>
      <c r="B5" s="96"/>
      <c r="C5" s="92"/>
      <c r="D5" s="89"/>
      <c r="E5" s="88"/>
      <c r="F5" s="88"/>
      <c r="G5" s="88"/>
      <c r="H5" s="88"/>
      <c r="I5" s="88"/>
      <c r="J5" s="89"/>
      <c r="K5" s="66"/>
      <c r="L5" s="74"/>
    </row>
    <row r="6" spans="1:12" x14ac:dyDescent="0.25">
      <c r="A6" s="90" t="s">
        <v>659</v>
      </c>
      <c r="B6" s="74"/>
      <c r="C6" s="74"/>
      <c r="D6" s="71"/>
      <c r="E6" s="71"/>
      <c r="F6" s="71"/>
      <c r="G6" s="71"/>
      <c r="H6" s="71"/>
      <c r="I6" s="71"/>
      <c r="J6" s="71"/>
      <c r="K6" s="66"/>
      <c r="L6" s="74"/>
    </row>
    <row r="7" spans="1:12" x14ac:dyDescent="0.25">
      <c r="A7" s="91" t="s">
        <v>660</v>
      </c>
      <c r="B7" s="74"/>
      <c r="C7" s="74"/>
      <c r="D7" s="66"/>
      <c r="E7" s="66"/>
      <c r="F7" s="66"/>
      <c r="G7" s="66"/>
      <c r="H7" s="66"/>
      <c r="I7" s="66"/>
      <c r="J7" s="71"/>
      <c r="K7" s="66"/>
      <c r="L7" s="74"/>
    </row>
    <row r="8" spans="1:12" x14ac:dyDescent="0.25">
      <c r="A8" s="73" t="s">
        <v>661</v>
      </c>
      <c r="B8" s="74"/>
      <c r="C8" s="88"/>
      <c r="D8" s="66"/>
      <c r="E8" s="66"/>
      <c r="F8" s="66"/>
      <c r="G8" s="66"/>
      <c r="H8" s="66"/>
      <c r="I8" s="66"/>
      <c r="J8" s="87"/>
      <c r="K8" s="66"/>
      <c r="L8" s="74"/>
    </row>
    <row r="9" spans="1:12" x14ac:dyDescent="0.25">
      <c r="A9" s="90" t="s">
        <v>662</v>
      </c>
      <c r="B9" s="70"/>
      <c r="C9" s="88"/>
      <c r="D9" s="66"/>
      <c r="E9" s="66"/>
      <c r="F9" s="66"/>
      <c r="G9" s="66"/>
      <c r="H9" s="66"/>
      <c r="I9" s="66"/>
      <c r="J9" s="87"/>
      <c r="K9" s="66"/>
      <c r="L9" s="74"/>
    </row>
    <row r="10" spans="1:12" x14ac:dyDescent="0.25">
      <c r="A10" s="90" t="s">
        <v>663</v>
      </c>
      <c r="B10" s="70"/>
      <c r="C10" s="88"/>
      <c r="D10" s="66"/>
      <c r="E10" s="66"/>
      <c r="F10" s="66"/>
      <c r="G10" s="66"/>
      <c r="H10" s="66"/>
      <c r="I10" s="66"/>
      <c r="J10" s="87"/>
      <c r="K10" s="66"/>
      <c r="L10" s="74"/>
    </row>
    <row r="11" spans="1:12" s="74" customFormat="1" x14ac:dyDescent="0.25">
      <c r="A11" s="155" t="s">
        <v>771</v>
      </c>
      <c r="B11" s="70"/>
      <c r="C11" s="88"/>
      <c r="D11" s="66"/>
      <c r="E11" s="66"/>
      <c r="F11" s="66"/>
      <c r="G11" s="66"/>
      <c r="H11" s="66"/>
      <c r="I11" s="66"/>
      <c r="J11" s="87"/>
      <c r="K11" s="66"/>
    </row>
    <row r="12" spans="1:12" s="135" customFormat="1" x14ac:dyDescent="0.25">
      <c r="A12" s="155"/>
      <c r="B12" s="70"/>
      <c r="C12" s="152"/>
      <c r="D12" s="66"/>
      <c r="E12" s="66"/>
      <c r="F12" s="66"/>
      <c r="G12" s="66"/>
      <c r="H12" s="66"/>
      <c r="I12" s="66"/>
      <c r="J12" s="151"/>
      <c r="K12" s="66"/>
    </row>
    <row r="13" spans="1:12" x14ac:dyDescent="0.25">
      <c r="A13" s="97" t="s">
        <v>655</v>
      </c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</row>
    <row r="14" spans="1:12" x14ac:dyDescent="0.25">
      <c r="A14" s="95" t="s">
        <v>578</v>
      </c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</row>
    <row r="15" spans="1:12" x14ac:dyDescent="0.25">
      <c r="A15" s="69" t="s">
        <v>582</v>
      </c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</row>
    <row r="16" spans="1:12" x14ac:dyDescent="0.25">
      <c r="A16" s="95" t="s">
        <v>583</v>
      </c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</row>
    <row r="17" spans="1:18" x14ac:dyDescent="0.25">
      <c r="A17" s="98" t="s">
        <v>635</v>
      </c>
      <c r="B17" s="95"/>
      <c r="C17" s="99" t="s">
        <v>581</v>
      </c>
      <c r="D17" s="95"/>
      <c r="E17" s="95"/>
      <c r="F17" s="95"/>
      <c r="G17" s="95"/>
      <c r="H17" s="95"/>
      <c r="I17" s="95"/>
      <c r="J17" s="95"/>
      <c r="K17" s="95"/>
      <c r="L17" s="95"/>
    </row>
    <row r="18" spans="1:18" x14ac:dyDescent="0.25">
      <c r="A18" s="95">
        <f>57*'Y от Х1'!O47</f>
        <v>40.521115143026854</v>
      </c>
      <c r="B18" s="98" t="s">
        <v>580</v>
      </c>
      <c r="C18" s="95">
        <f>_xlfn.CHISQ.INV.RT(0.05,1)</f>
        <v>3.8414588206941236</v>
      </c>
      <c r="D18" s="95"/>
      <c r="E18" s="95"/>
      <c r="F18" s="95"/>
      <c r="G18" s="95"/>
      <c r="H18" s="95"/>
      <c r="I18" s="95"/>
      <c r="J18" s="95"/>
      <c r="K18" s="95"/>
      <c r="L18" s="95"/>
    </row>
    <row r="19" spans="1:18" x14ac:dyDescent="0.25">
      <c r="A19" s="95" t="s">
        <v>584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</row>
    <row r="20" spans="1:18" x14ac:dyDescent="0.25">
      <c r="A20" s="95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</row>
    <row r="21" spans="1:18" x14ac:dyDescent="0.25">
      <c r="A21" s="97" t="s">
        <v>656</v>
      </c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R21" s="63"/>
    </row>
    <row r="22" spans="1:18" x14ac:dyDescent="0.25">
      <c r="A22" s="69" t="s">
        <v>585</v>
      </c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63"/>
      <c r="N22" s="63"/>
      <c r="O22" s="63"/>
      <c r="P22" s="63"/>
      <c r="Q22" s="63"/>
      <c r="R22" s="63"/>
    </row>
    <row r="23" spans="1:18" x14ac:dyDescent="0.25">
      <c r="A23" s="74" t="s">
        <v>586</v>
      </c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</row>
    <row r="24" spans="1:18" x14ac:dyDescent="0.25">
      <c r="A24" s="98" t="s">
        <v>627</v>
      </c>
      <c r="B24" s="98" t="s">
        <v>628</v>
      </c>
      <c r="C24" s="98" t="s">
        <v>636</v>
      </c>
      <c r="D24" s="98" t="s">
        <v>628</v>
      </c>
      <c r="E24" s="98" t="s">
        <v>636</v>
      </c>
      <c r="F24" s="98" t="s">
        <v>628</v>
      </c>
      <c r="G24" s="98" t="s">
        <v>627</v>
      </c>
      <c r="H24" s="98" t="s">
        <v>637</v>
      </c>
      <c r="I24" s="95"/>
      <c r="J24" s="95"/>
      <c r="K24" s="95"/>
      <c r="L24" s="95"/>
    </row>
    <row r="25" spans="1:18" x14ac:dyDescent="0.25">
      <c r="A25" s="98">
        <f>COUNT('Y от Х1'!E3:E9)</f>
        <v>7</v>
      </c>
      <c r="B25" s="98">
        <f>COUNT('Y от Х1'!E10:E12)</f>
        <v>3</v>
      </c>
      <c r="C25" s="98">
        <f>COUNT('Y от Х1'!E13)</f>
        <v>1</v>
      </c>
      <c r="D25" s="98">
        <f>COUNT('Y от Х1'!E14:E26)</f>
        <v>13</v>
      </c>
      <c r="E25" s="98">
        <f>COUNT('Y от Х1'!E27:E36)</f>
        <v>10</v>
      </c>
      <c r="F25">
        <f>COUNT('Y от Х1'!E37:E51)</f>
        <v>15</v>
      </c>
      <c r="G25" s="95">
        <f>COUNT('Y от Х1'!E52:E60)</f>
        <v>9</v>
      </c>
      <c r="H25" s="95">
        <f>SUM(A25:G25)</f>
        <v>58</v>
      </c>
      <c r="I25" s="95"/>
      <c r="J25" s="95"/>
      <c r="K25" s="95"/>
      <c r="L25" s="95"/>
    </row>
    <row r="26" spans="1:18" ht="18" x14ac:dyDescent="0.35">
      <c r="A26" s="95" t="s">
        <v>587</v>
      </c>
      <c r="B26" s="95">
        <f>SUM(B25,D25,F25)</f>
        <v>31</v>
      </c>
      <c r="C26" s="95"/>
      <c r="D26" s="95"/>
      <c r="E26" s="95"/>
      <c r="F26" s="95"/>
      <c r="G26" s="95"/>
      <c r="H26" s="95"/>
      <c r="I26" s="95"/>
      <c r="J26" s="95"/>
      <c r="K26" s="95"/>
      <c r="L26" s="95"/>
    </row>
    <row r="27" spans="1:18" ht="18" x14ac:dyDescent="0.35">
      <c r="A27" s="95" t="s">
        <v>588</v>
      </c>
      <c r="B27" s="95">
        <f>SUM(A25,C25,E25,G25)</f>
        <v>27</v>
      </c>
      <c r="C27" s="95"/>
      <c r="D27" s="95"/>
      <c r="E27" s="95"/>
      <c r="F27" s="95"/>
      <c r="G27" s="95"/>
      <c r="H27" s="95"/>
      <c r="I27" s="95"/>
      <c r="J27" s="95"/>
      <c r="K27" s="95"/>
      <c r="L27" s="95"/>
    </row>
    <row r="28" spans="1:18" x14ac:dyDescent="0.25">
      <c r="A28" s="95" t="s">
        <v>589</v>
      </c>
      <c r="B28" s="95">
        <f>COUNT(A25:G25)</f>
        <v>7</v>
      </c>
      <c r="C28" s="95"/>
      <c r="D28" s="95"/>
      <c r="E28" s="95"/>
      <c r="F28" s="95"/>
      <c r="G28" s="95"/>
      <c r="H28" s="95"/>
      <c r="I28" s="95"/>
      <c r="J28" s="95"/>
      <c r="K28" s="95"/>
      <c r="L28" s="95"/>
    </row>
    <row r="29" spans="1:18" x14ac:dyDescent="0.25">
      <c r="A29" s="95" t="s">
        <v>590</v>
      </c>
      <c r="B29" s="95">
        <v>58</v>
      </c>
      <c r="C29" s="95"/>
      <c r="D29" s="95"/>
      <c r="E29" s="95"/>
      <c r="F29" s="95"/>
      <c r="G29" s="95"/>
      <c r="H29" s="95"/>
      <c r="I29" s="95"/>
      <c r="J29" s="95"/>
      <c r="K29" s="95"/>
      <c r="L29" s="95"/>
    </row>
    <row r="30" spans="1:18" x14ac:dyDescent="0.25">
      <c r="A30" s="95" t="s">
        <v>591</v>
      </c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</row>
    <row r="31" spans="1:18" x14ac:dyDescent="0.25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</row>
    <row r="32" spans="1:18" x14ac:dyDescent="0.25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</row>
    <row r="33" spans="1:12" x14ac:dyDescent="0.25">
      <c r="A33" s="95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</row>
    <row r="34" spans="1:12" x14ac:dyDescent="0.25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</row>
    <row r="35" spans="1:12" x14ac:dyDescent="0.25">
      <c r="A35" s="95" t="s">
        <v>592</v>
      </c>
      <c r="B35" s="95">
        <f>((2*B26*B27)/(B26+B27))+1</f>
        <v>29.862068965517242</v>
      </c>
      <c r="C35" s="95"/>
      <c r="D35" s="95"/>
      <c r="E35" s="95"/>
      <c r="F35" s="95"/>
      <c r="G35" s="95"/>
      <c r="H35" s="95"/>
      <c r="I35" s="95"/>
      <c r="J35" s="95"/>
      <c r="K35" s="95"/>
      <c r="L35" s="95"/>
    </row>
    <row r="36" spans="1:12" x14ac:dyDescent="0.25">
      <c r="A36" s="95" t="s">
        <v>593</v>
      </c>
      <c r="B36" s="95">
        <f>(2*B26*B27*(2*B26*B27-B26-B27))/((B26+B27)*(B26+B27)*(B26+B27-1))</f>
        <v>14.108016772013267</v>
      </c>
      <c r="C36" s="95"/>
      <c r="D36" s="95"/>
      <c r="E36" s="95"/>
      <c r="F36" s="95"/>
      <c r="G36" s="95"/>
      <c r="H36" s="95"/>
      <c r="I36" s="95"/>
      <c r="J36" s="95"/>
      <c r="K36" s="95"/>
      <c r="L36" s="95"/>
    </row>
    <row r="37" spans="1:12" x14ac:dyDescent="0.25">
      <c r="A37" s="95" t="s">
        <v>594</v>
      </c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</row>
    <row r="38" spans="1:12" x14ac:dyDescent="0.25">
      <c r="A38" s="95">
        <f>B35-B36</f>
        <v>15.754052193503975</v>
      </c>
      <c r="B38" s="98" t="s">
        <v>579</v>
      </c>
      <c r="C38" s="98" t="s">
        <v>589</v>
      </c>
      <c r="D38" s="98" t="s">
        <v>579</v>
      </c>
      <c r="E38" s="95">
        <f>B35+B36</f>
        <v>43.970085737530511</v>
      </c>
      <c r="F38" s="95"/>
      <c r="G38" s="95"/>
      <c r="H38" s="95"/>
      <c r="I38" s="95"/>
      <c r="J38" s="95"/>
      <c r="K38" s="95"/>
      <c r="L38" s="95"/>
    </row>
    <row r="39" spans="1:12" x14ac:dyDescent="0.25">
      <c r="A39" s="95" t="s">
        <v>595</v>
      </c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</row>
    <row r="40" spans="1:12" x14ac:dyDescent="0.25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</row>
    <row r="41" spans="1:12" x14ac:dyDescent="0.25">
      <c r="A41" s="97" t="s">
        <v>657</v>
      </c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</row>
    <row r="42" spans="1:12" x14ac:dyDescent="0.25">
      <c r="A42" s="95" t="s">
        <v>597</v>
      </c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</row>
    <row r="43" spans="1:12" x14ac:dyDescent="0.25">
      <c r="K43" s="95"/>
      <c r="L43" s="95"/>
    </row>
    <row r="44" spans="1:12" x14ac:dyDescent="0.25">
      <c r="K44" s="95"/>
      <c r="L44" s="95"/>
    </row>
    <row r="45" spans="1:12" x14ac:dyDescent="0.25">
      <c r="K45" s="95"/>
      <c r="L45" s="95"/>
    </row>
    <row r="46" spans="1:12" x14ac:dyDescent="0.25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</row>
    <row r="47" spans="1:12" x14ac:dyDescent="0.25">
      <c r="A47" s="74" t="s">
        <v>596</v>
      </c>
      <c r="B47" s="112">
        <f>'Y от Х1'!H61/'Y от Х1'!G61</f>
        <v>-2.0336012078656395E-3</v>
      </c>
      <c r="C47" s="95"/>
      <c r="D47" s="95"/>
      <c r="E47" s="95"/>
      <c r="F47" s="95"/>
      <c r="G47" s="95"/>
      <c r="H47" s="95"/>
      <c r="I47" s="95"/>
      <c r="J47" s="95"/>
      <c r="K47" s="95"/>
      <c r="L47" s="95"/>
    </row>
    <row r="48" spans="1:12" ht="18" x14ac:dyDescent="0.35">
      <c r="A48" s="114" t="s">
        <v>664</v>
      </c>
      <c r="B48" s="114"/>
      <c r="C48" s="114"/>
      <c r="D48" s="114"/>
      <c r="E48" s="114"/>
      <c r="F48" s="95"/>
      <c r="G48" s="95"/>
      <c r="H48" s="95"/>
      <c r="I48" s="95"/>
      <c r="J48" s="95"/>
      <c r="K48" s="95"/>
      <c r="L48" s="95"/>
    </row>
    <row r="49" spans="1:12" ht="18" x14ac:dyDescent="0.35">
      <c r="A49" s="114" t="s">
        <v>598</v>
      </c>
      <c r="B49" s="114">
        <v>1.53</v>
      </c>
      <c r="C49" s="114"/>
      <c r="D49" s="114"/>
      <c r="E49" s="114"/>
      <c r="F49" s="95"/>
      <c r="G49" s="95"/>
      <c r="H49" s="95"/>
      <c r="I49" s="95"/>
      <c r="J49" s="95"/>
      <c r="K49" s="95"/>
      <c r="L49" s="95"/>
    </row>
    <row r="50" spans="1:12" ht="18" x14ac:dyDescent="0.35">
      <c r="A50" s="114" t="s">
        <v>599</v>
      </c>
      <c r="B50" s="114">
        <v>1.6</v>
      </c>
      <c r="C50" s="114"/>
      <c r="D50" s="114"/>
      <c r="F50" s="95"/>
      <c r="G50" s="95"/>
      <c r="H50" s="95"/>
      <c r="I50" s="95"/>
      <c r="J50" s="95"/>
      <c r="K50" s="95"/>
      <c r="L50" s="95"/>
    </row>
    <row r="51" spans="1:12" ht="18" x14ac:dyDescent="0.35">
      <c r="A51" s="114">
        <v>0</v>
      </c>
      <c r="B51" s="120" t="s">
        <v>579</v>
      </c>
      <c r="C51" s="120" t="s">
        <v>596</v>
      </c>
      <c r="D51" s="120" t="s">
        <v>579</v>
      </c>
      <c r="E51" s="114" t="s">
        <v>598</v>
      </c>
      <c r="F51" s="95"/>
      <c r="G51" s="95"/>
      <c r="H51" s="95"/>
      <c r="I51" s="95"/>
      <c r="J51" s="95"/>
      <c r="K51" s="95"/>
      <c r="L51" s="95"/>
    </row>
    <row r="52" spans="1:12" x14ac:dyDescent="0.25">
      <c r="A52" s="114" t="s">
        <v>600</v>
      </c>
      <c r="B52" s="114"/>
      <c r="C52" s="114"/>
      <c r="D52" s="114"/>
      <c r="E52" s="114"/>
      <c r="F52" s="95"/>
      <c r="G52" s="95"/>
      <c r="H52" s="95"/>
      <c r="I52" s="95"/>
      <c r="J52" s="95"/>
      <c r="K52" s="95"/>
      <c r="L52" s="95"/>
    </row>
    <row r="53" spans="1:12" x14ac:dyDescent="0.25">
      <c r="A53" s="69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</row>
    <row r="54" spans="1:12" x14ac:dyDescent="0.25">
      <c r="A54" s="69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</row>
    <row r="55" spans="1:12" x14ac:dyDescent="0.25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</row>
    <row r="56" spans="1:12" x14ac:dyDescent="0.25">
      <c r="A56" s="98"/>
      <c r="B56" s="95"/>
      <c r="C56" s="99"/>
      <c r="D56" s="95"/>
      <c r="E56" s="95"/>
      <c r="F56" s="95"/>
      <c r="G56" s="95"/>
      <c r="H56" s="95"/>
      <c r="I56" s="95"/>
      <c r="J56" s="95"/>
      <c r="K56" s="95"/>
      <c r="L56" s="95"/>
    </row>
    <row r="57" spans="1:12" x14ac:dyDescent="0.25">
      <c r="A57" s="95"/>
      <c r="B57" s="98"/>
      <c r="C57" s="95"/>
      <c r="D57" s="95"/>
      <c r="E57" s="95"/>
      <c r="F57" s="95"/>
      <c r="G57" s="95"/>
      <c r="H57" s="95"/>
      <c r="I57" s="95"/>
      <c r="J57" s="95"/>
      <c r="K57" s="95"/>
      <c r="L57" s="95"/>
    </row>
    <row r="58" spans="1:12" x14ac:dyDescent="0.25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</row>
    <row r="59" spans="1:12" x14ac:dyDescent="0.25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</row>
    <row r="60" spans="1:12" x14ac:dyDescent="0.25">
      <c r="A60" s="97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</row>
    <row r="61" spans="1:12" x14ac:dyDescent="0.25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</row>
    <row r="62" spans="1:12" x14ac:dyDescent="0.25">
      <c r="A62" s="69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</row>
    <row r="63" spans="1:12" x14ac:dyDescent="0.25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</row>
    <row r="64" spans="1:12" x14ac:dyDescent="0.25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</row>
    <row r="65" spans="1:12" x14ac:dyDescent="0.25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</row>
    <row r="66" spans="1:12" x14ac:dyDescent="0.25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</row>
    <row r="67" spans="1:12" x14ac:dyDescent="0.25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</row>
    <row r="68" spans="1:12" x14ac:dyDescent="0.25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</row>
    <row r="69" spans="1:12" x14ac:dyDescent="0.25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</row>
    <row r="70" spans="1:12" x14ac:dyDescent="0.25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</row>
    <row r="71" spans="1:12" x14ac:dyDescent="0.25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</row>
    <row r="72" spans="1:12" x14ac:dyDescent="0.25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</row>
    <row r="73" spans="1:12" x14ac:dyDescent="0.25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</row>
    <row r="74" spans="1:12" x14ac:dyDescent="0.25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1:12" x14ac:dyDescent="0.25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1:12" x14ac:dyDescent="0.25">
      <c r="A76" s="95"/>
      <c r="B76" s="98"/>
      <c r="C76" s="98"/>
      <c r="D76" s="98"/>
      <c r="E76" s="95"/>
      <c r="F76" s="95"/>
      <c r="G76" s="95"/>
      <c r="H76" s="95"/>
      <c r="I76" s="95"/>
      <c r="J76" s="95"/>
      <c r="K76" s="95"/>
      <c r="L76" s="95"/>
    </row>
    <row r="77" spans="1:12" x14ac:dyDescent="0.25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1:12" x14ac:dyDescent="0.25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1:12" x14ac:dyDescent="0.25">
      <c r="A79" s="97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1:12" x14ac:dyDescent="0.25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1:12" x14ac:dyDescent="0.25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1:12" x14ac:dyDescent="0.25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1:12" x14ac:dyDescent="0.25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1:12" x14ac:dyDescent="0.25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1:12" x14ac:dyDescent="0.25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</row>
    <row r="86" spans="1:12" x14ac:dyDescent="0.25">
      <c r="A86" s="69"/>
      <c r="B86" s="100"/>
      <c r="C86" s="95"/>
      <c r="D86" s="95"/>
      <c r="E86" s="95"/>
      <c r="F86" s="95"/>
      <c r="G86" s="95"/>
      <c r="H86" s="95"/>
      <c r="I86" s="95"/>
      <c r="J86" s="95"/>
      <c r="K86" s="95"/>
      <c r="L86" s="95"/>
    </row>
    <row r="87" spans="1:12" x14ac:dyDescent="0.25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</row>
    <row r="88" spans="1:12" x14ac:dyDescent="0.25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</row>
    <row r="89" spans="1:12" x14ac:dyDescent="0.25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</row>
    <row r="90" spans="1:12" x14ac:dyDescent="0.25">
      <c r="A90" s="95"/>
      <c r="B90" s="98"/>
      <c r="C90" s="98"/>
      <c r="D90" s="98"/>
      <c r="E90" s="95"/>
      <c r="F90" s="95"/>
      <c r="G90" s="95"/>
      <c r="H90" s="95"/>
      <c r="I90" s="95"/>
      <c r="J90" s="95"/>
      <c r="K90" s="95"/>
      <c r="L90" s="95"/>
    </row>
    <row r="91" spans="1:12" x14ac:dyDescent="0.25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</row>
  </sheetData>
  <hyperlinks>
    <hyperlink ref="A6" location="'Y от Х1'!N4:R6" display="1.2. Рассчёт t-  и F-статистики показывают, что значимо как уравнение в целом, так и его коэффициенты"/>
    <hyperlink ref="A7" location="'Y от Х1'!O9" display="1.3. Уравнением регрессии объясняется 94% результирующего показателя"/>
    <hyperlink ref="A8" location="'Y от Х1'!O12" display="1.4. Средняя ошибка аппроксимации равна 2.24, что говорит о хорошем качестве уравнения."/>
    <hyperlink ref="A9" location="'Y от Х1'!Q21:W27" display="1.5. При проверке предпосылок МНК было обнаружено нарушение четвёртой предпосылки"/>
    <hyperlink ref="A15" location="'Y от Х1'!O43:P49" display="Построим с помощью функции ЛИНЕЙН вспомогательную модель по Y=ɛ, X=ɛt-1"/>
    <hyperlink ref="A22" location="'Y от Х1'!E4:E61" display="Этот метод основан на определении знаков отклонений"/>
    <hyperlink ref="A10" location="'АД Y от Х1'!A1" display="2.7. Проверили расчёты с помощью АНАЛИЗА ДАННЫХ"/>
    <hyperlink ref="A4" location="'Y от Х1'!A1" display="2.1. Получили уравнение вида:"/>
    <hyperlink ref="A11" location="'АД Y от Х1'!D24:D82" display="1.7. Cтандартные остатки АНАЛИЗА ДАННЫХ находятся в пределах допустимых значений [-2;2] =&gt; Выбросы отсутствуют."/>
  </hyperlink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"/>
  <sheetViews>
    <sheetView workbookViewId="0">
      <selection activeCell="A4" sqref="A4"/>
    </sheetView>
  </sheetViews>
  <sheetFormatPr defaultRowHeight="15" x14ac:dyDescent="0.25"/>
  <cols>
    <col min="1" max="1" width="12.140625" customWidth="1"/>
  </cols>
  <sheetData>
    <row r="1" spans="1:13" x14ac:dyDescent="0.25">
      <c r="A1" s="105" t="s">
        <v>665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14"/>
    </row>
    <row r="2" spans="1:13" ht="18" x14ac:dyDescent="0.35">
      <c r="A2" s="106" t="s">
        <v>666</v>
      </c>
      <c r="B2" s="128"/>
      <c r="C2" s="128"/>
      <c r="D2" s="130"/>
      <c r="E2" s="130"/>
      <c r="F2" s="130"/>
      <c r="G2" s="130"/>
      <c r="H2" s="130"/>
      <c r="I2" s="130"/>
      <c r="J2" s="130"/>
      <c r="K2" s="130"/>
      <c r="L2" s="130"/>
      <c r="M2" s="114"/>
    </row>
    <row r="3" spans="1:13" x14ac:dyDescent="0.25">
      <c r="A3" s="107" t="s">
        <v>645</v>
      </c>
      <c r="B3" s="128"/>
      <c r="C3" s="128"/>
      <c r="D3" s="130"/>
      <c r="E3" s="130"/>
      <c r="F3" s="130"/>
      <c r="G3" s="130"/>
      <c r="H3" s="130"/>
      <c r="I3" s="130"/>
      <c r="J3" s="130"/>
      <c r="K3" s="130"/>
      <c r="L3" s="130"/>
      <c r="M3" s="114"/>
    </row>
    <row r="4" spans="1:13" x14ac:dyDescent="0.25">
      <c r="A4" s="155" t="s">
        <v>658</v>
      </c>
      <c r="B4" s="127"/>
      <c r="C4" s="127"/>
      <c r="D4" s="124"/>
      <c r="E4" s="124"/>
      <c r="F4" s="124"/>
      <c r="G4" s="124"/>
      <c r="H4" s="124"/>
      <c r="I4" s="124"/>
      <c r="J4" s="124"/>
      <c r="K4" s="66"/>
      <c r="L4" s="114"/>
      <c r="M4" s="114"/>
    </row>
    <row r="5" spans="1:13" ht="18" x14ac:dyDescent="0.35">
      <c r="A5" s="131" t="s">
        <v>668</v>
      </c>
      <c r="B5" s="131"/>
      <c r="C5" s="127"/>
      <c r="D5" s="124"/>
      <c r="E5" s="123"/>
      <c r="F5" s="123"/>
      <c r="G5" s="123"/>
      <c r="H5" s="123"/>
      <c r="I5" s="123"/>
      <c r="J5" s="124"/>
      <c r="K5" s="66"/>
      <c r="L5" s="114"/>
      <c r="M5" s="114"/>
    </row>
    <row r="6" spans="1:13" x14ac:dyDescent="0.25">
      <c r="A6" s="125" t="s">
        <v>659</v>
      </c>
      <c r="B6" s="114"/>
      <c r="C6" s="114"/>
      <c r="D6" s="71"/>
      <c r="E6" s="71"/>
      <c r="F6" s="71"/>
      <c r="G6" s="71"/>
      <c r="H6" s="71"/>
      <c r="I6" s="71"/>
      <c r="J6" s="71"/>
      <c r="K6" s="66"/>
      <c r="L6" s="114"/>
      <c r="M6" s="114"/>
    </row>
    <row r="7" spans="1:13" x14ac:dyDescent="0.25">
      <c r="A7" s="126" t="s">
        <v>669</v>
      </c>
      <c r="B7" s="114"/>
      <c r="C7" s="114"/>
      <c r="D7" s="66"/>
      <c r="E7" s="66"/>
      <c r="F7" s="66"/>
      <c r="G7" s="66"/>
      <c r="H7" s="66"/>
      <c r="I7" s="66"/>
      <c r="J7" s="71"/>
      <c r="K7" s="66"/>
      <c r="L7" s="114"/>
      <c r="M7" s="114"/>
    </row>
    <row r="8" spans="1:13" x14ac:dyDescent="0.25">
      <c r="A8" s="73" t="s">
        <v>670</v>
      </c>
      <c r="B8" s="114"/>
      <c r="C8" s="123"/>
      <c r="D8" s="66"/>
      <c r="E8" s="66"/>
      <c r="F8" s="66"/>
      <c r="G8" s="66"/>
      <c r="H8" s="66"/>
      <c r="I8" s="66"/>
      <c r="J8" s="122"/>
      <c r="K8" s="66"/>
      <c r="L8" s="114"/>
      <c r="M8" s="114"/>
    </row>
    <row r="9" spans="1:13" x14ac:dyDescent="0.25">
      <c r="A9" s="125" t="s">
        <v>662</v>
      </c>
      <c r="B9" s="70"/>
      <c r="C9" s="123"/>
      <c r="D9" s="66"/>
      <c r="E9" s="66"/>
      <c r="F9" s="66"/>
      <c r="G9" s="66"/>
      <c r="H9" s="66"/>
      <c r="I9" s="66"/>
      <c r="J9" s="122"/>
      <c r="K9" s="66"/>
      <c r="L9" s="114"/>
      <c r="M9" s="114"/>
    </row>
    <row r="10" spans="1:13" x14ac:dyDescent="0.25">
      <c r="A10" s="125" t="s">
        <v>663</v>
      </c>
      <c r="B10" s="70"/>
      <c r="C10" s="123"/>
      <c r="D10" s="66"/>
      <c r="E10" s="66"/>
      <c r="F10" s="66"/>
      <c r="G10" s="66"/>
      <c r="H10" s="66"/>
      <c r="I10" s="66"/>
      <c r="J10" s="122"/>
      <c r="K10" s="66"/>
      <c r="L10" s="114"/>
      <c r="M10" s="114"/>
    </row>
    <row r="11" spans="1:13" x14ac:dyDescent="0.25">
      <c r="A11" s="155" t="s">
        <v>771</v>
      </c>
      <c r="B11" s="70"/>
      <c r="C11" s="123"/>
      <c r="D11" s="66"/>
      <c r="E11" s="66"/>
      <c r="F11" s="66"/>
      <c r="G11" s="66"/>
      <c r="H11" s="66"/>
      <c r="I11" s="66"/>
      <c r="J11" s="122"/>
      <c r="K11" s="66"/>
      <c r="L11" s="114"/>
      <c r="M11" s="114"/>
    </row>
    <row r="12" spans="1:13" s="135" customFormat="1" x14ac:dyDescent="0.25">
      <c r="A12" s="155"/>
      <c r="B12" s="70"/>
      <c r="C12" s="152"/>
      <c r="D12" s="66"/>
      <c r="E12" s="66"/>
      <c r="F12" s="66"/>
      <c r="G12" s="66"/>
      <c r="H12" s="66"/>
      <c r="I12" s="66"/>
      <c r="J12" s="151"/>
      <c r="K12" s="66"/>
    </row>
    <row r="13" spans="1:13" x14ac:dyDescent="0.25">
      <c r="A13" s="97" t="s">
        <v>655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14"/>
    </row>
    <row r="14" spans="1:13" x14ac:dyDescent="0.25">
      <c r="A14" s="130" t="s">
        <v>578</v>
      </c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14"/>
    </row>
    <row r="15" spans="1:13" x14ac:dyDescent="0.25">
      <c r="A15" s="69" t="s">
        <v>582</v>
      </c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14"/>
    </row>
    <row r="16" spans="1:13" x14ac:dyDescent="0.25">
      <c r="A16" s="130" t="s">
        <v>583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14"/>
    </row>
    <row r="17" spans="1:13" x14ac:dyDescent="0.25">
      <c r="A17" s="98" t="s">
        <v>635</v>
      </c>
      <c r="B17" s="130"/>
      <c r="C17" s="99" t="s">
        <v>581</v>
      </c>
      <c r="D17" s="130"/>
      <c r="E17" s="130"/>
      <c r="F17" s="130"/>
      <c r="G17" s="130"/>
      <c r="H17" s="130"/>
      <c r="I17" s="130"/>
      <c r="J17" s="130"/>
      <c r="K17" s="130"/>
      <c r="L17" s="130"/>
      <c r="M17" s="114"/>
    </row>
    <row r="18" spans="1:13" x14ac:dyDescent="0.25">
      <c r="A18" s="130">
        <f>57*'Y от Х2'!O47</f>
        <v>48.616515781295512</v>
      </c>
      <c r="B18" s="98" t="s">
        <v>580</v>
      </c>
      <c r="C18" s="130">
        <f>_xlfn.CHISQ.INV.RT(0.05,1)</f>
        <v>3.8414588206941236</v>
      </c>
      <c r="D18" s="130"/>
      <c r="E18" s="130"/>
      <c r="F18" s="130"/>
      <c r="G18" s="130"/>
      <c r="H18" s="130"/>
      <c r="I18" s="130"/>
      <c r="J18" s="130"/>
      <c r="K18" s="130"/>
      <c r="L18" s="130"/>
      <c r="M18" s="114"/>
    </row>
    <row r="19" spans="1:13" x14ac:dyDescent="0.25">
      <c r="A19" s="130" t="s">
        <v>584</v>
      </c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14"/>
    </row>
    <row r="20" spans="1:13" x14ac:dyDescent="0.25">
      <c r="A20" s="130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14"/>
    </row>
    <row r="21" spans="1:13" x14ac:dyDescent="0.25">
      <c r="A21" s="97" t="s">
        <v>656</v>
      </c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14"/>
    </row>
    <row r="22" spans="1:13" x14ac:dyDescent="0.25">
      <c r="A22" s="69" t="s">
        <v>585</v>
      </c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29"/>
    </row>
    <row r="23" spans="1:13" x14ac:dyDescent="0.25">
      <c r="A23" s="114" t="s">
        <v>586</v>
      </c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14"/>
    </row>
    <row r="24" spans="1:13" x14ac:dyDescent="0.25">
      <c r="A24" s="98" t="s">
        <v>627</v>
      </c>
      <c r="B24" s="98" t="s">
        <v>628</v>
      </c>
      <c r="C24" s="98" t="s">
        <v>636</v>
      </c>
      <c r="D24" s="98" t="s">
        <v>628</v>
      </c>
      <c r="E24" s="98" t="s">
        <v>636</v>
      </c>
      <c r="F24" s="98" t="s">
        <v>628</v>
      </c>
      <c r="G24" s="98" t="s">
        <v>627</v>
      </c>
      <c r="H24" s="98" t="s">
        <v>637</v>
      </c>
      <c r="I24" s="130"/>
      <c r="J24" s="130"/>
      <c r="K24" s="130"/>
      <c r="L24" s="130"/>
      <c r="M24" s="114"/>
    </row>
    <row r="25" spans="1:13" x14ac:dyDescent="0.25">
      <c r="A25" s="98">
        <f>COUNT('Y от Х2'!E3:E9)</f>
        <v>7</v>
      </c>
      <c r="B25" s="98">
        <f>COUNT('Y от Х2'!E10:E18)</f>
        <v>9</v>
      </c>
      <c r="C25" s="98">
        <f>COUNT('Y от Х2'!E19:E33)</f>
        <v>15</v>
      </c>
      <c r="D25" s="98">
        <f>COUNT('Y от Х2'!E34:E46)</f>
        <v>13</v>
      </c>
      <c r="E25" s="98">
        <f>COUNT('Y от Х2'!E47:E50)</f>
        <v>4</v>
      </c>
      <c r="F25" s="114">
        <f>COUNT('Y от Х2'!E51)</f>
        <v>1</v>
      </c>
      <c r="G25" s="130">
        <f>COUNT('Y от Х2'!E52:E60)</f>
        <v>9</v>
      </c>
      <c r="H25" s="130">
        <f>SUM(A25:G25)</f>
        <v>58</v>
      </c>
      <c r="I25" s="130"/>
      <c r="J25" s="130"/>
      <c r="K25" s="130"/>
      <c r="L25" s="130"/>
      <c r="M25" s="114"/>
    </row>
    <row r="26" spans="1:13" ht="18" x14ac:dyDescent="0.35">
      <c r="A26" s="130" t="s">
        <v>587</v>
      </c>
      <c r="B26" s="130">
        <f>SUM(B25,D25,F25)</f>
        <v>23</v>
      </c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14"/>
    </row>
    <row r="27" spans="1:13" ht="18" x14ac:dyDescent="0.35">
      <c r="A27" s="130" t="s">
        <v>588</v>
      </c>
      <c r="B27" s="130">
        <f>SUM(A25,C25,E25,G25)</f>
        <v>35</v>
      </c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14"/>
    </row>
    <row r="28" spans="1:13" x14ac:dyDescent="0.25">
      <c r="A28" s="130" t="s">
        <v>589</v>
      </c>
      <c r="B28" s="130">
        <f>COUNT(A25:G25)</f>
        <v>7</v>
      </c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14"/>
    </row>
    <row r="29" spans="1:13" x14ac:dyDescent="0.25">
      <c r="A29" s="130" t="s">
        <v>590</v>
      </c>
      <c r="B29" s="130">
        <v>58</v>
      </c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14"/>
    </row>
    <row r="30" spans="1:13" x14ac:dyDescent="0.25">
      <c r="A30" s="130" t="s">
        <v>591</v>
      </c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14"/>
    </row>
    <row r="31" spans="1:13" x14ac:dyDescent="0.25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14"/>
    </row>
    <row r="32" spans="1:13" x14ac:dyDescent="0.2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14"/>
    </row>
    <row r="33" spans="1:13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14"/>
    </row>
    <row r="34" spans="1:13" x14ac:dyDescent="0.25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14"/>
    </row>
    <row r="35" spans="1:13" x14ac:dyDescent="0.25">
      <c r="A35" s="130" t="s">
        <v>592</v>
      </c>
      <c r="B35" s="130">
        <f>((2*B26*B27)/(B26+B27))+1</f>
        <v>28.758620689655171</v>
      </c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14"/>
    </row>
    <row r="36" spans="1:13" x14ac:dyDescent="0.25">
      <c r="A36" s="130" t="s">
        <v>593</v>
      </c>
      <c r="B36" s="130">
        <f>(2*B26*B27*(2*B26*B27-B26-B27))/((B26+B27)*(B26+B27)*(B26+B27-1))</f>
        <v>13.031270208815737</v>
      </c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14"/>
    </row>
    <row r="37" spans="1:13" x14ac:dyDescent="0.25">
      <c r="A37" s="130" t="s">
        <v>594</v>
      </c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14"/>
    </row>
    <row r="38" spans="1:13" x14ac:dyDescent="0.25">
      <c r="A38" s="130">
        <f>B35-B36</f>
        <v>15.727350480839434</v>
      </c>
      <c r="B38" s="98" t="s">
        <v>579</v>
      </c>
      <c r="C38" s="98" t="s">
        <v>589</v>
      </c>
      <c r="D38" s="98" t="s">
        <v>579</v>
      </c>
      <c r="E38" s="130">
        <f>B35+B36</f>
        <v>41.789890898470908</v>
      </c>
      <c r="F38" s="130"/>
      <c r="G38" s="130"/>
      <c r="H38" s="130"/>
      <c r="I38" s="130"/>
      <c r="J38" s="130"/>
      <c r="K38" s="130"/>
      <c r="L38" s="130"/>
      <c r="M38" s="114"/>
    </row>
    <row r="39" spans="1:13" x14ac:dyDescent="0.25">
      <c r="A39" s="130" t="s">
        <v>595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14"/>
    </row>
    <row r="40" spans="1:13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14"/>
    </row>
    <row r="41" spans="1:13" x14ac:dyDescent="0.25">
      <c r="A41" s="97" t="s">
        <v>657</v>
      </c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14"/>
    </row>
    <row r="42" spans="1:13" x14ac:dyDescent="0.25">
      <c r="A42" s="130" t="s">
        <v>597</v>
      </c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14"/>
    </row>
    <row r="43" spans="1:13" x14ac:dyDescent="0.25">
      <c r="A43" s="114"/>
      <c r="B43" s="114"/>
      <c r="C43" s="114"/>
      <c r="D43" s="114"/>
      <c r="E43" s="114"/>
      <c r="F43" s="114"/>
      <c r="G43" s="114"/>
      <c r="H43" s="114"/>
      <c r="I43" s="114"/>
      <c r="J43" s="114"/>
      <c r="K43" s="130"/>
      <c r="L43" s="130"/>
      <c r="M43" s="114"/>
    </row>
    <row r="44" spans="1:13" x14ac:dyDescent="0.25">
      <c r="A44" s="114"/>
      <c r="B44" s="114"/>
      <c r="C44" s="114"/>
      <c r="D44" s="114"/>
      <c r="E44" s="114"/>
      <c r="F44" s="114"/>
      <c r="G44" s="114"/>
      <c r="H44" s="114"/>
      <c r="I44" s="114"/>
      <c r="J44" s="114"/>
      <c r="K44" s="130"/>
      <c r="L44" s="130"/>
      <c r="M44" s="114"/>
    </row>
    <row r="45" spans="1:13" x14ac:dyDescent="0.25">
      <c r="A45" s="114"/>
      <c r="B45" s="114"/>
      <c r="C45" s="114"/>
      <c r="D45" s="114"/>
      <c r="E45" s="114"/>
      <c r="F45" s="114"/>
      <c r="G45" s="114"/>
      <c r="H45" s="114"/>
      <c r="I45" s="114"/>
      <c r="J45" s="114"/>
      <c r="K45" s="130"/>
      <c r="L45" s="130"/>
      <c r="M45" s="114"/>
    </row>
    <row r="46" spans="1:13" x14ac:dyDescent="0.25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14"/>
    </row>
    <row r="47" spans="1:13" x14ac:dyDescent="0.25">
      <c r="A47" s="114" t="s">
        <v>596</v>
      </c>
      <c r="B47" s="112">
        <f>'Y от Х2'!H61/'Y от Х2'!G61</f>
        <v>-8.18031305711381E-4</v>
      </c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14"/>
    </row>
    <row r="48" spans="1:13" ht="18" x14ac:dyDescent="0.35">
      <c r="A48" s="114" t="s">
        <v>664</v>
      </c>
      <c r="B48" s="114"/>
      <c r="C48" s="114"/>
      <c r="D48" s="114"/>
      <c r="E48" s="114"/>
      <c r="F48" s="130"/>
      <c r="G48" s="130"/>
      <c r="H48" s="130"/>
      <c r="I48" s="130"/>
      <c r="J48" s="130"/>
      <c r="K48" s="130"/>
      <c r="L48" s="130"/>
      <c r="M48" s="114"/>
    </row>
    <row r="49" spans="1:13" ht="18" x14ac:dyDescent="0.35">
      <c r="A49" s="114" t="s">
        <v>598</v>
      </c>
      <c r="B49" s="114">
        <v>1.53</v>
      </c>
      <c r="C49" s="114"/>
      <c r="D49" s="114"/>
      <c r="E49" s="114"/>
      <c r="F49" s="130"/>
      <c r="G49" s="130"/>
      <c r="H49" s="130"/>
      <c r="I49" s="130"/>
      <c r="J49" s="130"/>
      <c r="K49" s="130"/>
      <c r="L49" s="130"/>
      <c r="M49" s="114"/>
    </row>
    <row r="50" spans="1:13" ht="18" x14ac:dyDescent="0.35">
      <c r="A50" s="114" t="s">
        <v>599</v>
      </c>
      <c r="B50" s="114">
        <v>1.6</v>
      </c>
      <c r="C50" s="114"/>
      <c r="D50" s="114"/>
      <c r="E50" s="114"/>
      <c r="F50" s="130"/>
      <c r="G50" s="130"/>
      <c r="H50" s="130"/>
      <c r="I50" s="130"/>
      <c r="J50" s="130"/>
      <c r="K50" s="130"/>
      <c r="L50" s="130"/>
      <c r="M50" s="114"/>
    </row>
    <row r="51" spans="1:13" ht="18" x14ac:dyDescent="0.35">
      <c r="A51" s="114">
        <v>0</v>
      </c>
      <c r="B51" s="120" t="s">
        <v>579</v>
      </c>
      <c r="C51" s="120" t="s">
        <v>596</v>
      </c>
      <c r="D51" s="120" t="s">
        <v>579</v>
      </c>
      <c r="E51" s="114" t="s">
        <v>598</v>
      </c>
      <c r="F51" s="130"/>
      <c r="G51" s="130"/>
      <c r="H51" s="130"/>
      <c r="I51" s="130"/>
      <c r="J51" s="130"/>
      <c r="K51" s="130"/>
      <c r="L51" s="130"/>
      <c r="M51" s="114"/>
    </row>
    <row r="52" spans="1:13" x14ac:dyDescent="0.25">
      <c r="A52" s="114" t="s">
        <v>600</v>
      </c>
      <c r="B52" s="114"/>
      <c r="C52" s="114"/>
      <c r="D52" s="114"/>
      <c r="E52" s="114"/>
      <c r="F52" s="130"/>
      <c r="G52" s="130"/>
      <c r="H52" s="130"/>
      <c r="I52" s="130"/>
      <c r="J52" s="130"/>
      <c r="K52" s="130"/>
      <c r="L52" s="130"/>
      <c r="M52" s="114"/>
    </row>
    <row r="53" spans="1:13" x14ac:dyDescent="0.25">
      <c r="A53" s="69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14"/>
    </row>
    <row r="54" spans="1:13" x14ac:dyDescent="0.25">
      <c r="A54" s="69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14"/>
    </row>
    <row r="55" spans="1:13" x14ac:dyDescent="0.2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14"/>
    </row>
    <row r="56" spans="1:13" x14ac:dyDescent="0.25">
      <c r="A56" s="98"/>
      <c r="B56" s="130"/>
      <c r="C56" s="99"/>
      <c r="D56" s="130"/>
      <c r="E56" s="130"/>
      <c r="F56" s="130"/>
      <c r="G56" s="130"/>
      <c r="H56" s="130"/>
      <c r="I56" s="130"/>
      <c r="J56" s="130"/>
      <c r="K56" s="130"/>
      <c r="L56" s="130"/>
      <c r="M56" s="114"/>
    </row>
    <row r="57" spans="1:13" x14ac:dyDescent="0.25">
      <c r="A57" s="130"/>
      <c r="B57" s="98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14"/>
    </row>
    <row r="58" spans="1:13" x14ac:dyDescent="0.25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14"/>
    </row>
    <row r="59" spans="1:13" x14ac:dyDescent="0.25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14"/>
    </row>
    <row r="60" spans="1:13" x14ac:dyDescent="0.25">
      <c r="A60" s="97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14"/>
    </row>
    <row r="61" spans="1:13" x14ac:dyDescent="0.25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14"/>
    </row>
    <row r="62" spans="1:13" x14ac:dyDescent="0.25">
      <c r="A62" s="69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14"/>
    </row>
    <row r="63" spans="1:13" x14ac:dyDescent="0.25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14"/>
    </row>
    <row r="64" spans="1:13" x14ac:dyDescent="0.25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14"/>
    </row>
    <row r="65" spans="1:13" x14ac:dyDescent="0.2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14"/>
    </row>
    <row r="66" spans="1:13" x14ac:dyDescent="0.25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14"/>
    </row>
    <row r="67" spans="1:13" x14ac:dyDescent="0.25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14"/>
    </row>
    <row r="68" spans="1:13" x14ac:dyDescent="0.25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14"/>
    </row>
    <row r="69" spans="1:13" x14ac:dyDescent="0.25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14"/>
    </row>
    <row r="70" spans="1:13" x14ac:dyDescent="0.25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14"/>
    </row>
    <row r="71" spans="1:13" x14ac:dyDescent="0.25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14"/>
    </row>
    <row r="72" spans="1:13" x14ac:dyDescent="0.25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14"/>
    </row>
    <row r="73" spans="1:13" x14ac:dyDescent="0.25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14"/>
    </row>
    <row r="74" spans="1:13" x14ac:dyDescent="0.25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14"/>
    </row>
    <row r="75" spans="1:13" x14ac:dyDescent="0.2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14"/>
    </row>
    <row r="76" spans="1:13" x14ac:dyDescent="0.25">
      <c r="A76" s="130"/>
      <c r="B76" s="98"/>
      <c r="C76" s="98"/>
      <c r="D76" s="98"/>
      <c r="E76" s="130"/>
      <c r="F76" s="130"/>
      <c r="G76" s="130"/>
      <c r="H76" s="130"/>
      <c r="I76" s="130"/>
      <c r="J76" s="130"/>
      <c r="K76" s="130"/>
      <c r="L76" s="130"/>
      <c r="M76" s="114"/>
    </row>
    <row r="77" spans="1:13" x14ac:dyDescent="0.25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14"/>
    </row>
    <row r="78" spans="1:13" x14ac:dyDescent="0.25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14"/>
    </row>
    <row r="79" spans="1:13" x14ac:dyDescent="0.25">
      <c r="A79" s="97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14"/>
    </row>
    <row r="80" spans="1:13" x14ac:dyDescent="0.25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14"/>
    </row>
    <row r="81" spans="1:13" x14ac:dyDescent="0.25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14"/>
    </row>
    <row r="82" spans="1:13" x14ac:dyDescent="0.25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14"/>
    </row>
    <row r="83" spans="1:13" x14ac:dyDescent="0.25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14"/>
    </row>
    <row r="84" spans="1:13" x14ac:dyDescent="0.25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14"/>
    </row>
    <row r="85" spans="1:13" x14ac:dyDescent="0.2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14"/>
    </row>
    <row r="86" spans="1:13" x14ac:dyDescent="0.25">
      <c r="A86" s="69"/>
      <c r="B86" s="10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14"/>
    </row>
    <row r="87" spans="1:13" x14ac:dyDescent="0.25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14"/>
    </row>
    <row r="88" spans="1:13" x14ac:dyDescent="0.25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14"/>
    </row>
    <row r="89" spans="1:13" x14ac:dyDescent="0.25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14"/>
    </row>
    <row r="90" spans="1:13" x14ac:dyDescent="0.25">
      <c r="A90" s="130"/>
      <c r="B90" s="98"/>
      <c r="C90" s="98"/>
      <c r="D90" s="98"/>
      <c r="E90" s="130"/>
      <c r="F90" s="130"/>
      <c r="G90" s="130"/>
      <c r="H90" s="130"/>
      <c r="I90" s="130"/>
      <c r="J90" s="130"/>
      <c r="K90" s="130"/>
      <c r="L90" s="130"/>
      <c r="M90" s="114"/>
    </row>
    <row r="91" spans="1:13" x14ac:dyDescent="0.25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14"/>
    </row>
    <row r="92" spans="1:13" x14ac:dyDescent="0.25">
      <c r="A92" s="114"/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</row>
    <row r="93" spans="1:13" x14ac:dyDescent="0.25">
      <c r="A93" s="114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</row>
    <row r="94" spans="1:13" x14ac:dyDescent="0.25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</row>
    <row r="95" spans="1:13" x14ac:dyDescent="0.25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</row>
    <row r="96" spans="1:13" x14ac:dyDescent="0.25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</row>
    <row r="97" spans="1:13" x14ac:dyDescent="0.25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</row>
    <row r="98" spans="1:13" x14ac:dyDescent="0.25">
      <c r="A98" s="114"/>
      <c r="B98" s="114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</row>
    <row r="99" spans="1:13" x14ac:dyDescent="0.25">
      <c r="A99" s="114"/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</row>
    <row r="100" spans="1:13" x14ac:dyDescent="0.25">
      <c r="A100" s="114"/>
      <c r="B100" s="114"/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</row>
    <row r="101" spans="1:13" x14ac:dyDescent="0.25">
      <c r="A101" s="114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</row>
    <row r="102" spans="1:13" x14ac:dyDescent="0.25">
      <c r="A102" s="114"/>
      <c r="B102" s="114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</row>
    <row r="103" spans="1:13" x14ac:dyDescent="0.25">
      <c r="A103" s="114"/>
      <c r="B103" s="114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</row>
    <row r="104" spans="1:13" x14ac:dyDescent="0.25">
      <c r="A104" s="114"/>
      <c r="B104" s="114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</row>
    <row r="105" spans="1:13" x14ac:dyDescent="0.25">
      <c r="A105" s="114"/>
      <c r="B105" s="114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</row>
  </sheetData>
  <hyperlinks>
    <hyperlink ref="A6" location="'Y от Х2'!N4:R6" display="1.2. Рассчёт t-  и F-статистики показывают, что значимо как уравнение в целом, так и его коэффициенты"/>
    <hyperlink ref="A7" location="'Y от Х2'!O9" display="1.3. Уравнением регрессии объясняется 94% результирующего показателя"/>
    <hyperlink ref="A8" location="'Y от Х2'!O12" display="1.4. Средняя ошибка аппроксимации равна 2.24, что говорит о хорошем качестве уравнения."/>
    <hyperlink ref="A9" location="'Y от Х2'!Q21:W27" display="1.5. При проверке предпосылок МНК было обнаружено нарушение четвёртой предпосылки"/>
    <hyperlink ref="A15" location="'Y от Х2'!O43:P49" display="Построим с помощью функции ЛИНЕЙН вспомогательную модель по Y=ɛ, X=ɛt-1"/>
    <hyperlink ref="A22" location="'Y от Х2'!E4:E61" display="Этот метод основан на определении знаков отклонений"/>
    <hyperlink ref="A10" location="'АД Y от Х2'!A1" display="1.6. Проверили расчёты с помощью АНАЛИЗА ДАННЫХ"/>
    <hyperlink ref="A4" location="'Y от Х2'!A1" display="1.1. Получили уравнение вида:"/>
    <hyperlink ref="A11" location="'АД Y от Х2'!D24:D82" display="1.7. Cтандартные остатки АНАЛИЗА ДАННЫХ находятся в пределах допустимых значений [-2;2] =&gt; Выбросы отсутствуют.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workbookViewId="0">
      <selection activeCell="A4" sqref="A4"/>
    </sheetView>
  </sheetViews>
  <sheetFormatPr defaultRowHeight="15" x14ac:dyDescent="0.25"/>
  <cols>
    <col min="1" max="1" width="12.140625" customWidth="1"/>
  </cols>
  <sheetData>
    <row r="1" spans="1:13" x14ac:dyDescent="0.25">
      <c r="A1" s="105" t="s">
        <v>680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14"/>
    </row>
    <row r="2" spans="1:13" ht="18" x14ac:dyDescent="0.35">
      <c r="A2" s="106" t="s">
        <v>671</v>
      </c>
      <c r="B2" s="128"/>
      <c r="C2" s="128"/>
      <c r="D2" s="130"/>
      <c r="E2" s="130"/>
      <c r="F2" s="130"/>
      <c r="G2" s="130"/>
      <c r="H2" s="130"/>
      <c r="I2" s="130"/>
      <c r="J2" s="130"/>
      <c r="K2" s="130"/>
      <c r="L2" s="130"/>
      <c r="M2" s="114"/>
    </row>
    <row r="3" spans="1:13" x14ac:dyDescent="0.25">
      <c r="A3" s="107" t="s">
        <v>645</v>
      </c>
      <c r="B3" s="128"/>
      <c r="C3" s="128"/>
      <c r="D3" s="130"/>
      <c r="E3" s="130"/>
      <c r="F3" s="130"/>
      <c r="G3" s="130"/>
      <c r="H3" s="130"/>
      <c r="I3" s="130"/>
      <c r="J3" s="130"/>
      <c r="K3" s="130"/>
      <c r="L3" s="130"/>
      <c r="M3" s="114"/>
    </row>
    <row r="4" spans="1:13" x14ac:dyDescent="0.25">
      <c r="A4" s="125" t="s">
        <v>658</v>
      </c>
      <c r="B4" s="127"/>
      <c r="C4" s="127"/>
      <c r="D4" s="124"/>
      <c r="E4" s="124"/>
      <c r="F4" s="124"/>
      <c r="G4" s="124"/>
      <c r="H4" s="124"/>
      <c r="I4" s="124"/>
      <c r="J4" s="124"/>
      <c r="K4" s="66"/>
      <c r="L4" s="114"/>
      <c r="M4" s="114"/>
    </row>
    <row r="5" spans="1:13" ht="18" x14ac:dyDescent="0.35">
      <c r="A5" s="131" t="s">
        <v>684</v>
      </c>
      <c r="B5" s="131"/>
      <c r="C5" s="127"/>
      <c r="D5" s="124"/>
      <c r="E5" s="123"/>
      <c r="F5" s="123"/>
      <c r="G5" s="123"/>
      <c r="H5" s="123"/>
      <c r="I5" s="123"/>
      <c r="J5" s="124"/>
      <c r="K5" s="66"/>
      <c r="L5" s="114"/>
      <c r="M5" s="114"/>
    </row>
    <row r="6" spans="1:13" x14ac:dyDescent="0.25">
      <c r="A6" s="125" t="s">
        <v>659</v>
      </c>
      <c r="B6" s="114"/>
      <c r="C6" s="114"/>
      <c r="D6" s="71"/>
      <c r="E6" s="71"/>
      <c r="F6" s="71"/>
      <c r="G6" s="71"/>
      <c r="H6" s="71"/>
      <c r="I6" s="71"/>
      <c r="J6" s="71"/>
      <c r="K6" s="66"/>
      <c r="L6" s="114"/>
      <c r="M6" s="114"/>
    </row>
    <row r="7" spans="1:13" x14ac:dyDescent="0.25">
      <c r="A7" s="126" t="s">
        <v>677</v>
      </c>
      <c r="B7" s="114"/>
      <c r="C7" s="114"/>
      <c r="D7" s="66"/>
      <c r="E7" s="66"/>
      <c r="F7" s="66"/>
      <c r="G7" s="66"/>
      <c r="H7" s="66"/>
      <c r="I7" s="66"/>
      <c r="J7" s="71"/>
      <c r="K7" s="66"/>
      <c r="L7" s="114"/>
      <c r="M7" s="114"/>
    </row>
    <row r="8" spans="1:13" x14ac:dyDescent="0.25">
      <c r="A8" s="73" t="s">
        <v>678</v>
      </c>
      <c r="B8" s="114"/>
      <c r="C8" s="123"/>
      <c r="D8" s="66"/>
      <c r="E8" s="66"/>
      <c r="F8" s="66"/>
      <c r="G8" s="66"/>
      <c r="H8" s="66"/>
      <c r="I8" s="66"/>
      <c r="J8" s="122"/>
      <c r="K8" s="66"/>
      <c r="L8" s="114"/>
      <c r="M8" s="114"/>
    </row>
    <row r="9" spans="1:13" x14ac:dyDescent="0.25">
      <c r="A9" s="125" t="s">
        <v>662</v>
      </c>
      <c r="B9" s="70"/>
      <c r="C9" s="123"/>
      <c r="D9" s="66"/>
      <c r="E9" s="66"/>
      <c r="F9" s="66"/>
      <c r="G9" s="66"/>
      <c r="H9" s="66"/>
      <c r="I9" s="66"/>
      <c r="J9" s="122"/>
      <c r="K9" s="66"/>
      <c r="L9" s="114"/>
      <c r="M9" s="114"/>
    </row>
    <row r="10" spans="1:13" x14ac:dyDescent="0.25">
      <c r="A10" s="125" t="s">
        <v>663</v>
      </c>
      <c r="B10" s="70"/>
      <c r="C10" s="123"/>
      <c r="D10" s="66"/>
      <c r="E10" s="66"/>
      <c r="F10" s="66"/>
      <c r="G10" s="66"/>
      <c r="H10" s="66"/>
      <c r="I10" s="66"/>
      <c r="J10" s="122"/>
      <c r="K10" s="66"/>
      <c r="L10" s="114"/>
      <c r="M10" s="114"/>
    </row>
    <row r="11" spans="1:13" x14ac:dyDescent="0.25">
      <c r="A11" s="155" t="s">
        <v>771</v>
      </c>
      <c r="B11" s="70"/>
      <c r="C11" s="123"/>
      <c r="D11" s="66"/>
      <c r="E11" s="66"/>
      <c r="F11" s="66"/>
      <c r="G11" s="66"/>
      <c r="H11" s="66"/>
      <c r="I11" s="66"/>
      <c r="J11" s="122"/>
      <c r="K11" s="66"/>
      <c r="L11" s="114"/>
      <c r="M11" s="114"/>
    </row>
    <row r="12" spans="1:13" s="135" customFormat="1" x14ac:dyDescent="0.25">
      <c r="A12" s="155"/>
      <c r="B12" s="70"/>
      <c r="C12" s="152"/>
      <c r="D12" s="66"/>
      <c r="E12" s="66"/>
      <c r="F12" s="66"/>
      <c r="G12" s="66"/>
      <c r="H12" s="66"/>
      <c r="I12" s="66"/>
      <c r="J12" s="151"/>
      <c r="K12" s="66"/>
    </row>
    <row r="13" spans="1:13" x14ac:dyDescent="0.25">
      <c r="A13" s="97" t="s">
        <v>655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14"/>
    </row>
    <row r="14" spans="1:13" x14ac:dyDescent="0.25">
      <c r="A14" s="130" t="s">
        <v>578</v>
      </c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14"/>
    </row>
    <row r="15" spans="1:13" x14ac:dyDescent="0.25">
      <c r="A15" s="69" t="s">
        <v>582</v>
      </c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14"/>
    </row>
    <row r="16" spans="1:13" x14ac:dyDescent="0.25">
      <c r="A16" s="130" t="s">
        <v>583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14"/>
    </row>
    <row r="17" spans="1:13" x14ac:dyDescent="0.25">
      <c r="A17" s="98" t="s">
        <v>635</v>
      </c>
      <c r="B17" s="130"/>
      <c r="C17" s="99" t="s">
        <v>581</v>
      </c>
      <c r="D17" s="130"/>
      <c r="E17" s="130"/>
      <c r="F17" s="130"/>
      <c r="G17" s="130"/>
      <c r="H17" s="130"/>
      <c r="I17" s="130"/>
      <c r="J17" s="130"/>
      <c r="K17" s="130"/>
      <c r="L17" s="130"/>
      <c r="M17" s="114"/>
    </row>
    <row r="18" spans="1:13" x14ac:dyDescent="0.25">
      <c r="A18" s="130">
        <f>57*'Y от Х3'!O47</f>
        <v>47.96922708674159</v>
      </c>
      <c r="B18" s="98" t="s">
        <v>580</v>
      </c>
      <c r="C18" s="130">
        <f>_xlfn.CHISQ.INV.RT(0.05,1)</f>
        <v>3.8414588206941236</v>
      </c>
      <c r="D18" s="130"/>
      <c r="E18" s="130"/>
      <c r="F18" s="130"/>
      <c r="G18" s="130"/>
      <c r="H18" s="130"/>
      <c r="I18" s="130"/>
      <c r="J18" s="130"/>
      <c r="K18" s="130"/>
      <c r="L18" s="130"/>
      <c r="M18" s="114"/>
    </row>
    <row r="19" spans="1:13" x14ac:dyDescent="0.25">
      <c r="A19" s="130" t="s">
        <v>584</v>
      </c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14"/>
    </row>
    <row r="20" spans="1:13" x14ac:dyDescent="0.25">
      <c r="A20" s="130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14"/>
    </row>
    <row r="21" spans="1:13" x14ac:dyDescent="0.25">
      <c r="A21" s="97" t="s">
        <v>656</v>
      </c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14"/>
    </row>
    <row r="22" spans="1:13" x14ac:dyDescent="0.25">
      <c r="A22" s="69" t="s">
        <v>585</v>
      </c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29"/>
    </row>
    <row r="23" spans="1:13" x14ac:dyDescent="0.25">
      <c r="A23" s="114" t="s">
        <v>586</v>
      </c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14"/>
    </row>
    <row r="24" spans="1:13" x14ac:dyDescent="0.25">
      <c r="A24" s="98" t="s">
        <v>627</v>
      </c>
      <c r="B24" s="98" t="s">
        <v>628</v>
      </c>
      <c r="C24" s="98" t="s">
        <v>636</v>
      </c>
      <c r="D24" s="98" t="s">
        <v>628</v>
      </c>
      <c r="E24" s="98" t="s">
        <v>636</v>
      </c>
      <c r="F24" s="98" t="s">
        <v>628</v>
      </c>
      <c r="G24" s="98" t="s">
        <v>637</v>
      </c>
      <c r="I24" s="130"/>
      <c r="J24" s="130"/>
      <c r="K24" s="130"/>
      <c r="L24" s="130"/>
      <c r="M24" s="114"/>
    </row>
    <row r="25" spans="1:13" x14ac:dyDescent="0.25">
      <c r="A25" s="98">
        <f>COUNT('Y от Х3'!E3:E5)</f>
        <v>3</v>
      </c>
      <c r="B25" s="98">
        <f>COUNT('Y от Х3'!E6:E14)</f>
        <v>9</v>
      </c>
      <c r="C25" s="98">
        <f>COUNT('Y от Х3'!E15:E33)</f>
        <v>19</v>
      </c>
      <c r="D25" s="98">
        <f>COUNT('Y от Х3'!E34:E55)</f>
        <v>22</v>
      </c>
      <c r="E25" s="98">
        <f>COUNT('Y от Х3'!E56:E57)</f>
        <v>2</v>
      </c>
      <c r="F25" s="114">
        <f>COUNT('Y от Х3'!E58:E60)</f>
        <v>3</v>
      </c>
      <c r="G25" s="130">
        <f>SUM(A25:F25)</f>
        <v>58</v>
      </c>
      <c r="I25" s="130"/>
      <c r="J25" s="130"/>
      <c r="K25" s="130"/>
      <c r="L25" s="130"/>
      <c r="M25" s="114"/>
    </row>
    <row r="26" spans="1:13" ht="18" x14ac:dyDescent="0.35">
      <c r="A26" s="130" t="s">
        <v>587</v>
      </c>
      <c r="B26" s="130">
        <f>SUM(B25,D25,F25)</f>
        <v>34</v>
      </c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14"/>
    </row>
    <row r="27" spans="1:13" ht="18" x14ac:dyDescent="0.35">
      <c r="A27" s="130" t="s">
        <v>588</v>
      </c>
      <c r="B27" s="130">
        <f>SUM(A25,C25,E25)</f>
        <v>24</v>
      </c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14"/>
    </row>
    <row r="28" spans="1:13" x14ac:dyDescent="0.25">
      <c r="A28" s="130" t="s">
        <v>589</v>
      </c>
      <c r="B28" s="130">
        <f>COUNT(A25:F25)</f>
        <v>6</v>
      </c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14"/>
    </row>
    <row r="29" spans="1:13" x14ac:dyDescent="0.25">
      <c r="A29" s="130" t="s">
        <v>590</v>
      </c>
      <c r="B29" s="130">
        <v>58</v>
      </c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14"/>
    </row>
    <row r="30" spans="1:13" x14ac:dyDescent="0.25">
      <c r="A30" s="130" t="s">
        <v>591</v>
      </c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14"/>
    </row>
    <row r="31" spans="1:13" x14ac:dyDescent="0.25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14"/>
    </row>
    <row r="32" spans="1:13" x14ac:dyDescent="0.2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14"/>
    </row>
    <row r="33" spans="1:13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14"/>
    </row>
    <row r="34" spans="1:13" x14ac:dyDescent="0.25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14"/>
    </row>
    <row r="35" spans="1:13" x14ac:dyDescent="0.25">
      <c r="A35" s="130" t="s">
        <v>592</v>
      </c>
      <c r="B35" s="130">
        <f>((2*B26*B27)/(B26+B27))+1</f>
        <v>29.137931034482758</v>
      </c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14"/>
    </row>
    <row r="36" spans="1:13" x14ac:dyDescent="0.25">
      <c r="A36" s="130" t="s">
        <v>593</v>
      </c>
      <c r="B36" s="130">
        <f>(2*B26*B27*(2*B26*B27-B26-B27))/((B26+B27)*(B26+B27)*(B26+B27-1))</f>
        <v>13.39658301520746</v>
      </c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14"/>
    </row>
    <row r="37" spans="1:13" x14ac:dyDescent="0.25">
      <c r="A37" s="130" t="s">
        <v>594</v>
      </c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14"/>
    </row>
    <row r="38" spans="1:13" x14ac:dyDescent="0.25">
      <c r="A38" s="130">
        <f>B35-B36</f>
        <v>15.741348019275298</v>
      </c>
      <c r="B38" s="98" t="s">
        <v>579</v>
      </c>
      <c r="C38" s="98" t="s">
        <v>589</v>
      </c>
      <c r="D38" s="98" t="s">
        <v>579</v>
      </c>
      <c r="E38" s="130">
        <f>B35+B36</f>
        <v>42.534514049690216</v>
      </c>
      <c r="F38" s="130"/>
      <c r="G38" s="130"/>
      <c r="H38" s="130"/>
      <c r="I38" s="130"/>
      <c r="J38" s="130"/>
      <c r="K38" s="130"/>
      <c r="L38" s="130"/>
      <c r="M38" s="114"/>
    </row>
    <row r="39" spans="1:13" x14ac:dyDescent="0.25">
      <c r="A39" s="130" t="s">
        <v>595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14"/>
    </row>
    <row r="40" spans="1:13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14"/>
    </row>
    <row r="41" spans="1:13" x14ac:dyDescent="0.25">
      <c r="A41" s="97" t="s">
        <v>657</v>
      </c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14"/>
    </row>
    <row r="42" spans="1:13" x14ac:dyDescent="0.25">
      <c r="A42" s="130" t="s">
        <v>597</v>
      </c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14"/>
    </row>
    <row r="43" spans="1:13" x14ac:dyDescent="0.25">
      <c r="A43" s="114"/>
      <c r="B43" s="114"/>
      <c r="C43" s="114"/>
      <c r="D43" s="114"/>
      <c r="E43" s="114"/>
      <c r="F43" s="114"/>
      <c r="G43" s="114"/>
      <c r="H43" s="114"/>
      <c r="I43" s="114"/>
      <c r="J43" s="114"/>
      <c r="K43" s="130"/>
      <c r="L43" s="130"/>
      <c r="M43" s="114"/>
    </row>
    <row r="44" spans="1:13" x14ac:dyDescent="0.25">
      <c r="A44" s="114"/>
      <c r="B44" s="114"/>
      <c r="C44" s="114"/>
      <c r="D44" s="114"/>
      <c r="E44" s="114"/>
      <c r="F44" s="114"/>
      <c r="G44" s="114"/>
      <c r="H44" s="114"/>
      <c r="I44" s="114"/>
      <c r="J44" s="114"/>
      <c r="K44" s="130"/>
      <c r="L44" s="130"/>
      <c r="M44" s="114"/>
    </row>
    <row r="45" spans="1:13" x14ac:dyDescent="0.25">
      <c r="A45" s="114"/>
      <c r="B45" s="114"/>
      <c r="C45" s="114"/>
      <c r="D45" s="114"/>
      <c r="E45" s="114"/>
      <c r="F45" s="114"/>
      <c r="G45" s="114"/>
      <c r="H45" s="114"/>
      <c r="I45" s="114"/>
      <c r="J45" s="114"/>
      <c r="K45" s="130"/>
      <c r="L45" s="130"/>
      <c r="M45" s="114"/>
    </row>
    <row r="46" spans="1:13" x14ac:dyDescent="0.25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14"/>
    </row>
    <row r="47" spans="1:13" x14ac:dyDescent="0.25">
      <c r="A47" s="114" t="s">
        <v>596</v>
      </c>
      <c r="B47" s="112">
        <f>'Y от Х3'!H61/'Y от Х3'!G61</f>
        <v>3.1427673708011796E-3</v>
      </c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14"/>
    </row>
    <row r="48" spans="1:13" ht="18" x14ac:dyDescent="0.35">
      <c r="A48" s="114" t="s">
        <v>664</v>
      </c>
      <c r="B48" s="114"/>
      <c r="C48" s="114"/>
      <c r="D48" s="114"/>
      <c r="E48" s="114"/>
      <c r="F48" s="130"/>
      <c r="G48" s="130"/>
      <c r="H48" s="130"/>
      <c r="I48" s="130"/>
      <c r="J48" s="130"/>
      <c r="K48" s="130"/>
      <c r="L48" s="130"/>
      <c r="M48" s="114"/>
    </row>
    <row r="49" spans="1:13" ht="18" x14ac:dyDescent="0.35">
      <c r="A49" s="114" t="s">
        <v>598</v>
      </c>
      <c r="B49" s="114">
        <v>1.53</v>
      </c>
      <c r="C49" s="114"/>
      <c r="D49" s="114"/>
      <c r="E49" s="114"/>
      <c r="F49" s="130"/>
      <c r="G49" s="130"/>
      <c r="H49" s="130"/>
      <c r="I49" s="130"/>
      <c r="J49" s="130"/>
      <c r="K49" s="130"/>
      <c r="L49" s="130"/>
      <c r="M49" s="114"/>
    </row>
    <row r="50" spans="1:13" ht="18" x14ac:dyDescent="0.35">
      <c r="A50" s="114" t="s">
        <v>599</v>
      </c>
      <c r="B50" s="114">
        <v>1.6</v>
      </c>
      <c r="C50" s="114"/>
      <c r="D50" s="114"/>
      <c r="E50" s="114"/>
      <c r="F50" s="130"/>
      <c r="G50" s="130"/>
      <c r="H50" s="130"/>
      <c r="I50" s="130"/>
      <c r="J50" s="130"/>
      <c r="K50" s="130"/>
      <c r="L50" s="130"/>
      <c r="M50" s="114"/>
    </row>
    <row r="51" spans="1:13" ht="18" x14ac:dyDescent="0.35">
      <c r="A51" s="114">
        <v>0</v>
      </c>
      <c r="B51" s="120" t="s">
        <v>579</v>
      </c>
      <c r="C51" s="120" t="s">
        <v>596</v>
      </c>
      <c r="D51" s="120" t="s">
        <v>579</v>
      </c>
      <c r="E51" s="114" t="s">
        <v>598</v>
      </c>
      <c r="F51" s="130"/>
      <c r="G51" s="130"/>
      <c r="H51" s="130"/>
      <c r="I51" s="130"/>
      <c r="J51" s="130"/>
      <c r="K51" s="130"/>
      <c r="L51" s="130"/>
      <c r="M51" s="114"/>
    </row>
    <row r="52" spans="1:13" x14ac:dyDescent="0.25">
      <c r="A52" s="114" t="s">
        <v>600</v>
      </c>
      <c r="B52" s="114"/>
      <c r="C52" s="114"/>
      <c r="D52" s="114"/>
      <c r="E52" s="114"/>
      <c r="F52" s="130"/>
      <c r="G52" s="130"/>
      <c r="H52" s="130"/>
      <c r="I52" s="130"/>
      <c r="J52" s="130"/>
      <c r="K52" s="130"/>
      <c r="L52" s="130"/>
      <c r="M52" s="114"/>
    </row>
  </sheetData>
  <hyperlinks>
    <hyperlink ref="A6" location="'Y от Х3'!N4:R6" display="1.2. Рассчёт t-  и F-статистики показывают, что значимо как уравнение в целом, так и его коэффициенты"/>
    <hyperlink ref="A7" location="'Y от Х3'!O9" display="1.3. Уравнением регрессии объясняется 79% результирующего показателя"/>
    <hyperlink ref="A8" location="'Y от Х3'!O12" display="1.4. Средняя ошибка аппроксимации равна 4,11, что говорит о хорошем качестве уравнения."/>
    <hyperlink ref="A9" location="'Y от Х3'!Q21:W27" display="1.5. При проверке предпосылок МНК было обнаружено нарушение четвёртой предпосылки"/>
    <hyperlink ref="A15" location="'анализ У от Х3'!O43:P49" display="Построим с помощью функции ЛИНЕЙН вспомогательную модель по Y=ɛ, X=ɛt-1"/>
    <hyperlink ref="A22" location="'Y от Х3'!E4:E61" display="Этот метод основан на определении знаков отклонений"/>
    <hyperlink ref="A10" location="'АД Y от Х3'!A1" display="1.6. Проверили расчёты с помощью АНАЛИЗА ДАННЫХ"/>
    <hyperlink ref="A4" location="'Y от Х3'!A1" display="1.1. Получили уравнение вида:"/>
    <hyperlink ref="A11" location="'АД Y от Х3'!D24:D82" display="1.7. Cтандартные остатки АНАЛИЗА ДАННЫХ находятся в пределах допустимых значений [-2;2] =&gt; Выбросы отсутствуют.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"/>
  <sheetViews>
    <sheetView workbookViewId="0">
      <selection activeCell="A4" sqref="A4"/>
    </sheetView>
  </sheetViews>
  <sheetFormatPr defaultRowHeight="15" x14ac:dyDescent="0.25"/>
  <cols>
    <col min="1" max="1" width="12" customWidth="1"/>
  </cols>
  <sheetData>
    <row r="1" spans="1:14" x14ac:dyDescent="0.25">
      <c r="A1" s="105" t="s">
        <v>681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14"/>
      <c r="N1" s="114"/>
    </row>
    <row r="2" spans="1:14" ht="18" x14ac:dyDescent="0.35">
      <c r="A2" s="106" t="s">
        <v>682</v>
      </c>
      <c r="B2" s="128"/>
      <c r="C2" s="128"/>
      <c r="D2" s="130"/>
      <c r="E2" s="130"/>
      <c r="F2" s="130"/>
      <c r="G2" s="130"/>
      <c r="H2" s="130"/>
      <c r="I2" s="130"/>
      <c r="J2" s="130"/>
      <c r="K2" s="130"/>
      <c r="L2" s="130"/>
      <c r="M2" s="114"/>
      <c r="N2" s="114"/>
    </row>
    <row r="3" spans="1:14" x14ac:dyDescent="0.25">
      <c r="A3" s="107" t="s">
        <v>645</v>
      </c>
      <c r="B3" s="128"/>
      <c r="C3" s="128"/>
      <c r="D3" s="130"/>
      <c r="E3" s="130"/>
      <c r="F3" s="130"/>
      <c r="G3" s="130"/>
      <c r="H3" s="130"/>
      <c r="I3" s="130"/>
      <c r="J3" s="130"/>
      <c r="K3" s="130"/>
      <c r="L3" s="130"/>
      <c r="M3" s="114"/>
      <c r="N3" s="114"/>
    </row>
    <row r="4" spans="1:14" x14ac:dyDescent="0.25">
      <c r="A4" s="125" t="s">
        <v>658</v>
      </c>
      <c r="B4" s="127"/>
      <c r="C4" s="127"/>
      <c r="D4" s="124"/>
      <c r="E4" s="124"/>
      <c r="F4" s="124"/>
      <c r="G4" s="124"/>
      <c r="H4" s="124"/>
      <c r="I4" s="124"/>
      <c r="J4" s="124"/>
      <c r="K4" s="66"/>
      <c r="L4" s="114"/>
      <c r="M4" s="114"/>
      <c r="N4" s="114"/>
    </row>
    <row r="5" spans="1:14" ht="18" x14ac:dyDescent="0.35">
      <c r="A5" s="131" t="s">
        <v>685</v>
      </c>
      <c r="B5" s="131"/>
      <c r="C5" s="127"/>
      <c r="D5" s="124"/>
      <c r="E5" s="123"/>
      <c r="F5" s="123"/>
      <c r="G5" s="123"/>
      <c r="H5" s="123"/>
      <c r="I5" s="123"/>
      <c r="J5" s="124"/>
      <c r="K5" s="66"/>
      <c r="L5" s="114"/>
      <c r="M5" s="114"/>
      <c r="N5" s="114"/>
    </row>
    <row r="6" spans="1:14" x14ac:dyDescent="0.25">
      <c r="A6" s="125" t="s">
        <v>659</v>
      </c>
      <c r="B6" s="114"/>
      <c r="C6" s="114"/>
      <c r="D6" s="71"/>
      <c r="E6" s="71"/>
      <c r="F6" s="71"/>
      <c r="G6" s="71"/>
      <c r="H6" s="71"/>
      <c r="I6" s="71"/>
      <c r="J6" s="71"/>
      <c r="K6" s="66"/>
      <c r="L6" s="114"/>
      <c r="M6" s="114"/>
      <c r="N6" s="114"/>
    </row>
    <row r="7" spans="1:14" x14ac:dyDescent="0.25">
      <c r="A7" s="126" t="s">
        <v>689</v>
      </c>
      <c r="B7" s="114"/>
      <c r="C7" s="114"/>
      <c r="D7" s="66"/>
      <c r="E7" s="66"/>
      <c r="F7" s="66"/>
      <c r="G7" s="66"/>
      <c r="H7" s="66"/>
      <c r="I7" s="66"/>
      <c r="J7" s="71"/>
      <c r="K7" s="66"/>
      <c r="L7" s="114"/>
      <c r="M7" s="114"/>
      <c r="N7" s="114"/>
    </row>
    <row r="8" spans="1:14" x14ac:dyDescent="0.25">
      <c r="A8" s="73" t="s">
        <v>690</v>
      </c>
      <c r="B8" s="114"/>
      <c r="C8" s="123"/>
      <c r="D8" s="66"/>
      <c r="E8" s="66"/>
      <c r="F8" s="66"/>
      <c r="G8" s="66"/>
      <c r="H8" s="66"/>
      <c r="I8" s="66"/>
      <c r="J8" s="122"/>
      <c r="K8" s="66"/>
      <c r="L8" s="114"/>
      <c r="M8" s="114"/>
      <c r="N8" s="114"/>
    </row>
    <row r="9" spans="1:14" x14ac:dyDescent="0.25">
      <c r="A9" s="125" t="s">
        <v>662</v>
      </c>
      <c r="B9" s="70"/>
      <c r="C9" s="123"/>
      <c r="D9" s="66"/>
      <c r="E9" s="66"/>
      <c r="F9" s="66"/>
      <c r="G9" s="66"/>
      <c r="H9" s="66"/>
      <c r="I9" s="66"/>
      <c r="J9" s="122"/>
      <c r="K9" s="66"/>
      <c r="L9" s="114"/>
      <c r="M9" s="114"/>
      <c r="N9" s="114"/>
    </row>
    <row r="10" spans="1:14" x14ac:dyDescent="0.25">
      <c r="A10" s="155" t="s">
        <v>663</v>
      </c>
      <c r="B10" s="70"/>
      <c r="C10" s="123"/>
      <c r="D10" s="66"/>
      <c r="E10" s="66"/>
      <c r="F10" s="66"/>
      <c r="G10" s="66"/>
      <c r="H10" s="66"/>
      <c r="I10" s="66"/>
      <c r="J10" s="122"/>
      <c r="K10" s="66"/>
      <c r="L10" s="114"/>
      <c r="M10" s="114"/>
      <c r="N10" s="114"/>
    </row>
    <row r="11" spans="1:14" x14ac:dyDescent="0.25">
      <c r="A11" s="155" t="s">
        <v>771</v>
      </c>
      <c r="B11" s="70"/>
      <c r="C11" s="123"/>
      <c r="D11" s="66"/>
      <c r="E11" s="66"/>
      <c r="F11" s="66"/>
      <c r="G11" s="66"/>
      <c r="H11" s="66"/>
      <c r="I11" s="66"/>
      <c r="J11" s="122"/>
      <c r="K11" s="66"/>
      <c r="L11" s="114"/>
      <c r="M11" s="114"/>
      <c r="N11" s="114"/>
    </row>
    <row r="12" spans="1:14" s="135" customFormat="1" x14ac:dyDescent="0.25">
      <c r="A12" s="155"/>
      <c r="B12" s="70"/>
      <c r="C12" s="152"/>
      <c r="D12" s="66"/>
      <c r="E12" s="66"/>
      <c r="F12" s="66"/>
      <c r="G12" s="66"/>
      <c r="H12" s="66"/>
      <c r="I12" s="66"/>
      <c r="J12" s="151"/>
      <c r="K12" s="66"/>
    </row>
    <row r="13" spans="1:14" x14ac:dyDescent="0.25">
      <c r="A13" s="97" t="s">
        <v>655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14"/>
      <c r="N13" s="114"/>
    </row>
    <row r="14" spans="1:14" x14ac:dyDescent="0.25">
      <c r="A14" s="130" t="s">
        <v>578</v>
      </c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14"/>
      <c r="N14" s="114"/>
    </row>
    <row r="15" spans="1:14" x14ac:dyDescent="0.25">
      <c r="A15" s="69" t="s">
        <v>582</v>
      </c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14"/>
      <c r="N15" s="114"/>
    </row>
    <row r="16" spans="1:14" x14ac:dyDescent="0.25">
      <c r="A16" s="130" t="s">
        <v>583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14"/>
      <c r="N16" s="114"/>
    </row>
    <row r="17" spans="1:14" x14ac:dyDescent="0.25">
      <c r="A17" s="98" t="s">
        <v>635</v>
      </c>
      <c r="B17" s="130"/>
      <c r="C17" s="99" t="s">
        <v>581</v>
      </c>
      <c r="D17" s="130"/>
      <c r="E17" s="130"/>
      <c r="F17" s="130"/>
      <c r="G17" s="130"/>
      <c r="H17" s="130"/>
      <c r="I17" s="130"/>
      <c r="J17" s="130"/>
      <c r="K17" s="130"/>
      <c r="L17" s="130"/>
      <c r="M17" s="114"/>
      <c r="N17" s="114"/>
    </row>
    <row r="18" spans="1:14" x14ac:dyDescent="0.25">
      <c r="A18" s="130">
        <f>57*'Y от Х4'!O47</f>
        <v>43.791096101567646</v>
      </c>
      <c r="B18" s="98" t="s">
        <v>580</v>
      </c>
      <c r="C18" s="130">
        <f>_xlfn.CHISQ.INV.RT(0.05,1)</f>
        <v>3.8414588206941236</v>
      </c>
      <c r="D18" s="130"/>
      <c r="E18" s="130"/>
      <c r="F18" s="130"/>
      <c r="G18" s="130"/>
      <c r="H18" s="130"/>
      <c r="I18" s="130"/>
      <c r="J18" s="130"/>
      <c r="K18" s="130"/>
      <c r="L18" s="130"/>
      <c r="M18" s="114"/>
      <c r="N18" s="114"/>
    </row>
    <row r="19" spans="1:14" x14ac:dyDescent="0.25">
      <c r="A19" s="130" t="s">
        <v>584</v>
      </c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14"/>
      <c r="N19" s="114"/>
    </row>
    <row r="20" spans="1:14" x14ac:dyDescent="0.25">
      <c r="A20" s="130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14"/>
      <c r="N20" s="114"/>
    </row>
    <row r="21" spans="1:14" x14ac:dyDescent="0.25">
      <c r="A21" s="97" t="s">
        <v>656</v>
      </c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14"/>
      <c r="N21" s="114"/>
    </row>
    <row r="22" spans="1:14" x14ac:dyDescent="0.25">
      <c r="A22" s="69" t="s">
        <v>585</v>
      </c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29"/>
      <c r="N22" s="114"/>
    </row>
    <row r="23" spans="1:14" x14ac:dyDescent="0.25">
      <c r="A23" s="114" t="s">
        <v>586</v>
      </c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14"/>
      <c r="N23" s="114"/>
    </row>
    <row r="24" spans="1:14" x14ac:dyDescent="0.25">
      <c r="A24" s="98" t="s">
        <v>627</v>
      </c>
      <c r="B24" s="98" t="s">
        <v>628</v>
      </c>
      <c r="C24" s="98" t="s">
        <v>636</v>
      </c>
      <c r="D24" s="98" t="s">
        <v>628</v>
      </c>
      <c r="E24" s="98" t="s">
        <v>636</v>
      </c>
      <c r="F24" s="98" t="s">
        <v>628</v>
      </c>
      <c r="G24" s="98" t="s">
        <v>637</v>
      </c>
      <c r="I24" s="130"/>
      <c r="J24" s="130"/>
      <c r="K24" s="130"/>
      <c r="L24" s="130"/>
      <c r="M24" s="114"/>
      <c r="N24" s="114"/>
    </row>
    <row r="25" spans="1:14" x14ac:dyDescent="0.25">
      <c r="A25" s="98">
        <f>COUNT('Y от Х4'!E3:E9)</f>
        <v>7</v>
      </c>
      <c r="B25" s="98">
        <f>COUNT('Y от Х4'!E10:E15)</f>
        <v>6</v>
      </c>
      <c r="C25" s="98">
        <f>COUNT('Y от Х4'!E16:E32)</f>
        <v>17</v>
      </c>
      <c r="D25" s="98">
        <f>COUNT('Y от Х4'!E33:E51)</f>
        <v>19</v>
      </c>
      <c r="E25" s="98">
        <f>COUNT('Y от Х4'!E52:E58)</f>
        <v>7</v>
      </c>
      <c r="F25" s="114">
        <f>COUNT('Y от Х4'!E59:E60)</f>
        <v>2</v>
      </c>
      <c r="G25" s="130">
        <f>SUM(A25:F25)</f>
        <v>58</v>
      </c>
      <c r="I25" s="130"/>
      <c r="J25" s="130"/>
      <c r="K25" s="130"/>
      <c r="L25" s="130"/>
      <c r="M25" s="114"/>
      <c r="N25" s="114"/>
    </row>
    <row r="26" spans="1:14" ht="18" x14ac:dyDescent="0.35">
      <c r="A26" s="130" t="s">
        <v>587</v>
      </c>
      <c r="B26" s="130">
        <f>SUM(B25,D25,F25)</f>
        <v>27</v>
      </c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14"/>
      <c r="N26" s="114"/>
    </row>
    <row r="27" spans="1:14" ht="18" x14ac:dyDescent="0.35">
      <c r="A27" s="130" t="s">
        <v>588</v>
      </c>
      <c r="B27" s="130">
        <f>SUM(A25,C25,E25)</f>
        <v>31</v>
      </c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14"/>
      <c r="N27" s="114"/>
    </row>
    <row r="28" spans="1:14" x14ac:dyDescent="0.25">
      <c r="A28" s="130" t="s">
        <v>589</v>
      </c>
      <c r="B28" s="130">
        <f>COUNT(A25:F25)</f>
        <v>6</v>
      </c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14"/>
      <c r="N28" s="114"/>
    </row>
    <row r="29" spans="1:14" x14ac:dyDescent="0.25">
      <c r="A29" s="130" t="s">
        <v>590</v>
      </c>
      <c r="B29" s="130">
        <v>58</v>
      </c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14"/>
      <c r="N29" s="114"/>
    </row>
    <row r="30" spans="1:14" x14ac:dyDescent="0.25">
      <c r="A30" s="130" t="s">
        <v>591</v>
      </c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14"/>
      <c r="N30" s="114"/>
    </row>
    <row r="31" spans="1:14" x14ac:dyDescent="0.25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14"/>
      <c r="N31" s="114"/>
    </row>
    <row r="32" spans="1:14" x14ac:dyDescent="0.2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14"/>
      <c r="N32" s="114"/>
    </row>
    <row r="33" spans="1:14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14"/>
      <c r="N33" s="114"/>
    </row>
    <row r="34" spans="1:14" x14ac:dyDescent="0.25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14"/>
      <c r="N34" s="114"/>
    </row>
    <row r="35" spans="1:14" x14ac:dyDescent="0.25">
      <c r="A35" s="130" t="s">
        <v>592</v>
      </c>
      <c r="B35" s="130">
        <f>((2*B26*B27)/(B26+B27))+1</f>
        <v>29.862068965517242</v>
      </c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14"/>
      <c r="N35" s="114"/>
    </row>
    <row r="36" spans="1:14" x14ac:dyDescent="0.25">
      <c r="A36" s="130" t="s">
        <v>593</v>
      </c>
      <c r="B36" s="130">
        <f>(2*B26*B27*(2*B26*B27-B26-B27))/((B26+B27)*(B26+B27)*(B26+B27-1))</f>
        <v>14.108016772013267</v>
      </c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14"/>
      <c r="N36" s="114"/>
    </row>
    <row r="37" spans="1:14" x14ac:dyDescent="0.25">
      <c r="A37" s="130" t="s">
        <v>594</v>
      </c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14"/>
      <c r="N37" s="114"/>
    </row>
    <row r="38" spans="1:14" x14ac:dyDescent="0.25">
      <c r="A38" s="130">
        <f>B35-B36</f>
        <v>15.754052193503975</v>
      </c>
      <c r="B38" s="98" t="s">
        <v>579</v>
      </c>
      <c r="C38" s="98" t="s">
        <v>589</v>
      </c>
      <c r="D38" s="98" t="s">
        <v>579</v>
      </c>
      <c r="E38" s="130">
        <f>B35+B36</f>
        <v>43.970085737530511</v>
      </c>
      <c r="F38" s="130"/>
      <c r="G38" s="130"/>
      <c r="H38" s="130"/>
      <c r="I38" s="130"/>
      <c r="J38" s="130"/>
      <c r="K38" s="130"/>
      <c r="L38" s="130"/>
      <c r="M38" s="114"/>
      <c r="N38" s="114"/>
    </row>
    <row r="39" spans="1:14" x14ac:dyDescent="0.25">
      <c r="A39" s="130" t="s">
        <v>595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14"/>
      <c r="N39" s="114"/>
    </row>
    <row r="40" spans="1:14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14"/>
      <c r="N40" s="114"/>
    </row>
    <row r="41" spans="1:14" x14ac:dyDescent="0.25">
      <c r="A41" s="97" t="s">
        <v>657</v>
      </c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14"/>
      <c r="N41" s="114"/>
    </row>
    <row r="42" spans="1:14" x14ac:dyDescent="0.25">
      <c r="A42" s="130" t="s">
        <v>597</v>
      </c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14"/>
      <c r="N42" s="114"/>
    </row>
    <row r="43" spans="1:14" x14ac:dyDescent="0.25">
      <c r="A43" s="114"/>
      <c r="B43" s="114"/>
      <c r="C43" s="114"/>
      <c r="D43" s="114"/>
      <c r="E43" s="114"/>
      <c r="F43" s="114"/>
      <c r="G43" s="114"/>
      <c r="H43" s="114"/>
      <c r="I43" s="114"/>
      <c r="J43" s="114"/>
      <c r="K43" s="130"/>
      <c r="L43" s="130"/>
      <c r="M43" s="114"/>
      <c r="N43" s="114"/>
    </row>
    <row r="44" spans="1:14" x14ac:dyDescent="0.25">
      <c r="A44" s="114"/>
      <c r="B44" s="114"/>
      <c r="C44" s="114"/>
      <c r="D44" s="114"/>
      <c r="E44" s="114"/>
      <c r="F44" s="114"/>
      <c r="G44" s="114"/>
      <c r="H44" s="114"/>
      <c r="I44" s="114"/>
      <c r="J44" s="114"/>
      <c r="K44" s="130"/>
      <c r="L44" s="130"/>
      <c r="M44" s="114"/>
      <c r="N44" s="114"/>
    </row>
    <row r="45" spans="1:14" x14ac:dyDescent="0.25">
      <c r="A45" s="114"/>
      <c r="B45" s="114"/>
      <c r="C45" s="114"/>
      <c r="D45" s="114"/>
      <c r="E45" s="114"/>
      <c r="F45" s="114"/>
      <c r="G45" s="114"/>
      <c r="H45" s="114"/>
      <c r="I45" s="114"/>
      <c r="J45" s="114"/>
      <c r="K45" s="130"/>
      <c r="L45" s="130"/>
      <c r="M45" s="114"/>
      <c r="N45" s="114"/>
    </row>
    <row r="46" spans="1:14" x14ac:dyDescent="0.25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14"/>
      <c r="N46" s="114"/>
    </row>
    <row r="47" spans="1:14" x14ac:dyDescent="0.25">
      <c r="A47" s="114" t="s">
        <v>596</v>
      </c>
      <c r="B47" s="112">
        <f>'Y от Х4'!H61/'Y от Х4'!G61</f>
        <v>7.8004858432236045E-4</v>
      </c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14"/>
      <c r="N47" s="114"/>
    </row>
    <row r="48" spans="1:14" ht="18" x14ac:dyDescent="0.35">
      <c r="A48" s="114" t="s">
        <v>664</v>
      </c>
      <c r="B48" s="114"/>
      <c r="C48" s="114"/>
      <c r="D48" s="114"/>
      <c r="E48" s="114"/>
      <c r="F48" s="130"/>
      <c r="G48" s="130"/>
      <c r="H48" s="130"/>
      <c r="I48" s="130"/>
      <c r="J48" s="130"/>
      <c r="K48" s="130"/>
      <c r="L48" s="130"/>
      <c r="M48" s="114"/>
      <c r="N48" s="114"/>
    </row>
    <row r="49" spans="1:14" ht="18" x14ac:dyDescent="0.35">
      <c r="A49" s="114" t="s">
        <v>598</v>
      </c>
      <c r="B49" s="114">
        <v>1.53</v>
      </c>
      <c r="C49" s="114"/>
      <c r="D49" s="114"/>
      <c r="E49" s="114"/>
      <c r="F49" s="130"/>
      <c r="G49" s="130"/>
      <c r="H49" s="130"/>
      <c r="I49" s="130"/>
      <c r="J49" s="130"/>
      <c r="K49" s="130"/>
      <c r="L49" s="130"/>
      <c r="M49" s="114"/>
      <c r="N49" s="114"/>
    </row>
    <row r="50" spans="1:14" ht="18" x14ac:dyDescent="0.35">
      <c r="A50" s="114" t="s">
        <v>599</v>
      </c>
      <c r="B50" s="114">
        <v>1.6</v>
      </c>
      <c r="C50" s="114"/>
      <c r="D50" s="114"/>
      <c r="E50" s="114"/>
      <c r="F50" s="130"/>
      <c r="G50" s="130"/>
      <c r="H50" s="130"/>
      <c r="I50" s="130"/>
      <c r="J50" s="130"/>
      <c r="K50" s="130"/>
      <c r="L50" s="130"/>
      <c r="M50" s="114"/>
      <c r="N50" s="114"/>
    </row>
    <row r="51" spans="1:14" ht="18" x14ac:dyDescent="0.35">
      <c r="A51" s="114">
        <v>0</v>
      </c>
      <c r="B51" s="120" t="s">
        <v>579</v>
      </c>
      <c r="C51" s="120" t="s">
        <v>596</v>
      </c>
      <c r="D51" s="120" t="s">
        <v>579</v>
      </c>
      <c r="E51" s="114" t="s">
        <v>598</v>
      </c>
      <c r="F51" s="130"/>
      <c r="G51" s="130"/>
      <c r="H51" s="130"/>
      <c r="I51" s="130"/>
      <c r="J51" s="130"/>
      <c r="K51" s="130"/>
      <c r="L51" s="130"/>
      <c r="M51" s="114"/>
      <c r="N51" s="114"/>
    </row>
    <row r="52" spans="1:14" x14ac:dyDescent="0.25">
      <c r="A52" s="114" t="s">
        <v>600</v>
      </c>
      <c r="B52" s="114"/>
      <c r="C52" s="114"/>
      <c r="D52" s="114"/>
      <c r="E52" s="114"/>
      <c r="F52" s="130"/>
      <c r="G52" s="130"/>
      <c r="H52" s="130"/>
      <c r="I52" s="130"/>
      <c r="J52" s="130"/>
      <c r="K52" s="130"/>
      <c r="L52" s="130"/>
      <c r="M52" s="114"/>
      <c r="N52" s="114"/>
    </row>
    <row r="53" spans="1:14" x14ac:dyDescent="0.25">
      <c r="A53" s="114"/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</row>
  </sheetData>
  <hyperlinks>
    <hyperlink ref="A6" location="'Y от Х4'!N4:R6" display="1.2. Рассчёт t-  и F-статистики показывают, что значимо как уравнение в целом, так и его коэффициенты"/>
    <hyperlink ref="A7" location="'Y от Х4'!O9" display="1.3. Уравнением регрессии объясняется 64% результирующего показателя"/>
    <hyperlink ref="A8" location="'Y от Х4'!O12" display="1.4. Средняя ошибка аппроксимации равна 5,36, что говорит о хорошем качестве уравнения."/>
    <hyperlink ref="A9" location="'Y от Х4'!Q21:W27" display="1.5. При проверке предпосылок МНК было обнаружено нарушение четвёртой предпосылки"/>
    <hyperlink ref="A15" location="'Y от Х4'!O43:P49" display="Построим с помощью функции ЛИНЕЙН вспомогательную модель по Y=ɛ, X=ɛt-1"/>
    <hyperlink ref="A22" location="'Y от Х4'!E4:E61" display="Этот метод основан на определении знаков отклонений"/>
    <hyperlink ref="A10" location="'АД Y от Х4'!A1" display="1.6. Проверили расчёты с помощью АНАЛИЗА ДАННЫХ"/>
    <hyperlink ref="A4" location="'Y от Х4'!A1" display="1.1. Получили уравнение вида:"/>
    <hyperlink ref="A11" location="'АД Y от Х4'!D24:D82" display="1.7. Cтандартные остатки АНАЛИЗА ДАННЫХ находятся в пределах допустимых значений [-2;2] =&gt; Выбросы отсутствуют.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workbookViewId="0">
      <selection activeCell="G2" sqref="G2"/>
    </sheetView>
  </sheetViews>
  <sheetFormatPr defaultRowHeight="15" x14ac:dyDescent="0.25"/>
  <cols>
    <col min="1" max="1" width="12.28515625" customWidth="1"/>
  </cols>
  <sheetData>
    <row r="1" spans="1:12" x14ac:dyDescent="0.25">
      <c r="A1" s="105" t="s">
        <v>692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</row>
    <row r="2" spans="1:12" ht="18" x14ac:dyDescent="0.35">
      <c r="A2" s="106" t="s">
        <v>693</v>
      </c>
      <c r="B2" s="128"/>
      <c r="C2" s="128"/>
      <c r="D2" s="130"/>
      <c r="E2" s="130"/>
      <c r="F2" s="130"/>
      <c r="G2" s="130"/>
      <c r="H2" s="130"/>
      <c r="I2" s="130"/>
      <c r="J2" s="130"/>
      <c r="K2" s="130"/>
      <c r="L2" s="130"/>
    </row>
    <row r="3" spans="1:12" x14ac:dyDescent="0.25">
      <c r="A3" s="107" t="s">
        <v>645</v>
      </c>
      <c r="B3" s="128"/>
      <c r="C3" s="128"/>
      <c r="D3" s="130"/>
      <c r="E3" s="130"/>
      <c r="F3" s="130"/>
      <c r="G3" s="130"/>
      <c r="H3" s="130"/>
      <c r="I3" s="130"/>
      <c r="J3" s="130"/>
      <c r="K3" s="130"/>
      <c r="L3" s="130"/>
    </row>
    <row r="4" spans="1:12" x14ac:dyDescent="0.25">
      <c r="A4" s="125" t="s">
        <v>658</v>
      </c>
      <c r="B4" s="127"/>
      <c r="C4" s="127"/>
      <c r="D4" s="124"/>
      <c r="E4" s="124"/>
      <c r="F4" s="124"/>
      <c r="G4" s="124"/>
      <c r="H4" s="124"/>
      <c r="I4" s="124"/>
      <c r="J4" s="124"/>
      <c r="K4" s="66"/>
      <c r="L4" s="114"/>
    </row>
    <row r="5" spans="1:12" ht="18" x14ac:dyDescent="0.35">
      <c r="A5" s="131" t="s">
        <v>696</v>
      </c>
      <c r="B5" s="131"/>
      <c r="C5" s="127"/>
      <c r="D5" s="124"/>
      <c r="E5" s="123"/>
      <c r="F5" s="123"/>
      <c r="G5" s="123"/>
      <c r="H5" s="123"/>
      <c r="I5" s="123"/>
      <c r="J5" s="124"/>
      <c r="K5" s="66"/>
      <c r="L5" s="114"/>
    </row>
    <row r="6" spans="1:12" x14ac:dyDescent="0.25">
      <c r="A6" s="125" t="s">
        <v>659</v>
      </c>
      <c r="B6" s="114"/>
      <c r="C6" s="114"/>
      <c r="D6" s="71"/>
      <c r="E6" s="71"/>
      <c r="F6" s="71"/>
      <c r="G6" s="71"/>
      <c r="H6" s="71"/>
      <c r="I6" s="71"/>
      <c r="J6" s="71"/>
      <c r="K6" s="66"/>
      <c r="L6" s="114"/>
    </row>
    <row r="7" spans="1:12" x14ac:dyDescent="0.25">
      <c r="A7" s="126" t="s">
        <v>697</v>
      </c>
      <c r="B7" s="114"/>
      <c r="C7" s="114"/>
      <c r="D7" s="66"/>
      <c r="E7" s="66"/>
      <c r="F7" s="66"/>
      <c r="G7" s="66"/>
      <c r="H7" s="66"/>
      <c r="I7" s="66"/>
      <c r="J7" s="71"/>
      <c r="K7" s="66"/>
      <c r="L7" s="114"/>
    </row>
    <row r="8" spans="1:12" x14ac:dyDescent="0.25">
      <c r="A8" s="73" t="s">
        <v>698</v>
      </c>
      <c r="B8" s="114"/>
      <c r="C8" s="123"/>
      <c r="D8" s="66"/>
      <c r="E8" s="66"/>
      <c r="F8" s="66"/>
      <c r="G8" s="66"/>
      <c r="H8" s="66"/>
      <c r="I8" s="66"/>
      <c r="J8" s="122"/>
      <c r="K8" s="66"/>
      <c r="L8" s="114"/>
    </row>
    <row r="9" spans="1:12" x14ac:dyDescent="0.25">
      <c r="A9" s="125" t="s">
        <v>662</v>
      </c>
      <c r="B9" s="70"/>
      <c r="C9" s="123"/>
      <c r="D9" s="66"/>
      <c r="E9" s="66"/>
      <c r="F9" s="66"/>
      <c r="G9" s="66"/>
      <c r="H9" s="66"/>
      <c r="I9" s="66"/>
      <c r="J9" s="122"/>
      <c r="K9" s="66"/>
      <c r="L9" s="114"/>
    </row>
    <row r="10" spans="1:12" x14ac:dyDescent="0.25">
      <c r="A10" s="155" t="s">
        <v>663</v>
      </c>
      <c r="B10" s="70"/>
      <c r="C10" s="123"/>
      <c r="D10" s="66"/>
      <c r="E10" s="66"/>
      <c r="F10" s="66"/>
      <c r="G10" s="66"/>
      <c r="H10" s="66"/>
      <c r="I10" s="66"/>
      <c r="J10" s="122"/>
      <c r="K10" s="66"/>
      <c r="L10" s="114"/>
    </row>
    <row r="11" spans="1:12" x14ac:dyDescent="0.25">
      <c r="A11" s="155" t="s">
        <v>771</v>
      </c>
      <c r="B11" s="70"/>
      <c r="C11" s="123"/>
      <c r="D11" s="66"/>
      <c r="E11" s="66"/>
      <c r="F11" s="66"/>
      <c r="G11" s="66"/>
      <c r="H11" s="66"/>
      <c r="I11" s="66"/>
      <c r="J11" s="122"/>
      <c r="K11" s="66"/>
      <c r="L11" s="114"/>
    </row>
    <row r="12" spans="1:12" s="135" customFormat="1" x14ac:dyDescent="0.25">
      <c r="A12" s="155"/>
      <c r="B12" s="70"/>
      <c r="C12" s="152"/>
      <c r="D12" s="66"/>
      <c r="E12" s="66"/>
      <c r="F12" s="66"/>
      <c r="G12" s="66"/>
      <c r="H12" s="66"/>
      <c r="I12" s="66"/>
      <c r="J12" s="151"/>
      <c r="K12" s="66"/>
    </row>
    <row r="13" spans="1:12" x14ac:dyDescent="0.25">
      <c r="A13" s="97" t="s">
        <v>655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</row>
    <row r="14" spans="1:12" x14ac:dyDescent="0.25">
      <c r="A14" s="130" t="s">
        <v>578</v>
      </c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</row>
    <row r="15" spans="1:12" x14ac:dyDescent="0.25">
      <c r="A15" s="69" t="s">
        <v>582</v>
      </c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</row>
    <row r="16" spans="1:12" x14ac:dyDescent="0.25">
      <c r="A16" s="130" t="s">
        <v>583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</row>
    <row r="17" spans="1:12" x14ac:dyDescent="0.25">
      <c r="A17" s="98" t="s">
        <v>635</v>
      </c>
      <c r="B17" s="130"/>
      <c r="C17" s="99" t="s">
        <v>581</v>
      </c>
      <c r="D17" s="130"/>
      <c r="E17" s="130"/>
      <c r="F17" s="130"/>
      <c r="G17" s="130"/>
      <c r="H17" s="130"/>
      <c r="I17" s="130"/>
      <c r="J17" s="130"/>
      <c r="K17" s="130"/>
      <c r="L17" s="130"/>
    </row>
    <row r="18" spans="1:12" x14ac:dyDescent="0.25">
      <c r="A18" s="130">
        <f>57*'Y от Х5'!O47</f>
        <v>18.983117848469</v>
      </c>
      <c r="B18" s="98" t="s">
        <v>580</v>
      </c>
      <c r="C18" s="130">
        <f>_xlfn.CHISQ.INV.RT(0.05,1)</f>
        <v>3.8414588206941236</v>
      </c>
      <c r="D18" s="130"/>
      <c r="E18" s="130"/>
      <c r="F18" s="130"/>
      <c r="G18" s="130"/>
      <c r="H18" s="130"/>
      <c r="I18" s="130"/>
      <c r="J18" s="130"/>
      <c r="K18" s="130"/>
      <c r="L18" s="130"/>
    </row>
    <row r="19" spans="1:12" x14ac:dyDescent="0.25">
      <c r="A19" s="130" t="s">
        <v>584</v>
      </c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</row>
    <row r="20" spans="1:12" x14ac:dyDescent="0.25">
      <c r="A20" s="130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</row>
    <row r="21" spans="1:12" x14ac:dyDescent="0.25">
      <c r="A21" s="97" t="s">
        <v>656</v>
      </c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</row>
    <row r="22" spans="1:12" x14ac:dyDescent="0.25">
      <c r="A22" s="69" t="s">
        <v>585</v>
      </c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</row>
    <row r="23" spans="1:12" x14ac:dyDescent="0.25">
      <c r="A23" s="114" t="s">
        <v>586</v>
      </c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</row>
    <row r="24" spans="1:12" x14ac:dyDescent="0.25">
      <c r="A24" s="98" t="s">
        <v>627</v>
      </c>
      <c r="B24" s="98" t="s">
        <v>628</v>
      </c>
      <c r="C24" s="98" t="s">
        <v>636</v>
      </c>
      <c r="D24" s="98" t="s">
        <v>628</v>
      </c>
      <c r="E24" s="98" t="s">
        <v>636</v>
      </c>
      <c r="F24" s="98" t="s">
        <v>628</v>
      </c>
      <c r="G24" s="98" t="s">
        <v>627</v>
      </c>
      <c r="H24" s="98" t="s">
        <v>628</v>
      </c>
      <c r="I24" s="98" t="s">
        <v>627</v>
      </c>
      <c r="J24" s="98" t="s">
        <v>628</v>
      </c>
      <c r="K24" s="98" t="s">
        <v>637</v>
      </c>
      <c r="L24" s="130"/>
    </row>
    <row r="25" spans="1:12" x14ac:dyDescent="0.25">
      <c r="A25" s="98">
        <f>COUNT('Y от Х5'!E3:E10)</f>
        <v>8</v>
      </c>
      <c r="B25" s="98">
        <f>COUNT('Y от Х5'!E11:E17)</f>
        <v>7</v>
      </c>
      <c r="C25" s="98">
        <f>COUNT('Y от Х5'!E18:E25)</f>
        <v>8</v>
      </c>
      <c r="D25" s="98">
        <f>COUNT('Y от Х5'!E26)</f>
        <v>1</v>
      </c>
      <c r="E25" s="98">
        <f>COUNT('Y от Х5'!E27:E30)</f>
        <v>4</v>
      </c>
      <c r="F25" s="114">
        <f>COUNT('Y от Х5'!E31:E38)</f>
        <v>8</v>
      </c>
      <c r="G25" s="114">
        <f>COUNT('Y от Х5'!E39)</f>
        <v>1</v>
      </c>
      <c r="H25" s="114">
        <f>COUNT('Y от Х5'!E40:E47)</f>
        <v>8</v>
      </c>
      <c r="I25" s="114">
        <f>COUNT('Y от Х5'!E48:E55)</f>
        <v>8</v>
      </c>
      <c r="J25" s="114">
        <f>COUNT('Y от Х5'!E56:E60)</f>
        <v>5</v>
      </c>
      <c r="K25" s="130">
        <f>SUM(A25:J25)</f>
        <v>58</v>
      </c>
      <c r="L25" s="130"/>
    </row>
    <row r="26" spans="1:12" ht="18" x14ac:dyDescent="0.35">
      <c r="A26" s="130" t="s">
        <v>587</v>
      </c>
      <c r="B26" s="130">
        <f>SUM(B25,D25,F25,H25,J25)</f>
        <v>29</v>
      </c>
      <c r="C26" s="130"/>
      <c r="D26" s="130"/>
      <c r="E26" s="130"/>
      <c r="F26" s="130"/>
      <c r="G26" s="130"/>
      <c r="H26" s="130"/>
      <c r="I26" s="130"/>
      <c r="J26" s="130"/>
      <c r="K26" s="130"/>
      <c r="L26" s="130"/>
    </row>
    <row r="27" spans="1:12" ht="18" x14ac:dyDescent="0.35">
      <c r="A27" s="130" t="s">
        <v>588</v>
      </c>
      <c r="B27" s="130">
        <f>SUM(A25,C25,E25,G25,I25)</f>
        <v>29</v>
      </c>
      <c r="C27" s="130"/>
      <c r="D27" s="130"/>
      <c r="E27" s="130"/>
      <c r="F27" s="130"/>
      <c r="G27" s="130"/>
      <c r="H27" s="130"/>
      <c r="I27" s="130"/>
      <c r="J27" s="130"/>
      <c r="K27" s="130"/>
      <c r="L27" s="130"/>
    </row>
    <row r="28" spans="1:12" x14ac:dyDescent="0.25">
      <c r="A28" s="130" t="s">
        <v>589</v>
      </c>
      <c r="B28" s="130">
        <f>COUNT(A25:J25)</f>
        <v>10</v>
      </c>
      <c r="C28" s="130"/>
      <c r="D28" s="130"/>
      <c r="E28" s="130"/>
      <c r="F28" s="130"/>
      <c r="G28" s="130"/>
      <c r="H28" s="130"/>
      <c r="I28" s="130"/>
      <c r="J28" s="130"/>
      <c r="K28" s="130"/>
      <c r="L28" s="130"/>
    </row>
    <row r="29" spans="1:12" x14ac:dyDescent="0.25">
      <c r="A29" s="130" t="s">
        <v>590</v>
      </c>
      <c r="B29" s="130">
        <v>58</v>
      </c>
      <c r="C29" s="130"/>
      <c r="D29" s="130"/>
      <c r="E29" s="130"/>
      <c r="F29" s="130"/>
      <c r="G29" s="130"/>
      <c r="H29" s="130"/>
      <c r="I29" s="130"/>
      <c r="J29" s="130"/>
      <c r="K29" s="130"/>
      <c r="L29" s="130"/>
    </row>
    <row r="30" spans="1:12" x14ac:dyDescent="0.25">
      <c r="A30" s="130" t="s">
        <v>591</v>
      </c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</row>
    <row r="31" spans="1:12" x14ac:dyDescent="0.25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</row>
    <row r="32" spans="1:12" x14ac:dyDescent="0.2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</row>
    <row r="33" spans="1:12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</row>
    <row r="34" spans="1:12" x14ac:dyDescent="0.25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</row>
    <row r="35" spans="1:12" x14ac:dyDescent="0.25">
      <c r="A35" s="130" t="s">
        <v>592</v>
      </c>
      <c r="B35" s="130">
        <f>((2*B26*B27)/(B26+B27))+1</f>
        <v>30</v>
      </c>
      <c r="C35" s="130"/>
      <c r="D35" s="130"/>
      <c r="E35" s="130"/>
      <c r="F35" s="130"/>
      <c r="G35" s="130"/>
      <c r="H35" s="130"/>
      <c r="I35" s="130"/>
      <c r="J35" s="130"/>
      <c r="K35" s="130"/>
      <c r="L35" s="130"/>
    </row>
    <row r="36" spans="1:12" x14ac:dyDescent="0.25">
      <c r="A36" s="130" t="s">
        <v>593</v>
      </c>
      <c r="B36" s="130">
        <f>(2*B26*B27*(2*B26*B27-B26-B27))/((B26+B27)*(B26+B27)*(B26+B27-1))</f>
        <v>14.245614035087719</v>
      </c>
      <c r="C36" s="130"/>
      <c r="D36" s="130"/>
      <c r="E36" s="130"/>
      <c r="F36" s="130"/>
      <c r="G36" s="130"/>
      <c r="H36" s="130"/>
      <c r="I36" s="130"/>
      <c r="J36" s="130"/>
      <c r="K36" s="130"/>
      <c r="L36" s="130"/>
    </row>
    <row r="37" spans="1:12" x14ac:dyDescent="0.25">
      <c r="A37" s="130" t="s">
        <v>594</v>
      </c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</row>
    <row r="38" spans="1:12" x14ac:dyDescent="0.25">
      <c r="A38" s="130">
        <f>B35-B36</f>
        <v>15.754385964912281</v>
      </c>
      <c r="B38" s="98" t="s">
        <v>579</v>
      </c>
      <c r="C38" s="98" t="s">
        <v>589</v>
      </c>
      <c r="D38" s="98" t="s">
        <v>579</v>
      </c>
      <c r="E38" s="130">
        <f>B35+B36</f>
        <v>44.245614035087719</v>
      </c>
      <c r="F38" s="130"/>
      <c r="G38" s="130"/>
      <c r="H38" s="130"/>
      <c r="I38" s="130"/>
      <c r="J38" s="130"/>
      <c r="K38" s="130"/>
      <c r="L38" s="130"/>
    </row>
    <row r="39" spans="1:12" x14ac:dyDescent="0.25">
      <c r="A39" s="130" t="s">
        <v>595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</row>
    <row r="40" spans="1:12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</row>
    <row r="41" spans="1:12" x14ac:dyDescent="0.25">
      <c r="A41" s="97" t="s">
        <v>657</v>
      </c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</row>
    <row r="42" spans="1:12" x14ac:dyDescent="0.25">
      <c r="A42" s="130" t="s">
        <v>597</v>
      </c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130"/>
    </row>
    <row r="43" spans="1:12" x14ac:dyDescent="0.25">
      <c r="A43" s="114"/>
      <c r="B43" s="114"/>
      <c r="C43" s="114"/>
      <c r="D43" s="114"/>
      <c r="E43" s="114"/>
      <c r="F43" s="114"/>
      <c r="G43" s="114"/>
      <c r="H43" s="114"/>
      <c r="I43" s="114"/>
      <c r="J43" s="114"/>
      <c r="K43" s="130"/>
      <c r="L43" s="130"/>
    </row>
    <row r="44" spans="1:12" x14ac:dyDescent="0.25">
      <c r="A44" s="114"/>
      <c r="B44" s="114"/>
      <c r="C44" s="114"/>
      <c r="D44" s="114"/>
      <c r="E44" s="114"/>
      <c r="F44" s="114"/>
      <c r="G44" s="114"/>
      <c r="H44" s="114"/>
      <c r="I44" s="114"/>
      <c r="J44" s="114"/>
      <c r="K44" s="130"/>
      <c r="L44" s="130"/>
    </row>
    <row r="45" spans="1:12" x14ac:dyDescent="0.25">
      <c r="A45" s="114"/>
      <c r="B45" s="114"/>
      <c r="C45" s="114"/>
      <c r="D45" s="114"/>
      <c r="E45" s="114"/>
      <c r="F45" s="114"/>
      <c r="G45" s="114"/>
      <c r="H45" s="114"/>
      <c r="I45" s="114"/>
      <c r="J45" s="114"/>
      <c r="K45" s="130"/>
      <c r="L45" s="130"/>
    </row>
    <row r="46" spans="1:12" x14ac:dyDescent="0.25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</row>
    <row r="47" spans="1:12" x14ac:dyDescent="0.25">
      <c r="A47" s="114" t="s">
        <v>596</v>
      </c>
      <c r="B47" s="112">
        <f>'Y от Х5'!H61/'Y от Х5'!G61</f>
        <v>8.1735965796986623E-3</v>
      </c>
      <c r="C47" s="130"/>
      <c r="D47" s="130"/>
      <c r="E47" s="130"/>
      <c r="F47" s="130"/>
      <c r="G47" s="130"/>
      <c r="H47" s="130"/>
      <c r="I47" s="130"/>
      <c r="J47" s="130"/>
      <c r="K47" s="130"/>
      <c r="L47" s="130"/>
    </row>
    <row r="48" spans="1:12" ht="18" x14ac:dyDescent="0.35">
      <c r="A48" s="114" t="s">
        <v>664</v>
      </c>
      <c r="B48" s="114"/>
      <c r="C48" s="114"/>
      <c r="D48" s="114"/>
      <c r="E48" s="114"/>
      <c r="F48" s="130"/>
      <c r="G48" s="130"/>
      <c r="H48" s="130"/>
      <c r="I48" s="130"/>
      <c r="J48" s="130"/>
      <c r="K48" s="130"/>
      <c r="L48" s="130"/>
    </row>
    <row r="49" spans="1:12" ht="18" x14ac:dyDescent="0.35">
      <c r="A49" s="114" t="s">
        <v>598</v>
      </c>
      <c r="B49" s="114">
        <v>1.53</v>
      </c>
      <c r="C49" s="114"/>
      <c r="D49" s="114"/>
      <c r="E49" s="114"/>
      <c r="F49" s="130"/>
      <c r="G49" s="130"/>
      <c r="H49" s="130"/>
      <c r="I49" s="130"/>
      <c r="J49" s="130"/>
      <c r="K49" s="130"/>
      <c r="L49" s="130"/>
    </row>
    <row r="50" spans="1:12" ht="18" x14ac:dyDescent="0.35">
      <c r="A50" s="114" t="s">
        <v>599</v>
      </c>
      <c r="B50" s="114">
        <v>1.6</v>
      </c>
      <c r="C50" s="114"/>
      <c r="D50" s="114"/>
      <c r="E50" s="114"/>
      <c r="F50" s="130"/>
      <c r="G50" s="130"/>
      <c r="H50" s="130"/>
      <c r="I50" s="130"/>
      <c r="J50" s="130"/>
      <c r="K50" s="130"/>
      <c r="L50" s="130"/>
    </row>
    <row r="51" spans="1:12" ht="18" x14ac:dyDescent="0.35">
      <c r="A51" s="114">
        <v>0</v>
      </c>
      <c r="B51" s="120" t="s">
        <v>579</v>
      </c>
      <c r="C51" s="120" t="s">
        <v>596</v>
      </c>
      <c r="D51" s="120" t="s">
        <v>579</v>
      </c>
      <c r="E51" s="114" t="s">
        <v>598</v>
      </c>
      <c r="F51" s="130"/>
      <c r="G51" s="130"/>
      <c r="H51" s="130"/>
      <c r="I51" s="130"/>
      <c r="J51" s="130"/>
      <c r="K51" s="130"/>
      <c r="L51" s="130"/>
    </row>
    <row r="52" spans="1:12" x14ac:dyDescent="0.25">
      <c r="A52" s="114" t="s">
        <v>600</v>
      </c>
      <c r="B52" s="114"/>
      <c r="C52" s="114"/>
      <c r="D52" s="114"/>
      <c r="E52" s="114"/>
      <c r="F52" s="130"/>
      <c r="G52" s="130"/>
      <c r="H52" s="130"/>
      <c r="I52" s="130"/>
      <c r="J52" s="130"/>
      <c r="K52" s="130"/>
      <c r="L52" s="130"/>
    </row>
  </sheetData>
  <hyperlinks>
    <hyperlink ref="A6" location="'Y от Х5'!N4:R6" display="1.2. Рассчёт t-  и F-статистики показывают, что значимо как уравнение в целом, так и его коэффициенты"/>
    <hyperlink ref="A7" location="'Y от Х5'!O9" display="1.3. Уравнением регрессии объясняется 60% результирующего показателя"/>
    <hyperlink ref="A8" location="'Y от Х5'!O12" display="1.4. Средняя ошибка аппроксимации равна 5,33, что говорит о хорошем качестве уравнения."/>
    <hyperlink ref="A9" location="'Y от Х5'!Q21:W27" display="1.5. При проверке предпосылок МНК было обнаружено нарушение четвёртой предпосылки"/>
    <hyperlink ref="A15" location="'Y от Х5'!O43:P49" display="Построим с помощью функции ЛИНЕЙН вспомогательную модель по Y=ɛ, X=ɛt-1"/>
    <hyperlink ref="A22" location="'Y от Х5'!E4:E61" display="Этот метод основан на определении знаков отклонений"/>
    <hyperlink ref="A10" location="'АД Y от Х5'!A1" display="1.6. Проверили расчёты с помощью АНАЛИЗА ДАННЫХ"/>
    <hyperlink ref="A4" location="'Y от Х5'!A1" display="1.1. Получили уравнение вида:"/>
    <hyperlink ref="A11" location="'АД Y от Х5'!D24:D82" display="1.7. Cтандартные остатки АНАЛИЗА ДАННЫХ находятся в пределах допустимых значений [-2;2] =&gt; Выбросы отсутствуют.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workbookViewId="0"/>
  </sheetViews>
  <sheetFormatPr defaultRowHeight="15" x14ac:dyDescent="0.25"/>
  <cols>
    <col min="1" max="1" width="11.28515625" customWidth="1"/>
  </cols>
  <sheetData>
    <row r="1" spans="1:15" x14ac:dyDescent="0.25">
      <c r="A1" s="105" t="s">
        <v>700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14"/>
      <c r="N1" s="114"/>
      <c r="O1" s="114"/>
    </row>
    <row r="2" spans="1:15" ht="18" x14ac:dyDescent="0.35">
      <c r="A2" s="106" t="s">
        <v>701</v>
      </c>
      <c r="B2" s="128"/>
      <c r="C2" s="128"/>
      <c r="D2" s="130"/>
      <c r="E2" s="130"/>
      <c r="F2" s="130"/>
      <c r="G2" s="130"/>
      <c r="H2" s="130"/>
      <c r="I2" s="130"/>
      <c r="J2" s="130"/>
      <c r="K2" s="130"/>
      <c r="L2" s="130"/>
      <c r="M2" s="114"/>
      <c r="N2" s="114"/>
      <c r="O2" s="114"/>
    </row>
    <row r="3" spans="1:15" x14ac:dyDescent="0.25">
      <c r="A3" s="107" t="s">
        <v>645</v>
      </c>
      <c r="B3" s="128"/>
      <c r="C3" s="128"/>
      <c r="D3" s="130"/>
      <c r="E3" s="130"/>
      <c r="F3" s="130"/>
      <c r="G3" s="130"/>
      <c r="H3" s="130"/>
      <c r="I3" s="130"/>
      <c r="J3" s="130"/>
      <c r="K3" s="130"/>
      <c r="L3" s="130"/>
      <c r="M3" s="114"/>
      <c r="N3" s="114"/>
      <c r="O3" s="114"/>
    </row>
    <row r="4" spans="1:15" x14ac:dyDescent="0.25">
      <c r="A4" s="125" t="s">
        <v>658</v>
      </c>
      <c r="B4" s="127"/>
      <c r="C4" s="127"/>
      <c r="D4" s="124"/>
      <c r="E4" s="124"/>
      <c r="F4" s="124"/>
      <c r="G4" s="124"/>
      <c r="H4" s="124"/>
      <c r="I4" s="124"/>
      <c r="J4" s="124"/>
      <c r="K4" s="66"/>
      <c r="L4" s="114"/>
      <c r="M4" s="114"/>
      <c r="N4" s="114"/>
      <c r="O4" s="114"/>
    </row>
    <row r="5" spans="1:15" ht="18" x14ac:dyDescent="0.35">
      <c r="A5" s="131" t="s">
        <v>703</v>
      </c>
      <c r="B5" s="131"/>
      <c r="C5" s="127"/>
      <c r="D5" s="124"/>
      <c r="E5" s="123"/>
      <c r="F5" s="123"/>
      <c r="G5" s="123"/>
      <c r="H5" s="123"/>
      <c r="I5" s="123"/>
      <c r="J5" s="124"/>
      <c r="K5" s="66"/>
      <c r="L5" s="114"/>
      <c r="M5" s="114"/>
      <c r="N5" s="114"/>
      <c r="O5" s="114"/>
    </row>
    <row r="6" spans="1:15" x14ac:dyDescent="0.25">
      <c r="A6" s="125" t="s">
        <v>659</v>
      </c>
      <c r="B6" s="114"/>
      <c r="C6" s="114"/>
      <c r="D6" s="71"/>
      <c r="E6" s="71"/>
      <c r="F6" s="71"/>
      <c r="G6" s="71"/>
      <c r="H6" s="71"/>
      <c r="I6" s="71"/>
      <c r="J6" s="71"/>
      <c r="K6" s="66"/>
      <c r="L6" s="114"/>
      <c r="M6" s="114"/>
      <c r="N6" s="114"/>
      <c r="O6" s="114"/>
    </row>
    <row r="7" spans="1:15" x14ac:dyDescent="0.25">
      <c r="A7" s="126" t="s">
        <v>704</v>
      </c>
      <c r="B7" s="114"/>
      <c r="C7" s="114"/>
      <c r="D7" s="66"/>
      <c r="E7" s="66"/>
      <c r="F7" s="66"/>
      <c r="G7" s="66"/>
      <c r="H7" s="66"/>
      <c r="I7" s="66"/>
      <c r="J7" s="71"/>
      <c r="K7" s="66"/>
      <c r="L7" s="114"/>
      <c r="M7" s="114"/>
      <c r="N7" s="114"/>
      <c r="O7" s="114"/>
    </row>
    <row r="8" spans="1:15" x14ac:dyDescent="0.25">
      <c r="A8" s="73" t="s">
        <v>705</v>
      </c>
      <c r="B8" s="114"/>
      <c r="C8" s="123"/>
      <c r="D8" s="66"/>
      <c r="E8" s="66"/>
      <c r="F8" s="66"/>
      <c r="G8" s="66"/>
      <c r="H8" s="66"/>
      <c r="I8" s="66"/>
      <c r="J8" s="122"/>
      <c r="K8" s="66"/>
      <c r="L8" s="114"/>
      <c r="M8" s="114"/>
      <c r="N8" s="114"/>
      <c r="O8" s="114"/>
    </row>
    <row r="9" spans="1:15" x14ac:dyDescent="0.25">
      <c r="A9" s="125" t="s">
        <v>662</v>
      </c>
      <c r="B9" s="70"/>
      <c r="C9" s="123"/>
      <c r="D9" s="66"/>
      <c r="E9" s="66"/>
      <c r="F9" s="66"/>
      <c r="G9" s="66"/>
      <c r="H9" s="66"/>
      <c r="I9" s="66"/>
      <c r="J9" s="122"/>
      <c r="K9" s="66"/>
      <c r="L9" s="114"/>
      <c r="M9" s="114"/>
      <c r="N9" s="114"/>
      <c r="O9" s="114"/>
    </row>
    <row r="10" spans="1:15" x14ac:dyDescent="0.25">
      <c r="A10" s="155" t="s">
        <v>663</v>
      </c>
      <c r="B10" s="70"/>
      <c r="C10" s="123"/>
      <c r="D10" s="66"/>
      <c r="E10" s="66"/>
      <c r="F10" s="66"/>
      <c r="G10" s="66"/>
      <c r="H10" s="66"/>
      <c r="I10" s="66"/>
      <c r="J10" s="122"/>
      <c r="K10" s="66"/>
      <c r="L10" s="114"/>
      <c r="M10" s="114"/>
      <c r="N10" s="114"/>
      <c r="O10" s="114"/>
    </row>
    <row r="11" spans="1:15" x14ac:dyDescent="0.25">
      <c r="A11" s="155" t="s">
        <v>771</v>
      </c>
      <c r="B11" s="70"/>
      <c r="C11" s="123"/>
      <c r="D11" s="66"/>
      <c r="E11" s="66"/>
      <c r="F11" s="66"/>
      <c r="G11" s="66"/>
      <c r="H11" s="66"/>
      <c r="I11" s="66"/>
      <c r="J11" s="122"/>
      <c r="K11" s="66"/>
      <c r="L11" s="114"/>
      <c r="M11" s="114"/>
      <c r="N11" s="114"/>
      <c r="O11" s="114"/>
    </row>
    <row r="12" spans="1:15" s="135" customFormat="1" x14ac:dyDescent="0.25">
      <c r="A12" s="155"/>
      <c r="B12" s="70"/>
      <c r="C12" s="152"/>
      <c r="D12" s="66"/>
      <c r="E12" s="66"/>
      <c r="F12" s="66"/>
      <c r="G12" s="66"/>
      <c r="H12" s="66"/>
      <c r="I12" s="66"/>
      <c r="J12" s="151"/>
      <c r="K12" s="66"/>
    </row>
    <row r="13" spans="1:15" x14ac:dyDescent="0.25">
      <c r="A13" s="97" t="s">
        <v>655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14"/>
      <c r="N13" s="114"/>
      <c r="O13" s="114"/>
    </row>
    <row r="14" spans="1:15" x14ac:dyDescent="0.25">
      <c r="A14" s="130" t="s">
        <v>578</v>
      </c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14"/>
      <c r="N14" s="114"/>
      <c r="O14" s="114"/>
    </row>
    <row r="15" spans="1:15" x14ac:dyDescent="0.25">
      <c r="A15" s="69" t="s">
        <v>582</v>
      </c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14"/>
      <c r="N15" s="114"/>
      <c r="O15" s="114"/>
    </row>
    <row r="16" spans="1:15" x14ac:dyDescent="0.25">
      <c r="A16" s="130" t="s">
        <v>583</v>
      </c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14"/>
      <c r="N16" s="114"/>
      <c r="O16" s="114"/>
    </row>
    <row r="17" spans="1:15" x14ac:dyDescent="0.25">
      <c r="A17" s="98" t="s">
        <v>635</v>
      </c>
      <c r="B17" s="130"/>
      <c r="C17" s="99" t="s">
        <v>581</v>
      </c>
      <c r="D17" s="130"/>
      <c r="E17" s="130"/>
      <c r="F17" s="130"/>
      <c r="G17" s="130"/>
      <c r="H17" s="130"/>
      <c r="I17" s="130"/>
      <c r="J17" s="130"/>
      <c r="K17" s="130"/>
      <c r="L17" s="130"/>
      <c r="M17" s="114"/>
      <c r="N17" s="114"/>
      <c r="O17" s="114"/>
    </row>
    <row r="18" spans="1:15" x14ac:dyDescent="0.25">
      <c r="A18" s="130">
        <f>57*'Y от Х6'!O47</f>
        <v>51.555304511563563</v>
      </c>
      <c r="B18" s="98" t="s">
        <v>580</v>
      </c>
      <c r="C18" s="130">
        <f>_xlfn.CHISQ.INV.RT(0.05,1)</f>
        <v>3.8414588206941236</v>
      </c>
      <c r="D18" s="130"/>
      <c r="E18" s="130"/>
      <c r="F18" s="130"/>
      <c r="G18" s="130"/>
      <c r="H18" s="130"/>
      <c r="I18" s="130"/>
      <c r="J18" s="130"/>
      <c r="K18" s="130"/>
      <c r="L18" s="130"/>
      <c r="M18" s="114"/>
      <c r="N18" s="114"/>
      <c r="O18" s="114"/>
    </row>
    <row r="19" spans="1:15" x14ac:dyDescent="0.25">
      <c r="A19" s="130" t="s">
        <v>584</v>
      </c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14"/>
      <c r="N19" s="114"/>
      <c r="O19" s="114"/>
    </row>
    <row r="20" spans="1:15" x14ac:dyDescent="0.25">
      <c r="A20" s="130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14"/>
      <c r="N20" s="114"/>
      <c r="O20" s="114"/>
    </row>
    <row r="21" spans="1:15" x14ac:dyDescent="0.25">
      <c r="A21" s="97" t="s">
        <v>656</v>
      </c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14"/>
      <c r="N21" s="114"/>
      <c r="O21" s="114"/>
    </row>
    <row r="22" spans="1:15" x14ac:dyDescent="0.25">
      <c r="A22" s="69" t="s">
        <v>585</v>
      </c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14"/>
      <c r="N22" s="114"/>
      <c r="O22" s="114"/>
    </row>
    <row r="23" spans="1:15" x14ac:dyDescent="0.25">
      <c r="A23" s="114" t="s">
        <v>586</v>
      </c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14"/>
      <c r="N23" s="114"/>
      <c r="O23" s="114"/>
    </row>
    <row r="24" spans="1:15" x14ac:dyDescent="0.25">
      <c r="A24" s="98" t="s">
        <v>628</v>
      </c>
      <c r="B24" s="98" t="s">
        <v>636</v>
      </c>
      <c r="C24" s="98" t="s">
        <v>628</v>
      </c>
      <c r="D24" s="98" t="s">
        <v>636</v>
      </c>
      <c r="E24" s="98" t="s">
        <v>628</v>
      </c>
      <c r="F24" s="98" t="s">
        <v>637</v>
      </c>
      <c r="G24" s="98"/>
      <c r="H24" s="98"/>
      <c r="I24" s="98"/>
      <c r="L24" s="130"/>
      <c r="M24" s="114"/>
      <c r="N24" s="114"/>
      <c r="O24" s="114"/>
    </row>
    <row r="25" spans="1:15" x14ac:dyDescent="0.25">
      <c r="A25" s="98">
        <f>COUNT('Y от Х6'!E3:E7)</f>
        <v>5</v>
      </c>
      <c r="B25" s="98">
        <f>COUNT('Y от Х6'!E8:E9)</f>
        <v>2</v>
      </c>
      <c r="C25" s="98">
        <f>COUNT('Y от Х6'!E10:E15)</f>
        <v>6</v>
      </c>
      <c r="D25" s="98">
        <f>COUNT('Y от Х6'!E16:E33)</f>
        <v>18</v>
      </c>
      <c r="E25" s="114">
        <f>COUNT('Y от Х6'!E34:E60)</f>
        <v>27</v>
      </c>
      <c r="F25" s="130">
        <f>SUM(A25:E25)</f>
        <v>58</v>
      </c>
      <c r="G25" s="114"/>
      <c r="H25" s="114"/>
      <c r="I25" s="114"/>
      <c r="L25" s="130"/>
      <c r="M25" s="114"/>
      <c r="N25" s="114"/>
      <c r="O25" s="114"/>
    </row>
    <row r="26" spans="1:15" ht="18" x14ac:dyDescent="0.35">
      <c r="A26" s="130" t="s">
        <v>587</v>
      </c>
      <c r="B26" s="130">
        <f>SUM(A25,C25,E25)</f>
        <v>38</v>
      </c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14"/>
      <c r="N26" s="114"/>
      <c r="O26" s="114"/>
    </row>
    <row r="27" spans="1:15" ht="18" x14ac:dyDescent="0.35">
      <c r="A27" s="130" t="s">
        <v>588</v>
      </c>
      <c r="B27" s="130">
        <f>SUM(B25,D25)</f>
        <v>20</v>
      </c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14"/>
      <c r="N27" s="114"/>
      <c r="O27" s="114"/>
    </row>
    <row r="28" spans="1:15" x14ac:dyDescent="0.25">
      <c r="A28" s="130" t="s">
        <v>589</v>
      </c>
      <c r="B28" s="130">
        <f>COUNT(A25:E25)</f>
        <v>5</v>
      </c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14"/>
      <c r="N28" s="114"/>
      <c r="O28" s="114"/>
    </row>
    <row r="29" spans="1:15" x14ac:dyDescent="0.25">
      <c r="A29" s="130" t="s">
        <v>590</v>
      </c>
      <c r="B29" s="130">
        <v>58</v>
      </c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14"/>
      <c r="N29" s="114"/>
      <c r="O29" s="114"/>
    </row>
    <row r="30" spans="1:15" x14ac:dyDescent="0.25">
      <c r="A30" s="130" t="s">
        <v>591</v>
      </c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14"/>
      <c r="N30" s="114"/>
      <c r="O30" s="114"/>
    </row>
    <row r="31" spans="1:15" x14ac:dyDescent="0.25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14"/>
      <c r="N31" s="114"/>
      <c r="O31" s="114"/>
    </row>
    <row r="32" spans="1:15" x14ac:dyDescent="0.25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14"/>
      <c r="N32" s="114"/>
      <c r="O32" s="114"/>
    </row>
    <row r="33" spans="1:15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14"/>
      <c r="N33" s="114"/>
      <c r="O33" s="114"/>
    </row>
    <row r="34" spans="1:15" x14ac:dyDescent="0.25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14"/>
      <c r="N34" s="114"/>
      <c r="O34" s="114"/>
    </row>
    <row r="35" spans="1:15" x14ac:dyDescent="0.25">
      <c r="A35" s="130" t="s">
        <v>592</v>
      </c>
      <c r="B35" s="130">
        <f>((2*B26*B27)/(B26+B27))+1</f>
        <v>27.206896551724139</v>
      </c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14"/>
      <c r="N35" s="114"/>
      <c r="O35" s="114"/>
    </row>
    <row r="36" spans="1:15" x14ac:dyDescent="0.25">
      <c r="A36" s="130" t="s">
        <v>593</v>
      </c>
      <c r="B36" s="130">
        <f>(2*B26*B27*(2*B26*B27-B26-B27))/((B26+B27)*(B26+B27)*(B26+B27-1))</f>
        <v>11.589377724930639</v>
      </c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14"/>
      <c r="N36" s="114"/>
      <c r="O36" s="114"/>
    </row>
    <row r="37" spans="1:15" x14ac:dyDescent="0.25">
      <c r="A37" s="130" t="s">
        <v>594</v>
      </c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14"/>
      <c r="N37" s="114"/>
      <c r="O37" s="114"/>
    </row>
    <row r="38" spans="1:15" x14ac:dyDescent="0.25">
      <c r="A38" s="130">
        <f>B35-B36</f>
        <v>15.6175188267935</v>
      </c>
      <c r="B38" s="98" t="s">
        <v>579</v>
      </c>
      <c r="C38" s="98" t="s">
        <v>589</v>
      </c>
      <c r="D38" s="98" t="s">
        <v>579</v>
      </c>
      <c r="E38" s="130">
        <f>B35+B36</f>
        <v>38.796274276654778</v>
      </c>
      <c r="F38" s="130"/>
      <c r="G38" s="130"/>
      <c r="H38" s="130"/>
      <c r="I38" s="130"/>
      <c r="J38" s="130"/>
      <c r="K38" s="130"/>
      <c r="L38" s="130"/>
      <c r="M38" s="114"/>
      <c r="N38" s="114"/>
      <c r="O38" s="114"/>
    </row>
    <row r="39" spans="1:15" x14ac:dyDescent="0.25">
      <c r="A39" s="130" t="s">
        <v>595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14"/>
      <c r="N39" s="114"/>
      <c r="O39" s="114"/>
    </row>
    <row r="40" spans="1:15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14"/>
      <c r="N40" s="114"/>
      <c r="O40" s="114"/>
    </row>
    <row r="41" spans="1:15" x14ac:dyDescent="0.25">
      <c r="A41" s="97" t="s">
        <v>657</v>
      </c>
      <c r="B41" s="130"/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14"/>
      <c r="N41" s="114"/>
      <c r="O41" s="114"/>
    </row>
    <row r="42" spans="1:15" x14ac:dyDescent="0.25">
      <c r="A42" s="130" t="s">
        <v>597</v>
      </c>
      <c r="B42" s="130"/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14"/>
      <c r="N42" s="114"/>
      <c r="O42" s="114"/>
    </row>
    <row r="43" spans="1:15" x14ac:dyDescent="0.25">
      <c r="A43" s="114"/>
      <c r="B43" s="114"/>
      <c r="C43" s="114"/>
      <c r="D43" s="114"/>
      <c r="E43" s="114"/>
      <c r="F43" s="114"/>
      <c r="G43" s="114"/>
      <c r="H43" s="114"/>
      <c r="I43" s="114"/>
      <c r="J43" s="114"/>
      <c r="K43" s="130"/>
      <c r="L43" s="130"/>
      <c r="M43" s="114"/>
      <c r="N43" s="114"/>
      <c r="O43" s="114"/>
    </row>
    <row r="44" spans="1:15" x14ac:dyDescent="0.25">
      <c r="A44" s="114"/>
      <c r="B44" s="114"/>
      <c r="C44" s="114"/>
      <c r="D44" s="114"/>
      <c r="E44" s="114"/>
      <c r="F44" s="114"/>
      <c r="G44" s="114"/>
      <c r="H44" s="114"/>
      <c r="I44" s="114"/>
      <c r="J44" s="114"/>
      <c r="K44" s="130"/>
      <c r="L44" s="130"/>
      <c r="M44" s="114"/>
      <c r="N44" s="114"/>
      <c r="O44" s="114"/>
    </row>
    <row r="45" spans="1:15" x14ac:dyDescent="0.25">
      <c r="A45" s="114"/>
      <c r="B45" s="114"/>
      <c r="C45" s="114"/>
      <c r="D45" s="114"/>
      <c r="E45" s="114"/>
      <c r="F45" s="114"/>
      <c r="G45" s="114"/>
      <c r="H45" s="114"/>
      <c r="I45" s="114"/>
      <c r="J45" s="114"/>
      <c r="K45" s="130"/>
      <c r="L45" s="130"/>
      <c r="M45" s="114"/>
      <c r="N45" s="114"/>
      <c r="O45" s="114"/>
    </row>
    <row r="46" spans="1:15" x14ac:dyDescent="0.25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14"/>
      <c r="N46" s="114"/>
      <c r="O46" s="114"/>
    </row>
    <row r="47" spans="1:15" x14ac:dyDescent="0.25">
      <c r="A47" s="114" t="s">
        <v>596</v>
      </c>
      <c r="B47" s="112">
        <f>'Y от Х6'!H61/'Y от Х6'!G61</f>
        <v>1.6657667398391985E-4</v>
      </c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14"/>
      <c r="N47" s="114"/>
      <c r="O47" s="114"/>
    </row>
    <row r="48" spans="1:15" ht="18" x14ac:dyDescent="0.35">
      <c r="A48" s="114" t="s">
        <v>664</v>
      </c>
      <c r="B48" s="114"/>
      <c r="C48" s="114"/>
      <c r="D48" s="114"/>
      <c r="E48" s="114"/>
      <c r="F48" s="130"/>
      <c r="G48" s="130"/>
      <c r="H48" s="130"/>
      <c r="I48" s="130"/>
      <c r="J48" s="130"/>
      <c r="K48" s="130"/>
      <c r="L48" s="130"/>
      <c r="M48" s="114"/>
      <c r="N48" s="114"/>
      <c r="O48" s="114"/>
    </row>
    <row r="49" spans="1:15" ht="18" x14ac:dyDescent="0.35">
      <c r="A49" s="114" t="s">
        <v>598</v>
      </c>
      <c r="B49" s="114">
        <v>1.53</v>
      </c>
      <c r="C49" s="114"/>
      <c r="D49" s="114"/>
      <c r="E49" s="114"/>
      <c r="F49" s="130"/>
      <c r="G49" s="130"/>
      <c r="H49" s="130"/>
      <c r="I49" s="130"/>
      <c r="J49" s="130"/>
      <c r="K49" s="130"/>
      <c r="L49" s="130"/>
      <c r="M49" s="114"/>
      <c r="N49" s="114"/>
      <c r="O49" s="114"/>
    </row>
    <row r="50" spans="1:15" ht="18" x14ac:dyDescent="0.35">
      <c r="A50" s="114" t="s">
        <v>599</v>
      </c>
      <c r="B50" s="114">
        <v>1.6</v>
      </c>
      <c r="C50" s="114"/>
      <c r="D50" s="114"/>
      <c r="E50" s="114"/>
      <c r="F50" s="130"/>
      <c r="G50" s="130"/>
      <c r="H50" s="130"/>
      <c r="I50" s="130"/>
      <c r="J50" s="130"/>
      <c r="K50" s="130"/>
      <c r="L50" s="130"/>
      <c r="M50" s="114"/>
      <c r="N50" s="114"/>
      <c r="O50" s="114"/>
    </row>
    <row r="51" spans="1:15" ht="18" x14ac:dyDescent="0.35">
      <c r="A51" s="114">
        <v>0</v>
      </c>
      <c r="B51" s="120" t="s">
        <v>579</v>
      </c>
      <c r="C51" s="120" t="s">
        <v>596</v>
      </c>
      <c r="D51" s="120" t="s">
        <v>579</v>
      </c>
      <c r="E51" s="114" t="s">
        <v>598</v>
      </c>
      <c r="F51" s="130"/>
      <c r="G51" s="130"/>
      <c r="H51" s="130"/>
      <c r="I51" s="130"/>
      <c r="J51" s="130"/>
      <c r="K51" s="130"/>
      <c r="L51" s="130"/>
      <c r="M51" s="114"/>
      <c r="N51" s="114"/>
      <c r="O51" s="114"/>
    </row>
    <row r="52" spans="1:15" x14ac:dyDescent="0.25">
      <c r="A52" s="114" t="s">
        <v>600</v>
      </c>
      <c r="B52" s="114"/>
      <c r="C52" s="114"/>
      <c r="D52" s="114"/>
      <c r="E52" s="114"/>
      <c r="F52" s="130"/>
      <c r="G52" s="130"/>
      <c r="H52" s="130"/>
      <c r="I52" s="130"/>
      <c r="J52" s="130"/>
      <c r="K52" s="130"/>
      <c r="L52" s="130"/>
      <c r="M52" s="114"/>
      <c r="N52" s="114"/>
      <c r="O52" s="114"/>
    </row>
    <row r="53" spans="1:15" x14ac:dyDescent="0.25">
      <c r="A53" s="114"/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</row>
    <row r="54" spans="1:15" x14ac:dyDescent="0.25">
      <c r="A54" s="114"/>
      <c r="B54" s="114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</row>
    <row r="55" spans="1:15" x14ac:dyDescent="0.25">
      <c r="A55" s="114"/>
      <c r="B55" s="114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</row>
  </sheetData>
  <hyperlinks>
    <hyperlink ref="A6" location="'Y от Х6'!N4:R6" display="1.2. Рассчёт t-  и F-статистики показывают, что значимо как уравнение в целом, так и его коэффициенты"/>
    <hyperlink ref="A7" location="'Y от Х6'!O9" display="1.3. Уравнением регрессии объясняется 53% результирующего показателя"/>
    <hyperlink ref="A8" location="'Y от Х6'!O12" display="1.4. Средняя ошибка аппроксимации равна6,36, что говорит о хорошем качестве уравнения."/>
    <hyperlink ref="A9" location="'Y от Х6'!Q21:W27" display="1.5. При проверке предпосылок МНК было обнаружено нарушение четвёртой предпосылки"/>
    <hyperlink ref="A15" location="'Y от Х6'!O43:P49" display="Построим с помощью функции ЛИНЕЙН вспомогательную модель по Y=ɛ, X=ɛt-1"/>
    <hyperlink ref="A22" location="'Y от Х6'!E4:E61" display="Этот метод основан на определении знаков отклонений"/>
    <hyperlink ref="A10" location="'АД Y от Х6'!A1" display="1.6. Проверили расчёты с помощью АНАЛИЗА ДАННЫХ"/>
    <hyperlink ref="A4" location="'Y от Х6'!A1" display="1.1. Получили уравнение вида:"/>
    <hyperlink ref="A11" location="'АД Y от Х6'!D24:D82" display="1.7. Cтандартные остатки АНАЛИЗА ДАННЫХ находятся в пределах допустимых значений [-2;2] =&gt; Выбросы отсутствуют.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workbookViewId="0"/>
  </sheetViews>
  <sheetFormatPr defaultRowHeight="15" x14ac:dyDescent="0.25"/>
  <cols>
    <col min="1" max="1" width="11.5703125" customWidth="1"/>
  </cols>
  <sheetData>
    <row r="1" spans="1:11" x14ac:dyDescent="0.25">
      <c r="A1" s="146" t="s">
        <v>725</v>
      </c>
    </row>
    <row r="2" spans="1:11" x14ac:dyDescent="0.25">
      <c r="A2" s="159" t="s">
        <v>726</v>
      </c>
      <c r="B2" s="157"/>
      <c r="C2" s="157"/>
      <c r="D2" s="135"/>
      <c r="E2" s="135"/>
      <c r="F2" s="135"/>
      <c r="G2" s="135"/>
      <c r="H2" s="135"/>
      <c r="I2" s="135"/>
      <c r="J2" s="135"/>
      <c r="K2" s="135"/>
    </row>
    <row r="3" spans="1:11" ht="18" x14ac:dyDescent="0.35">
      <c r="A3" s="155" t="s">
        <v>706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</row>
    <row r="4" spans="1:11" ht="18" x14ac:dyDescent="0.35">
      <c r="A4" s="135" t="s">
        <v>707</v>
      </c>
      <c r="B4" s="135"/>
      <c r="C4" s="165"/>
      <c r="D4" s="165"/>
      <c r="E4" s="165"/>
      <c r="F4" s="165"/>
      <c r="G4" s="165"/>
      <c r="H4" s="165"/>
      <c r="I4" s="165"/>
      <c r="J4" s="165"/>
      <c r="K4" s="165"/>
    </row>
    <row r="5" spans="1:11" x14ac:dyDescent="0.25">
      <c r="A5" s="135" t="s">
        <v>708</v>
      </c>
      <c r="B5" s="135"/>
      <c r="C5" s="165"/>
      <c r="D5" s="135"/>
      <c r="E5" s="135"/>
      <c r="F5" s="135"/>
      <c r="G5" s="135"/>
      <c r="H5" s="135"/>
      <c r="I5" s="135"/>
      <c r="J5" s="135"/>
      <c r="K5" s="135"/>
    </row>
    <row r="6" spans="1:11" x14ac:dyDescent="0.25">
      <c r="A6" s="155" t="s">
        <v>709</v>
      </c>
      <c r="B6" s="135"/>
      <c r="C6" s="135"/>
      <c r="D6" s="135"/>
      <c r="E6" s="135"/>
      <c r="F6" s="135"/>
      <c r="G6" s="135"/>
      <c r="H6" s="135"/>
      <c r="I6" s="155"/>
      <c r="J6" s="135"/>
      <c r="K6" s="135"/>
    </row>
    <row r="7" spans="1:11" x14ac:dyDescent="0.25">
      <c r="A7" s="155" t="s">
        <v>710</v>
      </c>
      <c r="B7" s="135"/>
      <c r="C7" s="135"/>
      <c r="D7" s="135"/>
      <c r="E7" s="135"/>
      <c r="F7" s="135"/>
      <c r="G7" s="135"/>
      <c r="H7" s="135"/>
      <c r="I7" s="155"/>
      <c r="J7" s="135"/>
      <c r="K7" s="135"/>
    </row>
    <row r="8" spans="1:11" x14ac:dyDescent="0.25">
      <c r="A8" s="135" t="s">
        <v>711</v>
      </c>
      <c r="B8" s="135"/>
      <c r="C8" s="135"/>
      <c r="D8" s="135"/>
      <c r="E8" s="135"/>
      <c r="F8" s="135"/>
      <c r="G8" s="135"/>
      <c r="H8" s="135"/>
      <c r="I8" s="135"/>
      <c r="J8" s="135"/>
      <c r="K8" s="135"/>
    </row>
    <row r="9" spans="1:11" x14ac:dyDescent="0.25">
      <c r="A9" s="135" t="s">
        <v>712</v>
      </c>
      <c r="B9" s="135"/>
      <c r="C9" s="135"/>
      <c r="D9" s="135"/>
      <c r="E9" s="135"/>
      <c r="F9" s="135"/>
      <c r="G9" s="135"/>
      <c r="H9" s="135"/>
      <c r="I9" s="135"/>
      <c r="J9" s="135"/>
      <c r="K9" s="135"/>
    </row>
    <row r="10" spans="1:11" x14ac:dyDescent="0.25">
      <c r="A10" s="155" t="s">
        <v>713</v>
      </c>
      <c r="B10" s="135"/>
      <c r="C10" s="135"/>
      <c r="D10" s="135"/>
      <c r="E10" s="135"/>
      <c r="F10" s="135"/>
      <c r="G10" s="135"/>
      <c r="H10" s="135"/>
      <c r="I10" s="155"/>
      <c r="J10" s="135"/>
      <c r="K10" s="135"/>
    </row>
    <row r="11" spans="1:11" x14ac:dyDescent="0.25">
      <c r="A11" s="155" t="s">
        <v>714</v>
      </c>
      <c r="B11" s="135"/>
      <c r="C11" s="135"/>
      <c r="D11" s="135"/>
      <c r="E11" s="135"/>
      <c r="F11" s="135"/>
      <c r="G11" s="135"/>
      <c r="H11" s="135"/>
      <c r="I11" s="155"/>
      <c r="J11" s="135"/>
      <c r="K11" s="135"/>
    </row>
    <row r="12" spans="1:11" x14ac:dyDescent="0.25">
      <c r="A12" s="135" t="s">
        <v>715</v>
      </c>
      <c r="B12" s="135"/>
      <c r="C12" s="135"/>
      <c r="D12" s="135"/>
      <c r="E12" s="135"/>
      <c r="F12" s="135"/>
      <c r="G12" s="135"/>
      <c r="H12" s="135"/>
      <c r="I12" s="135"/>
      <c r="J12" s="135"/>
      <c r="K12" s="135"/>
    </row>
    <row r="13" spans="1:11" x14ac:dyDescent="0.25">
      <c r="A13" s="135" t="s">
        <v>716</v>
      </c>
      <c r="B13" s="135"/>
      <c r="C13" s="135"/>
      <c r="D13" s="135"/>
      <c r="E13" s="135"/>
      <c r="F13" s="135"/>
      <c r="G13" s="135"/>
      <c r="H13" s="135"/>
      <c r="I13" s="135"/>
      <c r="J13" s="135"/>
      <c r="K13" s="135"/>
    </row>
    <row r="14" spans="1:11" x14ac:dyDescent="0.25">
      <c r="A14" s="155" t="s">
        <v>717</v>
      </c>
      <c r="B14" s="135"/>
      <c r="C14" s="135"/>
      <c r="D14" s="135"/>
      <c r="E14" s="135"/>
      <c r="F14" s="135"/>
      <c r="G14" s="135"/>
      <c r="H14" s="135"/>
      <c r="I14" s="135"/>
      <c r="J14" s="135"/>
      <c r="K14" s="135"/>
    </row>
    <row r="15" spans="1:11" x14ac:dyDescent="0.25">
      <c r="A15" s="155" t="s">
        <v>718</v>
      </c>
      <c r="B15" s="135"/>
      <c r="C15" s="135"/>
      <c r="D15" s="135"/>
      <c r="E15" s="135"/>
      <c r="F15" s="135"/>
      <c r="G15" s="135"/>
      <c r="H15" s="135"/>
      <c r="I15" s="135"/>
      <c r="J15" s="135"/>
      <c r="K15" s="135"/>
    </row>
    <row r="16" spans="1:11" x14ac:dyDescent="0.25">
      <c r="A16" s="135" t="s">
        <v>719</v>
      </c>
      <c r="B16" s="135"/>
      <c r="C16" s="135"/>
      <c r="D16" s="135"/>
      <c r="E16" s="135"/>
      <c r="F16" s="135"/>
      <c r="G16" s="135"/>
      <c r="H16" s="135"/>
      <c r="I16" s="135"/>
      <c r="J16" s="135"/>
      <c r="K16" s="135"/>
    </row>
    <row r="17" spans="1:16" x14ac:dyDescent="0.25">
      <c r="A17" s="135" t="s">
        <v>720</v>
      </c>
      <c r="B17" s="135"/>
      <c r="C17" s="135"/>
      <c r="D17" s="135"/>
      <c r="E17" s="135"/>
    </row>
    <row r="18" spans="1:16" x14ac:dyDescent="0.25">
      <c r="A18" s="155" t="s">
        <v>721</v>
      </c>
      <c r="B18" s="135"/>
      <c r="C18" s="135"/>
      <c r="D18" s="135"/>
      <c r="E18" s="135"/>
    </row>
    <row r="19" spans="1:16" x14ac:dyDescent="0.25">
      <c r="A19" s="155" t="s">
        <v>722</v>
      </c>
      <c r="B19" s="135"/>
      <c r="C19" s="135"/>
      <c r="D19" s="135"/>
      <c r="E19" s="135"/>
    </row>
    <row r="20" spans="1:16" x14ac:dyDescent="0.25">
      <c r="A20" s="135" t="s">
        <v>723</v>
      </c>
      <c r="B20" s="135"/>
      <c r="C20" s="135"/>
      <c r="D20" s="135"/>
      <c r="E20" s="135"/>
    </row>
    <row r="21" spans="1:16" x14ac:dyDescent="0.25">
      <c r="A21" s="135" t="s">
        <v>724</v>
      </c>
      <c r="B21" s="135"/>
      <c r="C21" s="135"/>
      <c r="D21" s="135"/>
      <c r="E21" s="135"/>
    </row>
    <row r="22" spans="1:16" x14ac:dyDescent="0.25">
      <c r="A22" s="135" t="s">
        <v>729</v>
      </c>
      <c r="B22" s="135"/>
      <c r="C22" s="135"/>
      <c r="D22" s="135"/>
      <c r="E22" s="135"/>
    </row>
    <row r="24" spans="1:16" x14ac:dyDescent="0.25">
      <c r="A24" s="107" t="s">
        <v>730</v>
      </c>
      <c r="B24" s="158"/>
      <c r="C24" s="158"/>
      <c r="D24" s="167"/>
      <c r="E24" s="167"/>
      <c r="F24" s="167"/>
      <c r="G24" s="167"/>
      <c r="H24" s="167"/>
      <c r="I24" s="167"/>
      <c r="J24" s="167"/>
      <c r="K24" s="167"/>
      <c r="L24" s="167"/>
      <c r="M24" s="135"/>
      <c r="N24" s="135"/>
      <c r="O24" s="135"/>
      <c r="P24" s="135"/>
    </row>
    <row r="25" spans="1:16" x14ac:dyDescent="0.25">
      <c r="A25" s="155" t="s">
        <v>658</v>
      </c>
      <c r="B25" s="157"/>
      <c r="C25" s="157"/>
      <c r="D25" s="153"/>
      <c r="E25" s="153"/>
      <c r="F25" s="153"/>
      <c r="G25" s="153"/>
      <c r="H25" s="153"/>
      <c r="I25" s="153"/>
      <c r="J25" s="153"/>
      <c r="K25" s="66"/>
      <c r="L25" s="135"/>
      <c r="M25" s="135"/>
      <c r="N25" s="135"/>
      <c r="O25" s="135"/>
      <c r="P25" s="135"/>
    </row>
    <row r="26" spans="1:16" ht="18" x14ac:dyDescent="0.35">
      <c r="A26" s="168" t="s">
        <v>734</v>
      </c>
      <c r="B26" s="168"/>
      <c r="C26" s="168"/>
      <c r="D26" s="153"/>
      <c r="E26" s="152"/>
      <c r="F26" s="152"/>
      <c r="G26" s="152"/>
      <c r="H26" s="152"/>
      <c r="I26" s="152"/>
      <c r="J26" s="153"/>
      <c r="K26" s="66"/>
      <c r="L26" s="135"/>
      <c r="M26" s="135"/>
      <c r="N26" s="135"/>
      <c r="O26" s="135"/>
      <c r="P26" s="135"/>
    </row>
    <row r="27" spans="1:16" x14ac:dyDescent="0.25">
      <c r="A27" s="155" t="s">
        <v>659</v>
      </c>
      <c r="B27" s="135"/>
      <c r="C27" s="135"/>
      <c r="D27" s="71"/>
      <c r="E27" s="71"/>
      <c r="F27" s="71"/>
      <c r="G27" s="71"/>
      <c r="H27" s="71"/>
      <c r="I27" s="71"/>
      <c r="J27" s="71"/>
      <c r="K27" s="66"/>
      <c r="L27" s="135"/>
      <c r="M27" s="135"/>
      <c r="N27" s="135"/>
      <c r="O27" s="135"/>
      <c r="P27" s="135"/>
    </row>
    <row r="28" spans="1:16" x14ac:dyDescent="0.25">
      <c r="A28" s="156" t="s">
        <v>704</v>
      </c>
      <c r="B28" s="135"/>
      <c r="C28" s="135"/>
      <c r="D28" s="66"/>
      <c r="E28" s="66"/>
      <c r="F28" s="66"/>
      <c r="G28" s="66"/>
      <c r="H28" s="66"/>
      <c r="I28" s="66"/>
      <c r="J28" s="71"/>
      <c r="K28" s="66"/>
      <c r="L28" s="135"/>
      <c r="M28" s="135"/>
      <c r="N28" s="135"/>
      <c r="O28" s="135"/>
      <c r="P28" s="135"/>
    </row>
    <row r="29" spans="1:16" x14ac:dyDescent="0.25">
      <c r="A29" s="73" t="s">
        <v>705</v>
      </c>
      <c r="B29" s="135"/>
      <c r="C29" s="152"/>
      <c r="D29" s="66"/>
      <c r="E29" s="66"/>
      <c r="F29" s="66"/>
      <c r="G29" s="66"/>
      <c r="H29" s="66"/>
      <c r="I29" s="66"/>
      <c r="J29" s="151"/>
      <c r="K29" s="66"/>
      <c r="L29" s="135"/>
      <c r="M29" s="135"/>
      <c r="N29" s="135"/>
      <c r="O29" s="135"/>
      <c r="P29" s="135"/>
    </row>
    <row r="30" spans="1:16" x14ac:dyDescent="0.25">
      <c r="A30" s="155" t="s">
        <v>662</v>
      </c>
      <c r="B30" s="70"/>
      <c r="C30" s="152"/>
      <c r="D30" s="66"/>
      <c r="E30" s="66"/>
      <c r="F30" s="66"/>
      <c r="G30" s="66"/>
      <c r="H30" s="66"/>
      <c r="I30" s="66"/>
      <c r="J30" s="151"/>
      <c r="K30" s="66"/>
      <c r="L30" s="135"/>
      <c r="M30" s="135"/>
      <c r="N30" s="135"/>
      <c r="O30" s="135"/>
      <c r="P30" s="135"/>
    </row>
    <row r="31" spans="1:16" x14ac:dyDescent="0.25">
      <c r="A31" s="155" t="s">
        <v>663</v>
      </c>
      <c r="B31" s="70"/>
      <c r="C31" s="152"/>
      <c r="D31" s="66"/>
      <c r="E31" s="66"/>
      <c r="F31" s="66"/>
      <c r="G31" s="66"/>
      <c r="H31" s="66"/>
      <c r="I31" s="66"/>
      <c r="J31" s="151"/>
      <c r="K31" s="66"/>
      <c r="L31" s="135"/>
      <c r="M31" s="135"/>
      <c r="N31" s="135"/>
      <c r="O31" s="135"/>
      <c r="P31" s="135"/>
    </row>
    <row r="32" spans="1:16" x14ac:dyDescent="0.25">
      <c r="A32" s="155"/>
      <c r="B32" s="70"/>
      <c r="C32" s="152"/>
      <c r="D32" s="66"/>
      <c r="E32" s="66"/>
      <c r="F32" s="66"/>
      <c r="G32" s="66"/>
      <c r="H32" s="66"/>
      <c r="I32" s="66"/>
      <c r="J32" s="151"/>
      <c r="K32" s="66"/>
      <c r="L32" s="135"/>
      <c r="M32" s="135"/>
      <c r="N32" s="135"/>
      <c r="O32" s="135"/>
      <c r="P32" s="135"/>
    </row>
    <row r="33" spans="1:16" x14ac:dyDescent="0.25">
      <c r="A33" s="97" t="s">
        <v>640</v>
      </c>
      <c r="B33" s="167"/>
      <c r="C33" s="167"/>
      <c r="D33" s="167"/>
      <c r="E33" s="167"/>
      <c r="F33" s="167"/>
      <c r="G33" s="167"/>
      <c r="H33" s="167"/>
      <c r="I33" s="167"/>
      <c r="J33" s="167"/>
      <c r="K33" s="167"/>
      <c r="L33" s="167"/>
      <c r="M33" s="135"/>
      <c r="N33" s="135"/>
      <c r="O33" s="135"/>
      <c r="P33" s="135"/>
    </row>
    <row r="34" spans="1:16" x14ac:dyDescent="0.25">
      <c r="A34" s="167" t="s">
        <v>578</v>
      </c>
      <c r="B34" s="167"/>
      <c r="C34" s="167"/>
      <c r="D34" s="167"/>
      <c r="E34" s="167"/>
      <c r="F34" s="167"/>
      <c r="G34" s="167"/>
      <c r="H34" s="167"/>
      <c r="I34" s="167"/>
      <c r="J34" s="167"/>
      <c r="K34" s="167"/>
      <c r="L34" s="167"/>
      <c r="M34" s="135"/>
      <c r="N34" s="135"/>
      <c r="O34" s="135"/>
      <c r="P34" s="135"/>
    </row>
    <row r="35" spans="1:16" x14ac:dyDescent="0.25">
      <c r="A35" s="69" t="s">
        <v>582</v>
      </c>
      <c r="B35" s="167"/>
      <c r="C35" s="167"/>
      <c r="D35" s="167"/>
      <c r="E35" s="167"/>
      <c r="F35" s="167"/>
      <c r="G35" s="167"/>
      <c r="H35" s="167"/>
      <c r="I35" s="167"/>
      <c r="J35" s="167"/>
      <c r="K35" s="167"/>
      <c r="L35" s="167"/>
      <c r="M35" s="135"/>
      <c r="N35" s="135"/>
      <c r="O35" s="135"/>
      <c r="P35" s="135"/>
    </row>
    <row r="36" spans="1:16" x14ac:dyDescent="0.25">
      <c r="A36" s="167" t="s">
        <v>583</v>
      </c>
      <c r="B36" s="167"/>
      <c r="C36" s="167"/>
      <c r="D36" s="167"/>
      <c r="E36" s="167"/>
      <c r="F36" s="167"/>
      <c r="G36" s="167"/>
      <c r="H36" s="167"/>
      <c r="I36" s="167"/>
      <c r="J36" s="167"/>
      <c r="K36" s="167"/>
      <c r="L36" s="167"/>
      <c r="M36" s="135"/>
      <c r="N36" s="135"/>
      <c r="O36" s="135"/>
      <c r="P36" s="135"/>
    </row>
    <row r="37" spans="1:16" x14ac:dyDescent="0.25">
      <c r="A37" s="98" t="s">
        <v>635</v>
      </c>
      <c r="B37" s="167"/>
      <c r="C37" s="99" t="s">
        <v>581</v>
      </c>
      <c r="D37" s="167"/>
      <c r="E37" s="167"/>
      <c r="F37" s="167"/>
      <c r="G37" s="167"/>
      <c r="H37" s="167"/>
      <c r="I37" s="167"/>
      <c r="J37" s="167"/>
      <c r="K37" s="167"/>
      <c r="L37" s="167"/>
      <c r="M37" s="135"/>
      <c r="N37" s="135"/>
      <c r="O37" s="135"/>
      <c r="P37" s="135"/>
    </row>
    <row r="38" spans="1:16" x14ac:dyDescent="0.25">
      <c r="A38" s="167">
        <f>57*'Y от Х5 и Х6'!P47</f>
        <v>24.921865445209335</v>
      </c>
      <c r="B38" s="98" t="s">
        <v>580</v>
      </c>
      <c r="C38" s="167">
        <f>_xlfn.CHISQ.INV.RT(0.05,2)</f>
        <v>5.9914645471079817</v>
      </c>
      <c r="D38" s="167"/>
      <c r="E38" s="167"/>
      <c r="F38" s="167"/>
      <c r="G38" s="167"/>
      <c r="H38" s="167"/>
      <c r="I38" s="167"/>
      <c r="J38" s="167"/>
      <c r="K38" s="167"/>
      <c r="L38" s="167"/>
      <c r="M38" s="135"/>
      <c r="N38" s="135"/>
      <c r="O38" s="135"/>
      <c r="P38" s="135"/>
    </row>
    <row r="39" spans="1:16" x14ac:dyDescent="0.25">
      <c r="A39" s="167" t="s">
        <v>584</v>
      </c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35"/>
      <c r="N39" s="135"/>
      <c r="O39" s="135"/>
      <c r="P39" s="135"/>
    </row>
    <row r="40" spans="1:16" x14ac:dyDescent="0.25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35"/>
      <c r="N40" s="135"/>
      <c r="O40" s="135"/>
      <c r="P40" s="135"/>
    </row>
    <row r="41" spans="1:16" x14ac:dyDescent="0.25">
      <c r="A41" s="97" t="s">
        <v>641</v>
      </c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35"/>
      <c r="N41" s="135"/>
      <c r="O41" s="135"/>
      <c r="P41" s="135"/>
    </row>
    <row r="42" spans="1:16" x14ac:dyDescent="0.25">
      <c r="A42" s="69" t="s">
        <v>585</v>
      </c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35"/>
      <c r="N42" s="135"/>
      <c r="O42" s="135"/>
      <c r="P42" s="135"/>
    </row>
    <row r="43" spans="1:16" x14ac:dyDescent="0.25">
      <c r="A43" s="135" t="s">
        <v>586</v>
      </c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35"/>
      <c r="N43" s="135"/>
      <c r="O43" s="135"/>
      <c r="P43" s="135"/>
    </row>
    <row r="44" spans="1:16" x14ac:dyDescent="0.25">
      <c r="A44" s="149" t="s">
        <v>627</v>
      </c>
      <c r="B44" s="98" t="s">
        <v>628</v>
      </c>
      <c r="C44" s="98" t="s">
        <v>636</v>
      </c>
      <c r="D44" s="98" t="s">
        <v>628</v>
      </c>
      <c r="E44" s="98" t="s">
        <v>636</v>
      </c>
      <c r="F44" s="98" t="s">
        <v>628</v>
      </c>
      <c r="G44" s="98" t="s">
        <v>636</v>
      </c>
      <c r="H44" s="98" t="s">
        <v>628</v>
      </c>
      <c r="I44" s="98" t="s">
        <v>636</v>
      </c>
      <c r="J44" s="98" t="s">
        <v>628</v>
      </c>
      <c r="K44" s="98" t="s">
        <v>636</v>
      </c>
      <c r="L44" s="98" t="s">
        <v>628</v>
      </c>
      <c r="M44" s="98" t="s">
        <v>637</v>
      </c>
      <c r="N44" s="135"/>
      <c r="O44" s="135"/>
      <c r="P44" s="135"/>
    </row>
    <row r="45" spans="1:16" x14ac:dyDescent="0.25">
      <c r="A45">
        <f>COUNT('Y от Х5 и Х6'!F3)</f>
        <v>1</v>
      </c>
      <c r="B45" s="98">
        <f>COUNT('Y от Х5 и Х6'!F4)</f>
        <v>1</v>
      </c>
      <c r="C45" s="98">
        <f>COUNT('Y от Х5 и Х6'!F5:F9)</f>
        <v>5</v>
      </c>
      <c r="D45" s="98">
        <f>COUNT('Y от Х5 и Х6'!F10:F17)</f>
        <v>8</v>
      </c>
      <c r="E45" s="98">
        <f>COUNT('Y от Х5 и Х6'!F18:F25)</f>
        <v>8</v>
      </c>
      <c r="F45" s="135">
        <f>COUNT('Y от Х5 и Х6'!F26)</f>
        <v>1</v>
      </c>
      <c r="G45" s="135">
        <f>COUNT('Y от Х5 и Х6'!F27:F31)</f>
        <v>5</v>
      </c>
      <c r="H45" s="135">
        <f>COUNT('Y от Х5 и Х6'!F32:F38)</f>
        <v>7</v>
      </c>
      <c r="I45" s="135">
        <f>COUNT('Y от Х5 и Х6'!F39)</f>
        <v>1</v>
      </c>
      <c r="J45" s="135">
        <f>COUNT('Y от Х5 и Х6'!F40:F46)</f>
        <v>7</v>
      </c>
      <c r="K45" s="135">
        <f>COUNT('Y от Х5 и Х6'!F47:F56)</f>
        <v>10</v>
      </c>
      <c r="L45" s="135">
        <f>COUNT('Y от Х5 и Х6'!F57:F60)</f>
        <v>4</v>
      </c>
      <c r="M45" s="167">
        <f>SUM(A45:L45)</f>
        <v>58</v>
      </c>
      <c r="N45" s="135"/>
      <c r="O45" s="135"/>
      <c r="P45" s="135"/>
    </row>
    <row r="46" spans="1:16" ht="18" x14ac:dyDescent="0.35">
      <c r="A46" s="167" t="s">
        <v>587</v>
      </c>
      <c r="B46" s="167">
        <f>SUM(B45,D45,F45,H45,J45,L45)</f>
        <v>28</v>
      </c>
      <c r="C46" s="167"/>
      <c r="D46" s="167"/>
      <c r="E46" s="167"/>
      <c r="F46" s="167"/>
      <c r="G46" s="167"/>
      <c r="H46" s="167"/>
      <c r="I46" s="167"/>
      <c r="J46" s="167"/>
      <c r="K46" s="167"/>
      <c r="L46" s="167"/>
      <c r="M46" s="135"/>
      <c r="N46" s="135"/>
      <c r="O46" s="135"/>
      <c r="P46" s="135"/>
    </row>
    <row r="47" spans="1:16" ht="18" x14ac:dyDescent="0.35">
      <c r="A47" s="167" t="s">
        <v>588</v>
      </c>
      <c r="B47" s="167">
        <f>SUM(A45,C45,E45,G45,I45,K45)</f>
        <v>30</v>
      </c>
      <c r="C47" s="167"/>
      <c r="D47" s="167"/>
      <c r="E47" s="167"/>
      <c r="F47" s="167"/>
      <c r="G47" s="167"/>
      <c r="H47" s="167"/>
      <c r="I47" s="167"/>
      <c r="J47" s="167"/>
      <c r="K47" s="167"/>
      <c r="L47" s="167"/>
      <c r="M47" s="135"/>
      <c r="N47" s="135"/>
      <c r="O47" s="135"/>
      <c r="P47" s="135"/>
    </row>
    <row r="48" spans="1:16" x14ac:dyDescent="0.25">
      <c r="A48" s="167" t="s">
        <v>589</v>
      </c>
      <c r="B48" s="167">
        <f>COUNT(A45:L45)</f>
        <v>12</v>
      </c>
      <c r="C48" s="167"/>
      <c r="D48" s="167"/>
      <c r="E48" s="167"/>
      <c r="F48" s="167"/>
      <c r="G48" s="167"/>
      <c r="H48" s="167"/>
      <c r="I48" s="167"/>
      <c r="J48" s="167"/>
      <c r="K48" s="167"/>
      <c r="L48" s="167"/>
      <c r="M48" s="135"/>
      <c r="N48" s="135"/>
      <c r="O48" s="135"/>
      <c r="P48" s="135"/>
    </row>
    <row r="49" spans="1:16" x14ac:dyDescent="0.25">
      <c r="A49" s="167" t="s">
        <v>590</v>
      </c>
      <c r="B49" s="167">
        <v>58</v>
      </c>
      <c r="C49" s="167"/>
      <c r="D49" s="167"/>
      <c r="E49" s="167"/>
      <c r="F49" s="167"/>
      <c r="G49" s="167"/>
      <c r="H49" s="167"/>
      <c r="I49" s="167"/>
      <c r="J49" s="167"/>
      <c r="K49" s="167"/>
      <c r="L49" s="167"/>
      <c r="M49" s="135"/>
      <c r="N49" s="135"/>
      <c r="O49" s="135"/>
      <c r="P49" s="135"/>
    </row>
    <row r="50" spans="1:16" x14ac:dyDescent="0.25">
      <c r="A50" s="167" t="s">
        <v>591</v>
      </c>
      <c r="B50" s="167"/>
      <c r="C50" s="167"/>
      <c r="D50" s="167"/>
      <c r="E50" s="167"/>
      <c r="F50" s="167"/>
      <c r="G50" s="167"/>
      <c r="H50" s="167"/>
      <c r="I50" s="167"/>
      <c r="J50" s="167"/>
      <c r="K50" s="167"/>
      <c r="L50" s="167"/>
      <c r="M50" s="135"/>
      <c r="N50" s="135"/>
      <c r="O50" s="135"/>
      <c r="P50" s="135"/>
    </row>
    <row r="51" spans="1:16" x14ac:dyDescent="0.25">
      <c r="A51" s="167"/>
      <c r="B51" s="167"/>
      <c r="C51" s="167"/>
      <c r="D51" s="167"/>
      <c r="E51" s="167"/>
      <c r="F51" s="167"/>
      <c r="G51" s="167"/>
      <c r="H51" s="167"/>
      <c r="I51" s="167"/>
      <c r="J51" s="167"/>
      <c r="K51" s="167"/>
      <c r="L51" s="167"/>
      <c r="M51" s="135"/>
      <c r="N51" s="135"/>
      <c r="O51" s="135"/>
      <c r="P51" s="135"/>
    </row>
    <row r="52" spans="1:16" x14ac:dyDescent="0.25">
      <c r="A52" s="167"/>
      <c r="B52" s="167"/>
      <c r="C52" s="167"/>
      <c r="D52" s="167"/>
      <c r="E52" s="167"/>
      <c r="F52" s="167"/>
      <c r="G52" s="167"/>
      <c r="H52" s="167"/>
      <c r="I52" s="167"/>
      <c r="J52" s="167"/>
      <c r="K52" s="167"/>
      <c r="L52" s="167"/>
      <c r="M52" s="135"/>
      <c r="N52" s="135"/>
      <c r="O52" s="135"/>
      <c r="P52" s="135"/>
    </row>
    <row r="53" spans="1:16" x14ac:dyDescent="0.25">
      <c r="A53" s="167"/>
      <c r="B53" s="167"/>
      <c r="C53" s="167"/>
      <c r="D53" s="167"/>
      <c r="E53" s="167"/>
      <c r="F53" s="167"/>
      <c r="G53" s="167"/>
      <c r="H53" s="167"/>
      <c r="I53" s="167"/>
      <c r="J53" s="167"/>
      <c r="K53" s="167"/>
      <c r="L53" s="167"/>
      <c r="M53" s="135"/>
      <c r="N53" s="135"/>
      <c r="O53" s="135"/>
      <c r="P53" s="135"/>
    </row>
    <row r="54" spans="1:16" x14ac:dyDescent="0.25">
      <c r="A54" s="167"/>
      <c r="B54" s="167"/>
      <c r="C54" s="167"/>
      <c r="D54" s="167"/>
      <c r="E54" s="167"/>
      <c r="F54" s="167"/>
      <c r="G54" s="167"/>
      <c r="H54" s="167"/>
      <c r="I54" s="167"/>
      <c r="J54" s="167"/>
      <c r="K54" s="167"/>
      <c r="L54" s="167"/>
      <c r="M54" s="135"/>
      <c r="N54" s="135"/>
      <c r="O54" s="135"/>
      <c r="P54" s="135"/>
    </row>
    <row r="55" spans="1:16" x14ac:dyDescent="0.25">
      <c r="A55" s="167" t="s">
        <v>592</v>
      </c>
      <c r="B55" s="167">
        <f>((2*B46*B47)/(B46+B47))+1</f>
        <v>29.96551724137931</v>
      </c>
      <c r="C55" s="167"/>
      <c r="D55" s="167"/>
      <c r="E55" s="167"/>
      <c r="F55" s="167"/>
      <c r="G55" s="167"/>
      <c r="H55" s="167"/>
      <c r="I55" s="167"/>
      <c r="J55" s="167"/>
      <c r="K55" s="167"/>
      <c r="L55" s="167"/>
      <c r="M55" s="135"/>
      <c r="N55" s="135"/>
      <c r="O55" s="135"/>
      <c r="P55" s="135"/>
    </row>
    <row r="56" spans="1:16" x14ac:dyDescent="0.25">
      <c r="A56" s="167" t="s">
        <v>593</v>
      </c>
      <c r="B56" s="167">
        <f>(2*B46*B47*(2*B46*B47-B46-B47))/((B46+B47)*(B46+B47)*(B46+B47-1))</f>
        <v>14.211152137180049</v>
      </c>
      <c r="C56" s="167"/>
      <c r="D56" s="167"/>
      <c r="E56" s="167"/>
      <c r="F56" s="167"/>
      <c r="G56" s="167"/>
      <c r="H56" s="167"/>
      <c r="I56" s="167"/>
      <c r="J56" s="167"/>
      <c r="K56" s="167"/>
      <c r="L56" s="167"/>
      <c r="M56" s="135"/>
      <c r="N56" s="135"/>
      <c r="O56" s="135"/>
      <c r="P56" s="135"/>
    </row>
    <row r="57" spans="1:16" x14ac:dyDescent="0.25">
      <c r="A57" s="167" t="s">
        <v>594</v>
      </c>
      <c r="B57" s="167"/>
      <c r="C57" s="167"/>
      <c r="D57" s="167"/>
      <c r="E57" s="167"/>
      <c r="F57" s="167"/>
      <c r="G57" s="167"/>
      <c r="H57" s="167"/>
      <c r="I57" s="167"/>
      <c r="J57" s="167"/>
      <c r="K57" s="167"/>
      <c r="L57" s="167"/>
      <c r="M57" s="135"/>
      <c r="N57" s="135"/>
      <c r="O57" s="135"/>
      <c r="P57" s="135"/>
    </row>
    <row r="58" spans="1:16" x14ac:dyDescent="0.25">
      <c r="A58" s="167">
        <f>B55-B56</f>
        <v>15.754365104199261</v>
      </c>
      <c r="B58" s="98" t="s">
        <v>579</v>
      </c>
      <c r="C58" s="98" t="s">
        <v>589</v>
      </c>
      <c r="D58" s="98" t="s">
        <v>579</v>
      </c>
      <c r="E58" s="167">
        <f>B55+B56</f>
        <v>44.17666937855936</v>
      </c>
      <c r="F58" s="167"/>
      <c r="G58" s="167"/>
      <c r="H58" s="167"/>
      <c r="I58" s="167"/>
      <c r="J58" s="167"/>
      <c r="K58" s="167"/>
      <c r="L58" s="167"/>
      <c r="M58" s="135"/>
      <c r="N58" s="135"/>
      <c r="O58" s="135"/>
      <c r="P58" s="135"/>
    </row>
    <row r="59" spans="1:16" x14ac:dyDescent="0.25">
      <c r="A59" s="167" t="s">
        <v>595</v>
      </c>
      <c r="B59" s="167"/>
      <c r="C59" s="167"/>
      <c r="D59" s="167"/>
      <c r="E59" s="167"/>
      <c r="F59" s="167"/>
      <c r="G59" s="167"/>
      <c r="H59" s="167"/>
      <c r="I59" s="167"/>
      <c r="J59" s="167"/>
      <c r="K59" s="167"/>
      <c r="L59" s="167"/>
      <c r="M59" s="135"/>
      <c r="N59" s="135"/>
      <c r="O59" s="135"/>
      <c r="P59" s="135"/>
    </row>
    <row r="60" spans="1:16" x14ac:dyDescent="0.25">
      <c r="A60" s="167"/>
      <c r="B60" s="167"/>
      <c r="C60" s="167"/>
      <c r="D60" s="167"/>
      <c r="E60" s="167"/>
      <c r="F60" s="167"/>
      <c r="G60" s="167"/>
      <c r="H60" s="167"/>
      <c r="I60" s="167"/>
      <c r="J60" s="167"/>
      <c r="K60" s="167"/>
      <c r="L60" s="167"/>
      <c r="M60" s="135"/>
      <c r="N60" s="135"/>
      <c r="O60" s="135"/>
      <c r="P60" s="135"/>
    </row>
    <row r="61" spans="1:16" x14ac:dyDescent="0.25">
      <c r="A61" s="97" t="s">
        <v>642</v>
      </c>
      <c r="B61" s="167"/>
      <c r="C61" s="167"/>
      <c r="D61" s="167"/>
      <c r="E61" s="167"/>
      <c r="F61" s="167"/>
      <c r="G61" s="167"/>
      <c r="H61" s="167"/>
      <c r="I61" s="167"/>
      <c r="J61" s="167"/>
      <c r="K61" s="167"/>
      <c r="L61" s="167"/>
      <c r="M61" s="135"/>
      <c r="N61" s="135"/>
      <c r="O61" s="135"/>
      <c r="P61" s="135"/>
    </row>
    <row r="62" spans="1:16" x14ac:dyDescent="0.25">
      <c r="A62" s="167" t="s">
        <v>597</v>
      </c>
      <c r="B62" s="167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35"/>
      <c r="N62" s="135"/>
      <c r="O62" s="135"/>
      <c r="P62" s="135"/>
    </row>
    <row r="63" spans="1:16" x14ac:dyDescent="0.25">
      <c r="A63" s="135"/>
      <c r="B63" s="135"/>
      <c r="C63" s="135"/>
      <c r="D63" s="135"/>
      <c r="E63" s="135"/>
      <c r="F63" s="135"/>
      <c r="G63" s="135"/>
      <c r="H63" s="135"/>
      <c r="I63" s="135"/>
      <c r="J63" s="135"/>
      <c r="K63" s="167"/>
      <c r="L63" s="167"/>
      <c r="M63" s="135"/>
      <c r="N63" s="135"/>
      <c r="O63" s="135"/>
      <c r="P63" s="135"/>
    </row>
    <row r="64" spans="1:16" x14ac:dyDescent="0.25">
      <c r="A64" s="135"/>
      <c r="B64" s="135"/>
      <c r="C64" s="135"/>
      <c r="D64" s="135"/>
      <c r="E64" s="135"/>
      <c r="F64" s="135"/>
      <c r="G64" s="135"/>
      <c r="H64" s="135"/>
      <c r="I64" s="135"/>
      <c r="J64" s="135"/>
      <c r="K64" s="167"/>
      <c r="L64" s="167"/>
      <c r="M64" s="135"/>
      <c r="N64" s="135"/>
      <c r="O64" s="135"/>
      <c r="P64" s="135"/>
    </row>
    <row r="65" spans="1:16" x14ac:dyDescent="0.25">
      <c r="A65" s="135"/>
      <c r="B65" s="135"/>
      <c r="C65" s="135"/>
      <c r="D65" s="135"/>
      <c r="E65" s="135"/>
      <c r="F65" s="135"/>
      <c r="G65" s="135"/>
      <c r="H65" s="135"/>
      <c r="I65" s="135"/>
      <c r="J65" s="135"/>
      <c r="K65" s="167"/>
      <c r="L65" s="167"/>
      <c r="M65" s="135"/>
      <c r="N65" s="135"/>
      <c r="O65" s="135"/>
      <c r="P65" s="135"/>
    </row>
    <row r="66" spans="1:16" x14ac:dyDescent="0.25">
      <c r="A66" s="167"/>
      <c r="B66" s="167"/>
      <c r="C66" s="167"/>
      <c r="D66" s="167"/>
      <c r="E66" s="167"/>
      <c r="F66" s="167"/>
      <c r="G66" s="167"/>
      <c r="H66" s="167"/>
      <c r="I66" s="167"/>
      <c r="J66" s="167"/>
      <c r="K66" s="167"/>
      <c r="L66" s="167"/>
      <c r="M66" s="135"/>
      <c r="N66" s="135"/>
      <c r="O66" s="135"/>
      <c r="P66" s="135"/>
    </row>
    <row r="67" spans="1:16" x14ac:dyDescent="0.25">
      <c r="A67" s="135" t="s">
        <v>596</v>
      </c>
      <c r="B67" s="112">
        <f>'Y от Х5 и Х6'!I61/SUM('Y от Х5 и Х6'!H4:H60)</f>
        <v>0.63527228166935967</v>
      </c>
      <c r="C67" s="167"/>
      <c r="D67" s="167"/>
      <c r="E67" s="167"/>
      <c r="F67" s="167"/>
      <c r="G67" s="167"/>
      <c r="H67" s="167"/>
      <c r="I67" s="167"/>
      <c r="J67" s="167"/>
      <c r="K67" s="167"/>
      <c r="L67" s="167"/>
      <c r="M67" s="135"/>
      <c r="N67" s="135"/>
      <c r="O67" s="135"/>
      <c r="P67" s="135"/>
    </row>
    <row r="68" spans="1:16" ht="18" x14ac:dyDescent="0.35">
      <c r="A68" s="135" t="s">
        <v>664</v>
      </c>
      <c r="B68" s="135"/>
      <c r="C68" s="135"/>
      <c r="D68" s="135"/>
      <c r="E68" s="135"/>
      <c r="F68" s="167"/>
      <c r="G68" s="167"/>
      <c r="H68" s="167"/>
      <c r="I68" s="167"/>
      <c r="J68" s="167"/>
      <c r="K68" s="167"/>
      <c r="L68" s="167"/>
      <c r="M68" s="135"/>
      <c r="N68" s="135"/>
      <c r="O68" s="135"/>
      <c r="P68" s="135"/>
    </row>
    <row r="69" spans="1:16" ht="18" x14ac:dyDescent="0.35">
      <c r="A69" s="135" t="s">
        <v>598</v>
      </c>
      <c r="B69" s="135">
        <v>1.53</v>
      </c>
      <c r="C69" s="135"/>
      <c r="D69" s="135"/>
      <c r="E69" s="135"/>
      <c r="F69" s="167"/>
      <c r="G69" s="167"/>
      <c r="H69" s="167"/>
      <c r="I69" s="167"/>
      <c r="J69" s="167"/>
      <c r="K69" s="167"/>
      <c r="L69" s="167"/>
      <c r="M69" s="135"/>
      <c r="N69" s="135"/>
      <c r="O69" s="135"/>
      <c r="P69" s="135"/>
    </row>
    <row r="70" spans="1:16" ht="18" x14ac:dyDescent="0.35">
      <c r="A70" s="135" t="s">
        <v>599</v>
      </c>
      <c r="B70" s="135">
        <v>1.6</v>
      </c>
      <c r="C70" s="135"/>
      <c r="D70" s="135"/>
      <c r="E70" s="135"/>
      <c r="F70" s="167"/>
      <c r="G70" s="167"/>
      <c r="H70" s="167"/>
      <c r="I70" s="167"/>
      <c r="J70" s="167"/>
      <c r="K70" s="167"/>
      <c r="L70" s="167"/>
      <c r="M70" s="135"/>
      <c r="N70" s="135"/>
      <c r="O70" s="135"/>
      <c r="P70" s="135"/>
    </row>
    <row r="71" spans="1:16" ht="18" x14ac:dyDescent="0.35">
      <c r="A71" s="135">
        <v>0</v>
      </c>
      <c r="B71" s="149" t="s">
        <v>579</v>
      </c>
      <c r="C71" s="149" t="s">
        <v>596</v>
      </c>
      <c r="D71" s="149" t="s">
        <v>579</v>
      </c>
      <c r="E71" s="135" t="s">
        <v>598</v>
      </c>
      <c r="F71" s="167"/>
      <c r="G71" s="167"/>
      <c r="H71" s="167"/>
      <c r="I71" s="167"/>
      <c r="J71" s="167"/>
      <c r="K71" s="167"/>
      <c r="L71" s="167"/>
      <c r="M71" s="135"/>
      <c r="N71" s="135"/>
      <c r="O71" s="135"/>
      <c r="P71" s="135"/>
    </row>
    <row r="72" spans="1:16" x14ac:dyDescent="0.25">
      <c r="A72" s="135" t="s">
        <v>600</v>
      </c>
      <c r="B72" s="135"/>
      <c r="C72" s="135"/>
      <c r="D72" s="135"/>
      <c r="E72" s="135"/>
      <c r="F72" s="167"/>
      <c r="G72" s="167"/>
      <c r="H72" s="167"/>
      <c r="I72" s="167"/>
      <c r="J72" s="167"/>
      <c r="K72" s="167"/>
      <c r="L72" s="167"/>
      <c r="M72" s="135"/>
      <c r="N72" s="135"/>
      <c r="O72" s="135"/>
      <c r="P72" s="135"/>
    </row>
  </sheetData>
  <hyperlinks>
    <hyperlink ref="A3" location="'Мультикол (коррел)'!A1:I9" display="   Из данных таблицы парных коэффициентов корреляции для всех показателей видно, что показатели номера месяца и фактора Х2 тесно коррелируют между собой (rxixj&gt;0,7). "/>
    <hyperlink ref="A6" location="'Мультикол (коррел)'!A11:H18" display="Из данных таблицы парных коэффициентов корреляции с исключённым пареметром налога номера месяца"/>
    <hyperlink ref="A7" location="'Мультикол (коррел)'!C14" display="коэффициент парной корреляции между факторами Х1 и Х2 больше 0,7"/>
    <hyperlink ref="A10" location="'Мультикол (коррел)'!A20:G26" display="Из данных таблицы парных коэффициентов корреляции с исключённым пареметром налога номера месяца и фактором Х2"/>
    <hyperlink ref="A11" location="'Мультикол (коррел)'!D26" display="коэффициент парной корреляции между факторами Х3 и Х6 больше 0,7"/>
    <hyperlink ref="A14" location="'Мультикол (коррел)'!A28:F33" display="Из данных таблицы парных коэффициентов корреляции с исключённым пареметром налога номера месяца и фактором Х2 и Х6"/>
    <hyperlink ref="A15" location="'Мультикол (коррел)'!C32" display="модуль коэффициента парной корреляции между факторами Х3 и Х6 больше 0,7"/>
    <hyperlink ref="A18" location="'Мультикол (коррел)'!A35:E39" display="Из данных таблицы парных коэффициентов корреляции с исключённым пареметром налога номера месяца и фактором Х2 и Х6"/>
    <hyperlink ref="A19" location="'Мультикол (коррел)'!C39" display="модуль коэффициента парной корреляции между факторами Х4 и Х6 больше 0,7"/>
    <hyperlink ref="A27" location="'Y от Х5 и Х6'!N4:R6" display="1.2. Рассчёт t-  и F-статистики показывают, что значимо как уравнение в целом, так и его коэффициенты"/>
    <hyperlink ref="A28" location="'Y от Х5 и Х6'!P10" display="1.3. Уравнением регрессии объясняется 53% результирующего показателя"/>
    <hyperlink ref="A29" location="'Y от Х5 и Х6'!P13" display="1.4. Средняя ошибка аппроксимации равна6,36, что говорит о хорошем качестве уравнения."/>
    <hyperlink ref="A30" location="'Y от Х5 и Х6'!Q21:W27" display="1.5. При проверке предпосылок МНК было обнаружено нарушение четвёртой предпосылки"/>
    <hyperlink ref="A35" location="'Y от Х5 и Х6'!P43:Q49" display="Построим с помощью функции ЛИНЕЙН вспомогательную модель по Y=ɛ, X=ɛt-1"/>
    <hyperlink ref="A42" location="'Y от Х5 и Х6'!F4:F61" display="Этот метод основан на определении знаков отклонений"/>
    <hyperlink ref="A31" location="'АД Y от Х5 и Х6'!A1" display="1.6. Проверили расчёты с помощью АНАЛИЗА ДАННЫХ"/>
    <hyperlink ref="A25" location="'Y от Х5 и Х6'!A1" display="1.1. Получили уравнение вида: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"/>
  <sheetViews>
    <sheetView workbookViewId="0"/>
  </sheetViews>
  <sheetFormatPr defaultRowHeight="15" x14ac:dyDescent="0.25"/>
  <cols>
    <col min="1" max="1" width="10.85546875" customWidth="1"/>
  </cols>
  <sheetData>
    <row r="1" spans="1:15" x14ac:dyDescent="0.25">
      <c r="A1" s="105" t="s">
        <v>780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35"/>
      <c r="N1" s="135"/>
      <c r="O1" s="135"/>
    </row>
    <row r="2" spans="1:15" ht="18" x14ac:dyDescent="0.35">
      <c r="A2" s="106" t="s">
        <v>781</v>
      </c>
      <c r="B2" s="158"/>
      <c r="C2" s="158"/>
      <c r="D2" s="167"/>
      <c r="E2" s="167"/>
      <c r="F2" s="167"/>
      <c r="G2" s="167"/>
      <c r="H2" s="167"/>
      <c r="I2" s="167"/>
      <c r="J2" s="167"/>
      <c r="K2" s="167"/>
      <c r="L2" s="167"/>
      <c r="M2" s="135"/>
      <c r="N2" s="135"/>
      <c r="O2" s="135"/>
    </row>
    <row r="3" spans="1:15" x14ac:dyDescent="0.25">
      <c r="A3" s="107" t="s">
        <v>645</v>
      </c>
      <c r="B3" s="158"/>
      <c r="C3" s="158"/>
      <c r="D3" s="167"/>
      <c r="E3" s="167"/>
      <c r="F3" s="167"/>
      <c r="G3" s="167"/>
      <c r="H3" s="167"/>
      <c r="I3" s="167"/>
      <c r="J3" s="167"/>
      <c r="K3" s="167"/>
      <c r="L3" s="167"/>
      <c r="M3" s="135"/>
      <c r="N3" s="135"/>
      <c r="O3" s="135"/>
    </row>
    <row r="4" spans="1:15" x14ac:dyDescent="0.25">
      <c r="A4" s="155" t="s">
        <v>658</v>
      </c>
      <c r="B4" s="157"/>
      <c r="C4" s="157"/>
      <c r="D4" s="153"/>
      <c r="E4" s="153"/>
      <c r="F4" s="153"/>
      <c r="G4" s="153"/>
      <c r="H4" s="153"/>
      <c r="I4" s="153"/>
      <c r="J4" s="153"/>
      <c r="K4" s="66"/>
      <c r="L4" s="135"/>
      <c r="M4" s="135"/>
      <c r="N4" s="135"/>
      <c r="O4" s="135"/>
    </row>
    <row r="5" spans="1:15" ht="18" x14ac:dyDescent="0.35">
      <c r="A5" s="168" t="s">
        <v>784</v>
      </c>
      <c r="B5" s="168"/>
      <c r="C5" s="157"/>
      <c r="D5" s="153"/>
      <c r="E5" s="152"/>
      <c r="F5" s="152"/>
      <c r="G5" s="152"/>
      <c r="H5" s="152"/>
      <c r="I5" s="152"/>
      <c r="J5" s="153"/>
      <c r="K5" s="66"/>
      <c r="L5" s="135"/>
      <c r="M5" s="135"/>
      <c r="N5" s="135"/>
      <c r="O5" s="135"/>
    </row>
    <row r="6" spans="1:15" x14ac:dyDescent="0.25">
      <c r="A6" s="155" t="s">
        <v>791</v>
      </c>
      <c r="B6" s="135"/>
      <c r="C6" s="135"/>
      <c r="D6" s="71"/>
      <c r="E6" s="71"/>
      <c r="F6" s="71"/>
      <c r="G6" s="71"/>
      <c r="H6" s="71"/>
      <c r="I6" s="71"/>
      <c r="J6" s="71"/>
      <c r="K6" s="66"/>
      <c r="L6" s="135"/>
      <c r="M6" s="135"/>
      <c r="N6" s="135"/>
      <c r="O6" s="135"/>
    </row>
    <row r="7" spans="1:15" x14ac:dyDescent="0.25">
      <c r="A7" s="156" t="s">
        <v>786</v>
      </c>
      <c r="B7" s="135"/>
      <c r="C7" s="135"/>
      <c r="D7" s="66"/>
      <c r="E7" s="66"/>
      <c r="F7" s="66"/>
      <c r="G7" s="66"/>
      <c r="H7" s="66"/>
      <c r="I7" s="66"/>
      <c r="J7" s="71"/>
      <c r="K7" s="66"/>
      <c r="L7" s="135"/>
      <c r="M7" s="135"/>
      <c r="N7" s="135"/>
      <c r="O7" s="135"/>
    </row>
    <row r="8" spans="1:15" x14ac:dyDescent="0.25">
      <c r="A8" s="73" t="s">
        <v>787</v>
      </c>
      <c r="B8" s="135"/>
      <c r="C8" s="152"/>
      <c r="D8" s="66"/>
      <c r="E8" s="66"/>
      <c r="F8" s="66"/>
      <c r="G8" s="66"/>
      <c r="H8" s="66"/>
      <c r="I8" s="66"/>
      <c r="J8" s="151"/>
      <c r="K8" s="66"/>
      <c r="L8" s="135"/>
      <c r="M8" s="135"/>
      <c r="N8" s="135"/>
      <c r="O8" s="135"/>
    </row>
    <row r="9" spans="1:15" x14ac:dyDescent="0.25">
      <c r="A9" s="155" t="s">
        <v>662</v>
      </c>
      <c r="B9" s="70"/>
      <c r="C9" s="152"/>
      <c r="D9" s="66"/>
      <c r="E9" s="66"/>
      <c r="F9" s="66"/>
      <c r="G9" s="66"/>
      <c r="H9" s="66"/>
      <c r="I9" s="66"/>
      <c r="J9" s="151"/>
      <c r="K9" s="66"/>
      <c r="L9" s="135"/>
      <c r="M9" s="135"/>
      <c r="N9" s="135"/>
      <c r="O9" s="135"/>
    </row>
    <row r="10" spans="1:15" x14ac:dyDescent="0.25">
      <c r="A10" s="155" t="s">
        <v>663</v>
      </c>
      <c r="B10" s="70"/>
      <c r="C10" s="152"/>
      <c r="D10" s="66"/>
      <c r="E10" s="66"/>
      <c r="F10" s="66"/>
      <c r="G10" s="66"/>
      <c r="H10" s="66"/>
      <c r="I10" s="66"/>
      <c r="J10" s="151"/>
      <c r="K10" s="66"/>
      <c r="L10" s="135"/>
      <c r="M10" s="135"/>
      <c r="N10" s="135"/>
      <c r="O10" s="135"/>
    </row>
    <row r="11" spans="1:15" x14ac:dyDescent="0.25">
      <c r="A11" s="155" t="s">
        <v>771</v>
      </c>
      <c r="B11" s="70"/>
      <c r="C11" s="152"/>
      <c r="D11" s="66"/>
      <c r="E11" s="66"/>
      <c r="F11" s="66"/>
      <c r="G11" s="66"/>
      <c r="H11" s="66"/>
      <c r="I11" s="66"/>
      <c r="J11" s="151"/>
      <c r="K11" s="66"/>
      <c r="L11" s="135"/>
      <c r="M11" s="135"/>
      <c r="N11" s="135"/>
      <c r="O11" s="135"/>
    </row>
    <row r="12" spans="1:15" x14ac:dyDescent="0.25">
      <c r="A12" s="155"/>
      <c r="B12" s="70"/>
      <c r="C12" s="152"/>
      <c r="D12" s="66"/>
      <c r="E12" s="66"/>
      <c r="F12" s="66"/>
      <c r="G12" s="66"/>
      <c r="H12" s="66"/>
      <c r="I12" s="66"/>
      <c r="J12" s="151"/>
      <c r="K12" s="66"/>
      <c r="L12" s="135"/>
      <c r="M12" s="135"/>
      <c r="N12" s="135"/>
      <c r="O12" s="135"/>
    </row>
    <row r="13" spans="1:15" x14ac:dyDescent="0.25">
      <c r="A13" s="97" t="s">
        <v>655</v>
      </c>
      <c r="B13" s="167"/>
      <c r="C13" s="167"/>
      <c r="D13" s="167"/>
      <c r="E13" s="167"/>
      <c r="F13" s="167"/>
      <c r="G13" s="167"/>
      <c r="H13" s="167"/>
      <c r="I13" s="167"/>
      <c r="J13" s="167"/>
      <c r="K13" s="167"/>
      <c r="L13" s="167"/>
      <c r="M13" s="135"/>
      <c r="N13" s="135"/>
      <c r="O13" s="135"/>
    </row>
    <row r="14" spans="1:15" x14ac:dyDescent="0.25">
      <c r="A14" s="167" t="s">
        <v>578</v>
      </c>
      <c r="B14" s="167"/>
      <c r="C14" s="167"/>
      <c r="D14" s="167"/>
      <c r="E14" s="167"/>
      <c r="F14" s="167"/>
      <c r="G14" s="167"/>
      <c r="H14" s="167"/>
      <c r="I14" s="167"/>
      <c r="J14" s="167"/>
      <c r="K14" s="167"/>
      <c r="L14" s="167"/>
      <c r="M14" s="135"/>
      <c r="N14" s="135"/>
      <c r="O14" s="135"/>
    </row>
    <row r="15" spans="1:15" x14ac:dyDescent="0.25">
      <c r="A15" s="69" t="s">
        <v>582</v>
      </c>
      <c r="B15" s="167"/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35"/>
      <c r="N15" s="135"/>
      <c r="O15" s="135"/>
    </row>
    <row r="16" spans="1:15" x14ac:dyDescent="0.25">
      <c r="A16" s="167" t="s">
        <v>583</v>
      </c>
      <c r="B16" s="167"/>
      <c r="C16" s="167"/>
      <c r="D16" s="167"/>
      <c r="E16" s="167"/>
      <c r="F16" s="167"/>
      <c r="G16" s="167"/>
      <c r="H16" s="167"/>
      <c r="I16" s="167"/>
      <c r="J16" s="167"/>
      <c r="K16" s="167"/>
      <c r="L16" s="167"/>
      <c r="M16" s="135"/>
      <c r="N16" s="135"/>
      <c r="O16" s="135"/>
    </row>
    <row r="17" spans="1:15" x14ac:dyDescent="0.25">
      <c r="A17" s="98" t="s">
        <v>635</v>
      </c>
      <c r="B17" s="167"/>
      <c r="C17" s="99" t="s">
        <v>581</v>
      </c>
      <c r="D17" s="167"/>
      <c r="E17" s="167"/>
      <c r="F17" s="167"/>
      <c r="G17" s="167"/>
      <c r="H17" s="167"/>
      <c r="I17" s="167"/>
      <c r="J17" s="167"/>
      <c r="K17" s="167"/>
      <c r="L17" s="167"/>
      <c r="M17" s="135"/>
      <c r="N17" s="135"/>
      <c r="O17" s="135"/>
    </row>
    <row r="18" spans="1:15" x14ac:dyDescent="0.25">
      <c r="A18" s="167">
        <f>56*'Y от t-1'!Q45</f>
        <v>36.869005184321409</v>
      </c>
      <c r="B18" s="98" t="s">
        <v>580</v>
      </c>
      <c r="C18" s="167">
        <f>_xlfn.CHISQ.INV.RT(0.05,1)</f>
        <v>3.8414588206941236</v>
      </c>
      <c r="D18" s="167"/>
      <c r="E18" s="167"/>
      <c r="F18" s="167"/>
      <c r="G18" s="167"/>
      <c r="H18" s="167"/>
      <c r="I18" s="167"/>
      <c r="J18" s="167"/>
      <c r="K18" s="167"/>
      <c r="L18" s="167"/>
      <c r="M18" s="135"/>
      <c r="N18" s="135"/>
      <c r="O18" s="135"/>
    </row>
    <row r="19" spans="1:15" x14ac:dyDescent="0.25">
      <c r="A19" s="167" t="s">
        <v>584</v>
      </c>
      <c r="B19" s="167"/>
      <c r="C19" s="167"/>
      <c r="D19" s="167"/>
      <c r="E19" s="167"/>
      <c r="F19" s="167"/>
      <c r="G19" s="167"/>
      <c r="H19" s="167"/>
      <c r="I19" s="167"/>
      <c r="J19" s="167"/>
      <c r="K19" s="167"/>
      <c r="L19" s="167"/>
      <c r="M19" s="135"/>
      <c r="N19" s="135"/>
      <c r="O19" s="135"/>
    </row>
    <row r="20" spans="1:15" x14ac:dyDescent="0.25">
      <c r="A20" s="167"/>
      <c r="B20" s="167"/>
      <c r="C20" s="167"/>
      <c r="D20" s="167"/>
      <c r="E20" s="167"/>
      <c r="F20" s="167"/>
      <c r="G20" s="167"/>
      <c r="H20" s="167"/>
      <c r="I20" s="167"/>
      <c r="J20" s="167"/>
      <c r="K20" s="167"/>
      <c r="L20" s="167"/>
      <c r="M20" s="135"/>
      <c r="N20" s="135"/>
      <c r="O20" s="135"/>
    </row>
    <row r="21" spans="1:15" x14ac:dyDescent="0.25">
      <c r="A21" s="97" t="s">
        <v>656</v>
      </c>
      <c r="B21" s="167"/>
      <c r="C21" s="167"/>
      <c r="D21" s="167"/>
      <c r="E21" s="167"/>
      <c r="F21" s="167"/>
      <c r="G21" s="167"/>
      <c r="H21" s="167"/>
      <c r="I21" s="167"/>
      <c r="J21" s="167"/>
      <c r="K21" s="167"/>
      <c r="L21" s="167"/>
      <c r="M21" s="135"/>
      <c r="N21" s="135"/>
      <c r="O21" s="135"/>
    </row>
    <row r="22" spans="1:15" x14ac:dyDescent="0.25">
      <c r="A22" s="69" t="s">
        <v>585</v>
      </c>
      <c r="B22" s="167"/>
      <c r="C22" s="167"/>
      <c r="D22" s="167"/>
      <c r="E22" s="167"/>
      <c r="F22" s="167"/>
      <c r="G22" s="167"/>
      <c r="H22" s="167"/>
      <c r="I22" s="167"/>
      <c r="J22" s="167"/>
      <c r="K22" s="167"/>
      <c r="L22" s="167"/>
      <c r="M22" s="165"/>
      <c r="N22" s="165"/>
      <c r="O22" s="165"/>
    </row>
    <row r="23" spans="1:15" x14ac:dyDescent="0.25">
      <c r="A23" s="135" t="s">
        <v>586</v>
      </c>
      <c r="B23" s="167"/>
      <c r="C23" s="167"/>
      <c r="D23" s="167"/>
      <c r="E23" s="167"/>
      <c r="F23" s="167"/>
      <c r="G23" s="167"/>
      <c r="H23" s="167"/>
      <c r="I23" s="167"/>
      <c r="J23" s="167"/>
      <c r="K23" s="167"/>
      <c r="L23" s="167"/>
      <c r="M23" s="135"/>
      <c r="N23" s="135"/>
      <c r="O23" s="135"/>
    </row>
    <row r="24" spans="1:15" x14ac:dyDescent="0.25">
      <c r="A24" s="98" t="s">
        <v>627</v>
      </c>
      <c r="B24" s="98" t="s">
        <v>628</v>
      </c>
      <c r="C24" s="98" t="s">
        <v>636</v>
      </c>
      <c r="D24" s="98" t="s">
        <v>628</v>
      </c>
      <c r="E24" s="98" t="s">
        <v>636</v>
      </c>
      <c r="F24" s="98" t="s">
        <v>628</v>
      </c>
      <c r="G24" s="98" t="s">
        <v>637</v>
      </c>
      <c r="I24" s="167"/>
      <c r="J24" s="167"/>
      <c r="K24" s="167"/>
      <c r="L24" s="167"/>
      <c r="M24" s="135"/>
      <c r="N24" s="135"/>
      <c r="O24" s="135"/>
    </row>
    <row r="25" spans="1:15" x14ac:dyDescent="0.25">
      <c r="A25" s="98">
        <f>COUNT('Y от t-1'!E5:E8)</f>
        <v>4</v>
      </c>
      <c r="B25" s="98">
        <f>COUNT('Y от t-1'!E9:E13)</f>
        <v>5</v>
      </c>
      <c r="C25" s="98">
        <f>COUNT('Y от t-1'!E14:E31)</f>
        <v>18</v>
      </c>
      <c r="D25" s="98">
        <f>COUNT('Y от t-1'!E32:E40)</f>
        <v>9</v>
      </c>
      <c r="E25" s="98">
        <f>COUNT('Y от t-1'!E41:E57)</f>
        <v>17</v>
      </c>
      <c r="F25" s="135">
        <f>COUNT('Y от t-1'!E58:E61)</f>
        <v>4</v>
      </c>
      <c r="G25" s="167">
        <f>SUM(A25:F25)</f>
        <v>57</v>
      </c>
      <c r="I25" s="167"/>
      <c r="J25" s="167"/>
      <c r="K25" s="167"/>
      <c r="L25" s="167"/>
      <c r="M25" s="135"/>
      <c r="N25" s="135"/>
      <c r="O25" s="135"/>
    </row>
    <row r="26" spans="1:15" ht="18" x14ac:dyDescent="0.35">
      <c r="A26" s="167" t="s">
        <v>587</v>
      </c>
      <c r="B26" s="167">
        <f>SUM(B25,D25,F25)</f>
        <v>18</v>
      </c>
      <c r="C26" s="167"/>
      <c r="D26" s="167"/>
      <c r="E26" s="167"/>
      <c r="F26" s="167"/>
      <c r="G26" s="167"/>
      <c r="H26" s="167"/>
      <c r="I26" s="167"/>
      <c r="J26" s="167"/>
      <c r="K26" s="167"/>
      <c r="L26" s="167"/>
      <c r="M26" s="135"/>
      <c r="N26" s="135"/>
      <c r="O26" s="135"/>
    </row>
    <row r="27" spans="1:15" ht="18" x14ac:dyDescent="0.35">
      <c r="A27" s="167" t="s">
        <v>588</v>
      </c>
      <c r="B27" s="167">
        <f>SUM(A25,C25,E25)</f>
        <v>39</v>
      </c>
      <c r="C27" s="167"/>
      <c r="D27" s="167"/>
      <c r="E27" s="167"/>
      <c r="F27" s="167"/>
      <c r="G27" s="167"/>
      <c r="H27" s="167"/>
      <c r="I27" s="167"/>
      <c r="J27" s="167"/>
      <c r="K27" s="167"/>
      <c r="L27" s="167"/>
      <c r="M27" s="135"/>
      <c r="N27" s="135"/>
      <c r="O27" s="135"/>
    </row>
    <row r="28" spans="1:15" x14ac:dyDescent="0.25">
      <c r="A28" s="167" t="s">
        <v>589</v>
      </c>
      <c r="B28" s="167">
        <f>COUNT(A25:F25)</f>
        <v>6</v>
      </c>
      <c r="C28" s="167"/>
      <c r="D28" s="167"/>
      <c r="E28" s="167"/>
      <c r="F28" s="167"/>
      <c r="G28" s="167"/>
      <c r="H28" s="167"/>
      <c r="I28" s="167"/>
      <c r="J28" s="167"/>
      <c r="K28" s="167"/>
      <c r="L28" s="167"/>
      <c r="M28" s="135"/>
      <c r="N28" s="135"/>
      <c r="O28" s="135"/>
    </row>
    <row r="29" spans="1:15" x14ac:dyDescent="0.25">
      <c r="A29" s="167" t="s">
        <v>590</v>
      </c>
      <c r="B29" s="167">
        <v>57</v>
      </c>
      <c r="C29" s="167"/>
      <c r="D29" s="167"/>
      <c r="E29" s="167"/>
      <c r="F29" s="167"/>
      <c r="G29" s="167"/>
      <c r="H29" s="167"/>
      <c r="I29" s="167"/>
      <c r="J29" s="167"/>
      <c r="K29" s="167"/>
      <c r="L29" s="167"/>
      <c r="M29" s="135"/>
      <c r="N29" s="135"/>
      <c r="O29" s="135"/>
    </row>
    <row r="30" spans="1:15" x14ac:dyDescent="0.25">
      <c r="A30" s="167" t="s">
        <v>591</v>
      </c>
      <c r="B30" s="167"/>
      <c r="C30" s="167"/>
      <c r="D30" s="167"/>
      <c r="E30" s="167"/>
      <c r="F30" s="167"/>
      <c r="G30" s="167"/>
      <c r="H30" s="167"/>
      <c r="I30" s="167"/>
      <c r="J30" s="167"/>
      <c r="K30" s="167"/>
      <c r="L30" s="167"/>
      <c r="M30" s="135"/>
      <c r="N30" s="135"/>
      <c r="O30" s="135"/>
    </row>
    <row r="31" spans="1:15" x14ac:dyDescent="0.25">
      <c r="A31" s="167"/>
      <c r="B31" s="167"/>
      <c r="C31" s="167"/>
      <c r="D31" s="167"/>
      <c r="E31" s="167"/>
      <c r="F31" s="167"/>
      <c r="G31" s="167"/>
      <c r="H31" s="167"/>
      <c r="I31" s="167"/>
      <c r="J31" s="167"/>
      <c r="K31" s="167"/>
      <c r="L31" s="167"/>
      <c r="M31" s="135"/>
      <c r="N31" s="135"/>
      <c r="O31" s="135"/>
    </row>
    <row r="32" spans="1:15" x14ac:dyDescent="0.25">
      <c r="A32" s="167"/>
      <c r="B32" s="167"/>
      <c r="C32" s="167"/>
      <c r="D32" s="167"/>
      <c r="E32" s="167"/>
      <c r="F32" s="167"/>
      <c r="G32" s="167"/>
      <c r="H32" s="167"/>
      <c r="I32" s="167"/>
      <c r="J32" s="167"/>
      <c r="K32" s="167"/>
      <c r="L32" s="167"/>
      <c r="M32" s="135"/>
      <c r="N32" s="135"/>
      <c r="O32" s="135"/>
    </row>
    <row r="33" spans="1:15" x14ac:dyDescent="0.25">
      <c r="A33" s="167"/>
      <c r="B33" s="167"/>
      <c r="C33" s="167"/>
      <c r="D33" s="167"/>
      <c r="E33" s="167"/>
      <c r="F33" s="167"/>
      <c r="G33" s="167"/>
      <c r="H33" s="167"/>
      <c r="I33" s="167"/>
      <c r="J33" s="167"/>
      <c r="K33" s="167"/>
      <c r="L33" s="167"/>
      <c r="M33" s="135"/>
      <c r="N33" s="135"/>
      <c r="O33" s="135"/>
    </row>
    <row r="34" spans="1:15" x14ac:dyDescent="0.25">
      <c r="A34" s="167"/>
      <c r="B34" s="167"/>
      <c r="C34" s="167"/>
      <c r="D34" s="167"/>
      <c r="E34" s="167"/>
      <c r="F34" s="167"/>
      <c r="G34" s="167"/>
      <c r="H34" s="167"/>
      <c r="I34" s="167"/>
      <c r="J34" s="167"/>
      <c r="K34" s="167"/>
      <c r="L34" s="167"/>
      <c r="M34" s="135"/>
      <c r="N34" s="135"/>
      <c r="O34" s="135"/>
    </row>
    <row r="35" spans="1:15" x14ac:dyDescent="0.25">
      <c r="A35" s="167" t="s">
        <v>592</v>
      </c>
      <c r="B35" s="167">
        <f>((2*B26*B27)/(B26+B27))+1</f>
        <v>25.631578947368421</v>
      </c>
      <c r="C35" s="167"/>
      <c r="D35" s="167"/>
      <c r="E35" s="167"/>
      <c r="F35" s="167"/>
      <c r="G35" s="167"/>
      <c r="H35" s="167"/>
      <c r="I35" s="167"/>
      <c r="J35" s="167"/>
      <c r="K35" s="167"/>
      <c r="L35" s="167"/>
      <c r="M35" s="135"/>
      <c r="N35" s="135"/>
      <c r="O35" s="135"/>
    </row>
    <row r="36" spans="1:15" x14ac:dyDescent="0.25">
      <c r="A36" s="167" t="s">
        <v>593</v>
      </c>
      <c r="B36" s="167">
        <f>(2*B26*B27*(2*B26*B27-B26-B27))/((B26+B27)*(B26+B27)*(B26+B27-1))</f>
        <v>10.394341115947764</v>
      </c>
      <c r="C36" s="167"/>
      <c r="D36" s="167"/>
      <c r="E36" s="167"/>
      <c r="F36" s="167"/>
      <c r="G36" s="167"/>
      <c r="H36" s="167"/>
      <c r="I36" s="167"/>
      <c r="J36" s="167"/>
      <c r="K36" s="167"/>
      <c r="L36" s="167"/>
      <c r="M36" s="135"/>
      <c r="N36" s="135"/>
      <c r="O36" s="135"/>
    </row>
    <row r="37" spans="1:15" x14ac:dyDescent="0.25">
      <c r="A37" s="167" t="s">
        <v>594</v>
      </c>
      <c r="B37" s="167"/>
      <c r="C37" s="167"/>
      <c r="D37" s="167"/>
      <c r="E37" s="167"/>
      <c r="F37" s="167"/>
      <c r="G37" s="167"/>
      <c r="H37" s="167"/>
      <c r="I37" s="167"/>
      <c r="J37" s="167"/>
      <c r="K37" s="167"/>
      <c r="L37" s="167"/>
      <c r="M37" s="135"/>
      <c r="N37" s="135"/>
      <c r="O37" s="135"/>
    </row>
    <row r="38" spans="1:15" x14ac:dyDescent="0.25">
      <c r="A38" s="167">
        <f>B35-B36</f>
        <v>15.237237831420657</v>
      </c>
      <c r="B38" s="98" t="s">
        <v>579</v>
      </c>
      <c r="C38" s="98" t="s">
        <v>589</v>
      </c>
      <c r="D38" s="98" t="s">
        <v>579</v>
      </c>
      <c r="E38" s="167">
        <f>B35+B36</f>
        <v>36.025920063316185</v>
      </c>
      <c r="F38" s="167"/>
      <c r="G38" s="167"/>
      <c r="H38" s="167"/>
      <c r="I38" s="167"/>
      <c r="J38" s="167"/>
      <c r="K38" s="167"/>
      <c r="L38" s="167"/>
      <c r="M38" s="135"/>
      <c r="N38" s="135"/>
      <c r="O38" s="135"/>
    </row>
    <row r="39" spans="1:15" x14ac:dyDescent="0.25">
      <c r="A39" s="167" t="s">
        <v>595</v>
      </c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35"/>
      <c r="N39" s="135"/>
      <c r="O39" s="135"/>
    </row>
    <row r="40" spans="1:15" x14ac:dyDescent="0.25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35"/>
      <c r="N40" s="135"/>
      <c r="O40" s="135"/>
    </row>
    <row r="41" spans="1:15" x14ac:dyDescent="0.25">
      <c r="A41" s="97" t="s">
        <v>657</v>
      </c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35"/>
      <c r="N41" s="135"/>
      <c r="O41" s="135"/>
    </row>
    <row r="42" spans="1:15" x14ac:dyDescent="0.25">
      <c r="A42" s="167" t="s">
        <v>597</v>
      </c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35"/>
      <c r="N42" s="135"/>
      <c r="O42" s="135"/>
    </row>
    <row r="43" spans="1:15" x14ac:dyDescent="0.25">
      <c r="A43" s="135"/>
      <c r="B43" s="135"/>
      <c r="C43" s="135"/>
      <c r="D43" s="135"/>
      <c r="E43" s="135"/>
      <c r="F43" s="135"/>
      <c r="G43" s="135"/>
      <c r="H43" s="135"/>
      <c r="I43" s="135"/>
      <c r="J43" s="135"/>
      <c r="K43" s="167"/>
      <c r="L43" s="167"/>
      <c r="M43" s="135"/>
      <c r="N43" s="135"/>
      <c r="O43" s="135"/>
    </row>
    <row r="44" spans="1:15" x14ac:dyDescent="0.25">
      <c r="A44" s="135"/>
      <c r="B44" s="135"/>
      <c r="C44" s="135"/>
      <c r="D44" s="135"/>
      <c r="E44" s="135"/>
      <c r="F44" s="135"/>
      <c r="G44" s="135"/>
      <c r="H44" s="135"/>
      <c r="I44" s="135"/>
      <c r="J44" s="135"/>
      <c r="K44" s="167"/>
      <c r="L44" s="167"/>
      <c r="M44" s="135"/>
      <c r="N44" s="135"/>
      <c r="O44" s="135"/>
    </row>
    <row r="45" spans="1:15" x14ac:dyDescent="0.25">
      <c r="A45" s="135"/>
      <c r="B45" s="135"/>
      <c r="C45" s="135"/>
      <c r="D45" s="135"/>
      <c r="E45" s="135"/>
      <c r="F45" s="135"/>
      <c r="G45" s="135"/>
      <c r="H45" s="135"/>
      <c r="I45" s="135"/>
      <c r="J45" s="135"/>
      <c r="K45" s="167"/>
      <c r="L45" s="167"/>
      <c r="M45" s="135"/>
      <c r="N45" s="135"/>
      <c r="O45" s="135"/>
    </row>
    <row r="46" spans="1:15" x14ac:dyDescent="0.25">
      <c r="A46" s="167"/>
      <c r="B46" s="167"/>
      <c r="C46" s="167"/>
      <c r="D46" s="167"/>
      <c r="E46" s="167"/>
      <c r="F46" s="167"/>
      <c r="G46" s="167"/>
      <c r="H46" s="167"/>
      <c r="I46" s="167"/>
      <c r="J46" s="167"/>
      <c r="K46" s="167"/>
      <c r="L46" s="167"/>
      <c r="M46" s="135"/>
      <c r="N46" s="135"/>
      <c r="O46" s="135"/>
    </row>
    <row r="47" spans="1:15" x14ac:dyDescent="0.25">
      <c r="A47" s="135" t="s">
        <v>596</v>
      </c>
      <c r="B47" s="112">
        <f>'Y от t-1'!H62/SUM('Y от t-1'!G6:G61)</f>
        <v>0.37500179359508279</v>
      </c>
      <c r="C47" s="167"/>
      <c r="D47" s="167"/>
      <c r="E47" s="167"/>
      <c r="F47" s="167"/>
      <c r="G47" s="167"/>
      <c r="H47" s="167"/>
      <c r="I47" s="167"/>
      <c r="J47" s="167"/>
      <c r="K47" s="167"/>
      <c r="L47" s="167"/>
      <c r="M47" s="135"/>
      <c r="N47" s="135"/>
      <c r="O47" s="135"/>
    </row>
    <row r="48" spans="1:15" ht="18" x14ac:dyDescent="0.35">
      <c r="A48" s="135" t="s">
        <v>664</v>
      </c>
      <c r="B48" s="135"/>
      <c r="C48" s="135"/>
      <c r="D48" s="135"/>
      <c r="E48" s="135"/>
      <c r="F48" s="167"/>
      <c r="G48" s="167"/>
      <c r="H48" s="167"/>
      <c r="I48" s="167"/>
      <c r="J48" s="167"/>
      <c r="K48" s="167"/>
      <c r="L48" s="167"/>
      <c r="M48" s="135"/>
      <c r="N48" s="135"/>
      <c r="O48" s="135"/>
    </row>
    <row r="49" spans="1:15" ht="18" x14ac:dyDescent="0.35">
      <c r="A49" s="135" t="s">
        <v>598</v>
      </c>
      <c r="B49" s="135">
        <v>1.53</v>
      </c>
      <c r="C49" s="135"/>
      <c r="D49" s="135"/>
      <c r="E49" s="135"/>
      <c r="F49" s="167"/>
      <c r="G49" s="167"/>
      <c r="H49" s="167"/>
      <c r="I49" s="167"/>
      <c r="J49" s="167"/>
      <c r="K49" s="167"/>
      <c r="L49" s="167"/>
      <c r="M49" s="135"/>
      <c r="N49" s="135"/>
      <c r="O49" s="135"/>
    </row>
    <row r="50" spans="1:15" ht="18" x14ac:dyDescent="0.35">
      <c r="A50" s="135" t="s">
        <v>599</v>
      </c>
      <c r="B50" s="135">
        <v>1.6</v>
      </c>
      <c r="C50" s="135"/>
      <c r="D50" s="135"/>
      <c r="E50" s="135"/>
      <c r="F50" s="167"/>
      <c r="G50" s="167"/>
      <c r="H50" s="167"/>
      <c r="I50" s="167"/>
      <c r="J50" s="167"/>
      <c r="K50" s="167"/>
      <c r="L50" s="167"/>
      <c r="M50" s="135"/>
      <c r="N50" s="135"/>
      <c r="O50" s="135"/>
    </row>
    <row r="51" spans="1:15" ht="18" x14ac:dyDescent="0.35">
      <c r="A51" s="135">
        <v>0</v>
      </c>
      <c r="B51" s="189" t="s">
        <v>579</v>
      </c>
      <c r="C51" s="189" t="s">
        <v>596</v>
      </c>
      <c r="D51" s="189" t="s">
        <v>579</v>
      </c>
      <c r="E51" s="135" t="s">
        <v>598</v>
      </c>
      <c r="F51" s="167"/>
      <c r="G51" s="167"/>
      <c r="H51" s="167"/>
      <c r="I51" s="167"/>
      <c r="J51" s="167"/>
      <c r="K51" s="167"/>
      <c r="L51" s="167"/>
      <c r="M51" s="135"/>
      <c r="N51" s="135"/>
      <c r="O51" s="135"/>
    </row>
    <row r="52" spans="1:15" x14ac:dyDescent="0.25">
      <c r="A52" s="135" t="s">
        <v>600</v>
      </c>
      <c r="B52" s="135"/>
      <c r="C52" s="135"/>
      <c r="D52" s="135"/>
      <c r="E52" s="135"/>
      <c r="F52" s="167"/>
      <c r="G52" s="167"/>
      <c r="H52" s="167"/>
      <c r="I52" s="167"/>
      <c r="J52" s="167"/>
      <c r="K52" s="167"/>
      <c r="L52" s="167"/>
      <c r="M52" s="135"/>
      <c r="N52" s="135"/>
      <c r="O52" s="135"/>
    </row>
    <row r="53" spans="1:15" x14ac:dyDescent="0.25">
      <c r="A53" s="69"/>
      <c r="B53" s="167"/>
      <c r="C53" s="167"/>
      <c r="D53" s="167"/>
      <c r="E53" s="167"/>
      <c r="F53" s="167"/>
      <c r="G53" s="167"/>
      <c r="H53" s="167"/>
      <c r="I53" s="167"/>
      <c r="J53" s="167"/>
      <c r="K53" s="167"/>
      <c r="L53" s="167"/>
      <c r="M53" s="135"/>
      <c r="N53" s="135"/>
      <c r="O53" s="135"/>
    </row>
    <row r="54" spans="1:15" x14ac:dyDescent="0.25">
      <c r="A54" s="69"/>
      <c r="B54" s="167"/>
      <c r="C54" s="167"/>
      <c r="D54" s="167"/>
      <c r="E54" s="167"/>
      <c r="F54" s="167"/>
      <c r="G54" s="167"/>
      <c r="H54" s="167"/>
      <c r="I54" s="167"/>
      <c r="J54" s="167"/>
      <c r="K54" s="167"/>
      <c r="L54" s="167"/>
      <c r="M54" s="135"/>
      <c r="N54" s="135"/>
      <c r="O54" s="135"/>
    </row>
  </sheetData>
  <hyperlinks>
    <hyperlink ref="A6" location="'Y от t-1'!N4:R6" display="1.2. Рассчёт t-  и F-статистики показывают, что значимо как уравнение в целом, так и его коэффициенты"/>
    <hyperlink ref="A7" location="'Y от t-1'!P10" display="1.3. Уравнением регрессии объясняется 98% результирующего показателя"/>
    <hyperlink ref="A8" location="'Y от t-1'!P13" display="1.4. Средняя ошибка аппроксимации равна 1.3, что говорит о хорошем качестве уравнения."/>
    <hyperlink ref="A9" location="'Y от t-1'!T18:T24" display="1.5. При проверке предпосылок МНК было обнаружено нарушение четвёртой предпосылки"/>
    <hyperlink ref="A15" location="'Y от t-1'!Q43:R49" display="Построим с помощью функции ЛИНЕЙН вспомогательную модель по Y=ɛ, X=ɛt-1"/>
    <hyperlink ref="A22" location="'Y от t-1'!E4:E61" display="Этот метод основан на определении знаков отклонений"/>
    <hyperlink ref="A10" location="'АД Y от t-1'!A1" display="1.6. Проверили расчёты с помощью АНАЛИЗА ДАННЫХ"/>
    <hyperlink ref="A4" location="'Y от t-1'!A1" display="1.1. Получили уравнение вида:"/>
    <hyperlink ref="A11" location="'АД Y от t-1'!D24:D82" display="1.7. Cтандартные остатки АНАЛИЗА ДАННЫХ находятся в пределах допустимых значений [-2;2] =&gt; Выбросы отсутствуют.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workbookViewId="0"/>
  </sheetViews>
  <sheetFormatPr defaultRowHeight="15" x14ac:dyDescent="0.25"/>
  <cols>
    <col min="1" max="1" width="12.42578125" customWidth="1"/>
  </cols>
  <sheetData>
    <row r="1" spans="1:15" x14ac:dyDescent="0.25">
      <c r="A1" s="105" t="s">
        <v>788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35"/>
      <c r="N1" s="135"/>
      <c r="O1" s="135"/>
    </row>
    <row r="2" spans="1:15" ht="18" x14ac:dyDescent="0.35">
      <c r="A2" s="106" t="s">
        <v>808</v>
      </c>
      <c r="B2" s="158"/>
      <c r="C2" s="158"/>
      <c r="D2" s="167"/>
      <c r="E2" s="167"/>
      <c r="F2" s="167"/>
      <c r="G2" s="167"/>
      <c r="H2" s="167"/>
      <c r="I2" s="167"/>
      <c r="J2" s="167"/>
      <c r="K2" s="167"/>
      <c r="L2" s="167"/>
      <c r="M2" s="135"/>
      <c r="N2" s="135"/>
      <c r="O2" s="135"/>
    </row>
    <row r="3" spans="1:15" x14ac:dyDescent="0.25">
      <c r="A3" s="107" t="s">
        <v>645</v>
      </c>
      <c r="B3" s="158"/>
      <c r="C3" s="158"/>
      <c r="D3" s="167"/>
      <c r="E3" s="167"/>
      <c r="F3" s="167"/>
      <c r="G3" s="167"/>
      <c r="H3" s="167"/>
      <c r="I3" s="167"/>
      <c r="J3" s="167"/>
      <c r="K3" s="167"/>
      <c r="L3" s="167"/>
      <c r="M3" s="135"/>
      <c r="N3" s="135"/>
      <c r="O3" s="135"/>
    </row>
    <row r="4" spans="1:15" x14ac:dyDescent="0.25">
      <c r="A4" s="155" t="s">
        <v>658</v>
      </c>
      <c r="B4" s="157"/>
      <c r="C4" s="157"/>
      <c r="D4" s="153"/>
      <c r="E4" s="153"/>
      <c r="F4" s="153"/>
      <c r="G4" s="153"/>
      <c r="H4" s="153"/>
      <c r="I4" s="153"/>
      <c r="J4" s="153"/>
      <c r="K4" s="66"/>
      <c r="L4" s="135"/>
      <c r="M4" s="135"/>
      <c r="N4" s="135"/>
      <c r="O4" s="135"/>
    </row>
    <row r="5" spans="1:15" ht="18" x14ac:dyDescent="0.35">
      <c r="A5" s="168" t="s">
        <v>789</v>
      </c>
      <c r="B5" s="168"/>
      <c r="C5" s="168"/>
      <c r="D5" s="153"/>
      <c r="E5" s="152"/>
      <c r="F5" s="152"/>
      <c r="G5" s="152"/>
      <c r="H5" s="152"/>
      <c r="I5" s="152"/>
      <c r="J5" s="153"/>
      <c r="K5" s="66"/>
      <c r="L5" s="135"/>
      <c r="M5" s="135"/>
      <c r="N5" s="135"/>
      <c r="O5" s="135"/>
    </row>
    <row r="6" spans="1:15" x14ac:dyDescent="0.25">
      <c r="A6" s="155" t="s">
        <v>659</v>
      </c>
      <c r="B6" s="135"/>
      <c r="C6" s="135"/>
      <c r="D6" s="71"/>
      <c r="E6" s="71"/>
      <c r="F6" s="71"/>
      <c r="G6" s="71"/>
      <c r="H6" s="71"/>
      <c r="I6" s="71"/>
      <c r="J6" s="71"/>
      <c r="K6" s="66"/>
      <c r="L6" s="135"/>
      <c r="M6" s="135"/>
      <c r="N6" s="135"/>
      <c r="O6" s="135"/>
    </row>
    <row r="7" spans="1:15" x14ac:dyDescent="0.25">
      <c r="A7" s="156" t="s">
        <v>790</v>
      </c>
      <c r="B7" s="135"/>
      <c r="C7" s="135"/>
      <c r="D7" s="66"/>
      <c r="E7" s="66"/>
      <c r="F7" s="66"/>
      <c r="G7" s="66"/>
      <c r="H7" s="66"/>
      <c r="I7" s="66"/>
      <c r="J7" s="71"/>
      <c r="K7" s="66"/>
      <c r="L7" s="135"/>
      <c r="M7" s="135"/>
      <c r="N7" s="135"/>
      <c r="O7" s="135"/>
    </row>
    <row r="8" spans="1:15" x14ac:dyDescent="0.25">
      <c r="A8" s="73" t="s">
        <v>792</v>
      </c>
      <c r="B8" s="135"/>
      <c r="C8" s="152"/>
      <c r="D8" s="66"/>
      <c r="E8" s="66"/>
      <c r="F8" s="66"/>
      <c r="G8" s="66"/>
      <c r="H8" s="66"/>
      <c r="I8" s="66"/>
      <c r="J8" s="151"/>
      <c r="K8" s="66"/>
      <c r="L8" s="135"/>
      <c r="M8" s="135"/>
      <c r="N8" s="135"/>
      <c r="O8" s="135"/>
    </row>
    <row r="9" spans="1:15" x14ac:dyDescent="0.25">
      <c r="A9" s="155" t="s">
        <v>662</v>
      </c>
      <c r="B9" s="70"/>
      <c r="C9" s="152"/>
      <c r="D9" s="66"/>
      <c r="E9" s="66"/>
      <c r="F9" s="66"/>
      <c r="G9" s="66"/>
      <c r="H9" s="66"/>
      <c r="I9" s="66"/>
      <c r="J9" s="151"/>
      <c r="K9" s="66"/>
      <c r="L9" s="135"/>
      <c r="M9" s="135"/>
      <c r="N9" s="135"/>
      <c r="O9" s="135"/>
    </row>
    <row r="10" spans="1:15" x14ac:dyDescent="0.25">
      <c r="A10" s="155" t="s">
        <v>663</v>
      </c>
      <c r="B10" s="70"/>
      <c r="C10" s="152"/>
      <c r="D10" s="66"/>
      <c r="E10" s="66"/>
      <c r="F10" s="66"/>
      <c r="G10" s="66"/>
      <c r="H10" s="66"/>
      <c r="I10" s="66"/>
      <c r="J10" s="151"/>
      <c r="K10" s="66"/>
      <c r="L10" s="135"/>
      <c r="M10" s="135"/>
      <c r="N10" s="135"/>
      <c r="O10" s="135"/>
    </row>
    <row r="11" spans="1:15" x14ac:dyDescent="0.25">
      <c r="A11" s="155" t="s">
        <v>771</v>
      </c>
      <c r="B11" s="70"/>
      <c r="C11" s="152"/>
      <c r="D11" s="66"/>
      <c r="E11" s="66"/>
      <c r="F11" s="66"/>
      <c r="G11" s="66"/>
      <c r="H11" s="66"/>
      <c r="I11" s="66"/>
      <c r="J11" s="151"/>
      <c r="K11" s="66"/>
      <c r="L11" s="135"/>
      <c r="M11" s="135"/>
      <c r="N11" s="135"/>
      <c r="O11" s="135"/>
    </row>
    <row r="12" spans="1:15" x14ac:dyDescent="0.25">
      <c r="A12" s="155"/>
      <c r="B12" s="70"/>
      <c r="C12" s="152"/>
      <c r="D12" s="66"/>
      <c r="E12" s="66"/>
      <c r="F12" s="66"/>
      <c r="G12" s="66"/>
      <c r="H12" s="66"/>
      <c r="I12" s="66"/>
      <c r="J12" s="151"/>
      <c r="K12" s="66"/>
      <c r="L12" s="135"/>
      <c r="M12" s="135"/>
      <c r="N12" s="135"/>
      <c r="O12" s="135"/>
    </row>
    <row r="13" spans="1:15" x14ac:dyDescent="0.25">
      <c r="A13" s="97" t="s">
        <v>655</v>
      </c>
      <c r="B13" s="167"/>
      <c r="C13" s="167"/>
      <c r="D13" s="167"/>
      <c r="E13" s="167"/>
      <c r="F13" s="167"/>
      <c r="G13" s="167"/>
      <c r="H13" s="167"/>
      <c r="I13" s="167"/>
      <c r="J13" s="167"/>
      <c r="K13" s="167"/>
      <c r="L13" s="167"/>
      <c r="M13" s="135"/>
      <c r="N13" s="135"/>
      <c r="O13" s="135"/>
    </row>
    <row r="14" spans="1:15" x14ac:dyDescent="0.25">
      <c r="A14" s="167" t="s">
        <v>578</v>
      </c>
      <c r="B14" s="167"/>
      <c r="C14" s="167"/>
      <c r="D14" s="167"/>
      <c r="E14" s="167"/>
      <c r="F14" s="167"/>
      <c r="G14" s="167"/>
      <c r="H14" s="167"/>
      <c r="I14" s="167"/>
      <c r="J14" s="167"/>
      <c r="K14" s="167"/>
      <c r="L14" s="167"/>
      <c r="M14" s="135"/>
      <c r="N14" s="135"/>
      <c r="O14" s="135"/>
    </row>
    <row r="15" spans="1:15" x14ac:dyDescent="0.25">
      <c r="A15" s="69" t="s">
        <v>582</v>
      </c>
      <c r="B15" s="167"/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35"/>
      <c r="N15" s="135"/>
      <c r="O15" s="135"/>
    </row>
    <row r="16" spans="1:15" x14ac:dyDescent="0.25">
      <c r="A16" s="167" t="s">
        <v>583</v>
      </c>
      <c r="B16" s="167"/>
      <c r="C16" s="167"/>
      <c r="D16" s="167"/>
      <c r="E16" s="167"/>
      <c r="F16" s="167"/>
      <c r="G16" s="167"/>
      <c r="H16" s="167"/>
      <c r="I16" s="167"/>
      <c r="J16" s="167"/>
      <c r="K16" s="167"/>
      <c r="L16" s="167"/>
      <c r="M16" s="135"/>
      <c r="N16" s="135"/>
      <c r="O16" s="135"/>
    </row>
    <row r="17" spans="1:19" x14ac:dyDescent="0.25">
      <c r="A17" s="98" t="s">
        <v>635</v>
      </c>
      <c r="B17" s="167"/>
      <c r="C17" s="99" t="s">
        <v>581</v>
      </c>
      <c r="D17" s="167"/>
      <c r="E17" s="167"/>
      <c r="F17" s="167"/>
      <c r="G17" s="167"/>
      <c r="H17" s="167"/>
      <c r="I17" s="167"/>
      <c r="J17" s="167"/>
      <c r="K17" s="167"/>
      <c r="L17" s="167"/>
      <c r="M17" s="135"/>
      <c r="N17" s="135"/>
      <c r="O17" s="135"/>
    </row>
    <row r="18" spans="1:19" x14ac:dyDescent="0.25">
      <c r="A18" s="167">
        <f>55*'Y от t-2'!R45</f>
        <v>1.1204928715295248</v>
      </c>
      <c r="B18" s="98" t="s">
        <v>580</v>
      </c>
      <c r="C18" s="167">
        <f>_xlfn.CHISQ.INV.RT(0.05,1)</f>
        <v>3.8414588206941236</v>
      </c>
      <c r="D18" s="167"/>
      <c r="E18" s="167"/>
      <c r="F18" s="167"/>
      <c r="G18" s="167"/>
      <c r="H18" s="167"/>
      <c r="I18" s="167"/>
      <c r="J18" s="167"/>
      <c r="K18" s="167"/>
      <c r="L18" s="167"/>
      <c r="M18" s="135"/>
      <c r="N18" s="135"/>
      <c r="O18" s="135"/>
    </row>
    <row r="19" spans="1:19" x14ac:dyDescent="0.25">
      <c r="A19" s="167" t="s">
        <v>795</v>
      </c>
      <c r="B19" s="167"/>
      <c r="C19" s="167"/>
      <c r="D19" s="167"/>
      <c r="E19" s="167"/>
      <c r="F19" s="167"/>
      <c r="G19" s="167"/>
      <c r="H19" s="167"/>
      <c r="I19" s="167"/>
      <c r="J19" s="167"/>
      <c r="K19" s="167"/>
      <c r="L19" s="167"/>
      <c r="M19" s="135"/>
      <c r="N19" s="135"/>
      <c r="O19" s="135"/>
    </row>
    <row r="20" spans="1:19" x14ac:dyDescent="0.25">
      <c r="A20" s="167"/>
      <c r="B20" s="167"/>
      <c r="C20" s="167"/>
      <c r="D20" s="167"/>
      <c r="E20" s="167"/>
      <c r="F20" s="167"/>
      <c r="G20" s="167"/>
      <c r="H20" s="167"/>
      <c r="I20" s="167"/>
      <c r="J20" s="167"/>
      <c r="K20" s="167"/>
      <c r="L20" s="167"/>
      <c r="M20" s="135"/>
      <c r="N20" s="135"/>
      <c r="O20" s="135"/>
    </row>
    <row r="21" spans="1:19" x14ac:dyDescent="0.25">
      <c r="A21" s="97" t="s">
        <v>656</v>
      </c>
      <c r="B21" s="167"/>
      <c r="C21" s="167"/>
      <c r="D21" s="167"/>
      <c r="E21" s="167"/>
      <c r="F21" s="167"/>
      <c r="G21" s="167"/>
      <c r="H21" s="167"/>
      <c r="I21" s="167"/>
      <c r="J21" s="167"/>
      <c r="K21" s="167"/>
      <c r="L21" s="167"/>
      <c r="M21" s="135"/>
      <c r="N21" s="135"/>
      <c r="O21" s="135"/>
    </row>
    <row r="22" spans="1:19" x14ac:dyDescent="0.25">
      <c r="A22" s="69" t="s">
        <v>585</v>
      </c>
      <c r="B22" s="167"/>
      <c r="C22" s="167"/>
      <c r="D22" s="167"/>
      <c r="E22" s="167"/>
      <c r="F22" s="167"/>
      <c r="G22" s="167"/>
      <c r="H22" s="167"/>
      <c r="I22" s="167"/>
      <c r="J22" s="167"/>
      <c r="K22" s="167"/>
      <c r="L22" s="167"/>
      <c r="M22" s="165"/>
      <c r="N22" s="165"/>
      <c r="O22" s="165"/>
    </row>
    <row r="23" spans="1:19" x14ac:dyDescent="0.25">
      <c r="A23" s="135" t="s">
        <v>586</v>
      </c>
      <c r="B23" s="167"/>
      <c r="C23" s="167"/>
      <c r="D23" s="167"/>
      <c r="E23" s="167"/>
      <c r="F23" s="167"/>
      <c r="G23" s="167"/>
      <c r="H23" s="167"/>
      <c r="I23" s="167"/>
      <c r="J23" s="167"/>
      <c r="K23" s="167"/>
      <c r="L23" s="167"/>
      <c r="M23" s="135"/>
      <c r="N23" s="135"/>
      <c r="O23" s="135"/>
    </row>
    <row r="24" spans="1:19" x14ac:dyDescent="0.25">
      <c r="A24" s="98" t="s">
        <v>627</v>
      </c>
      <c r="B24" s="98" t="s">
        <v>628</v>
      </c>
      <c r="C24" s="98" t="s">
        <v>636</v>
      </c>
      <c r="D24" s="98" t="s">
        <v>628</v>
      </c>
      <c r="E24" s="98" t="s">
        <v>636</v>
      </c>
      <c r="F24" s="98" t="s">
        <v>628</v>
      </c>
      <c r="G24" s="98" t="s">
        <v>636</v>
      </c>
      <c r="H24" s="98" t="s">
        <v>796</v>
      </c>
      <c r="I24" s="98" t="s">
        <v>636</v>
      </c>
      <c r="J24" s="98" t="s">
        <v>796</v>
      </c>
      <c r="K24" s="98" t="s">
        <v>636</v>
      </c>
      <c r="L24" s="98" t="s">
        <v>796</v>
      </c>
      <c r="M24" s="98" t="s">
        <v>636</v>
      </c>
      <c r="N24" s="98" t="s">
        <v>796</v>
      </c>
      <c r="O24" s="98" t="s">
        <v>636</v>
      </c>
      <c r="P24" s="98" t="s">
        <v>796</v>
      </c>
      <c r="Q24" s="98" t="s">
        <v>636</v>
      </c>
      <c r="R24" s="98" t="s">
        <v>796</v>
      </c>
      <c r="S24" s="98" t="s">
        <v>637</v>
      </c>
    </row>
    <row r="25" spans="1:19" x14ac:dyDescent="0.25">
      <c r="A25" s="98">
        <f>COUNT('Y от t-2'!F6:F8)</f>
        <v>3</v>
      </c>
      <c r="B25" s="98">
        <f>COUNT('Y от t-2'!F9:F11)</f>
        <v>3</v>
      </c>
      <c r="C25" s="98">
        <f>COUNT('Y от t-2'!F12:F19)</f>
        <v>8</v>
      </c>
      <c r="D25" s="98">
        <f>COUNT('Y от t-2'!F20)</f>
        <v>1</v>
      </c>
      <c r="E25" s="98">
        <f>COUNT('Y от t-2'!F21:F30)</f>
        <v>10</v>
      </c>
      <c r="F25" s="135">
        <f>COUNT('Y от t-2'!F31:F33)</f>
        <v>3</v>
      </c>
      <c r="G25" s="135">
        <f>COUNT('Y от t-2'!F34)</f>
        <v>1</v>
      </c>
      <c r="H25" s="135">
        <f>COUNT('Y от t-2'!F35:F36)</f>
        <v>2</v>
      </c>
      <c r="I25" s="135">
        <f>COUNT('Y от t-2'!F37:F38)</f>
        <v>2</v>
      </c>
      <c r="J25" s="135">
        <f>COUNT('Y от t-2'!F39:F40)</f>
        <v>2</v>
      </c>
      <c r="K25" s="135">
        <f>COUNT('Y от t-2'!F41:F43)</f>
        <v>3</v>
      </c>
      <c r="L25" s="135">
        <f>COUNT('Y от t-2'!F44:F50)</f>
        <v>7</v>
      </c>
      <c r="M25" s="135">
        <f>COUNT('Y от t-2'!F51:F52)</f>
        <v>2</v>
      </c>
      <c r="N25" s="135">
        <f>COUNT('Y от t-2'!F53:F54)</f>
        <v>2</v>
      </c>
      <c r="O25" s="135">
        <f>COUNT('Y от t-2'!F55)</f>
        <v>1</v>
      </c>
      <c r="P25" s="135">
        <f>COUNT('Y от t-2'!F56:F58)</f>
        <v>3</v>
      </c>
      <c r="Q25" s="135">
        <f>COUNT('Y от t-2'!F59)</f>
        <v>1</v>
      </c>
      <c r="R25" s="135">
        <f>COUNT('Y от t-2'!F60:F61)</f>
        <v>2</v>
      </c>
      <c r="S25" s="167">
        <f>SUM(A25:R25)</f>
        <v>56</v>
      </c>
    </row>
    <row r="26" spans="1:19" ht="18" x14ac:dyDescent="0.35">
      <c r="A26" s="167" t="s">
        <v>587</v>
      </c>
      <c r="B26" s="167">
        <f>SUM(B25,D25,F25,H25,J25,L25,N25,P25,R25)</f>
        <v>25</v>
      </c>
      <c r="C26" s="167"/>
      <c r="D26" s="167"/>
      <c r="E26" s="167"/>
      <c r="F26" s="167"/>
      <c r="G26" s="167"/>
      <c r="H26" s="167"/>
      <c r="I26" s="167"/>
      <c r="J26" s="167"/>
      <c r="K26" s="167"/>
      <c r="L26" s="167"/>
      <c r="M26" s="135"/>
      <c r="N26" s="135"/>
      <c r="O26" s="135"/>
    </row>
    <row r="27" spans="1:19" ht="18" x14ac:dyDescent="0.35">
      <c r="A27" s="167" t="s">
        <v>588</v>
      </c>
      <c r="B27" s="167">
        <f>SUM(A25,C25,E25,G25,I25,K25,M25,O25,Q25)</f>
        <v>31</v>
      </c>
      <c r="C27" s="167"/>
      <c r="D27" s="167"/>
      <c r="E27" s="167"/>
      <c r="F27" s="167"/>
      <c r="G27" s="167"/>
      <c r="H27" s="167"/>
      <c r="I27" s="167"/>
      <c r="J27" s="167"/>
      <c r="K27" s="167"/>
      <c r="L27" s="167"/>
      <c r="M27" s="135"/>
      <c r="N27" s="135"/>
      <c r="O27" s="135"/>
    </row>
    <row r="28" spans="1:19" x14ac:dyDescent="0.25">
      <c r="A28" s="167" t="s">
        <v>589</v>
      </c>
      <c r="B28" s="167">
        <f>COUNT(A25:R25)</f>
        <v>18</v>
      </c>
      <c r="C28" s="167"/>
      <c r="D28" s="167"/>
      <c r="E28" s="167"/>
      <c r="F28" s="167"/>
      <c r="G28" s="167"/>
      <c r="H28" s="167"/>
      <c r="I28" s="167"/>
      <c r="J28" s="167"/>
      <c r="K28" s="167"/>
      <c r="L28" s="167"/>
      <c r="M28" s="135"/>
      <c r="N28" s="135"/>
      <c r="O28" s="135"/>
    </row>
    <row r="29" spans="1:19" x14ac:dyDescent="0.25">
      <c r="A29" s="167" t="s">
        <v>590</v>
      </c>
      <c r="B29" s="167">
        <v>57</v>
      </c>
      <c r="C29" s="167"/>
      <c r="D29" s="167"/>
      <c r="E29" s="167"/>
      <c r="F29" s="167"/>
      <c r="G29" s="167"/>
      <c r="H29" s="167"/>
      <c r="I29" s="167"/>
      <c r="J29" s="167"/>
      <c r="K29" s="167"/>
      <c r="L29" s="167"/>
      <c r="M29" s="135"/>
      <c r="N29" s="135"/>
      <c r="O29" s="135"/>
    </row>
    <row r="30" spans="1:19" x14ac:dyDescent="0.25">
      <c r="A30" s="167" t="s">
        <v>591</v>
      </c>
      <c r="B30" s="167"/>
      <c r="C30" s="167"/>
      <c r="D30" s="167"/>
      <c r="E30" s="167"/>
      <c r="F30" s="167"/>
      <c r="G30" s="167"/>
      <c r="H30" s="167"/>
      <c r="I30" s="167"/>
      <c r="J30" s="167"/>
      <c r="K30" s="167"/>
      <c r="L30" s="167"/>
      <c r="M30" s="135"/>
      <c r="N30" s="135"/>
      <c r="O30" s="135"/>
    </row>
    <row r="31" spans="1:19" x14ac:dyDescent="0.25">
      <c r="A31" s="167"/>
      <c r="B31" s="167"/>
      <c r="C31" s="167"/>
      <c r="D31" s="167"/>
      <c r="E31" s="167"/>
      <c r="F31" s="167"/>
      <c r="G31" s="167"/>
      <c r="H31" s="167"/>
      <c r="I31" s="167"/>
      <c r="J31" s="167"/>
      <c r="K31" s="167"/>
      <c r="L31" s="167"/>
      <c r="M31" s="135"/>
      <c r="N31" s="135"/>
      <c r="O31" s="135"/>
    </row>
    <row r="32" spans="1:19" x14ac:dyDescent="0.25">
      <c r="A32" s="167"/>
      <c r="B32" s="167"/>
      <c r="C32" s="167"/>
      <c r="D32" s="167"/>
      <c r="E32" s="167"/>
      <c r="F32" s="167"/>
      <c r="G32" s="167"/>
      <c r="H32" s="167"/>
      <c r="I32" s="167"/>
      <c r="J32" s="167"/>
      <c r="K32" s="167"/>
      <c r="L32" s="167"/>
      <c r="M32" s="135"/>
      <c r="N32" s="135"/>
      <c r="O32" s="135"/>
    </row>
    <row r="33" spans="1:15" x14ac:dyDescent="0.25">
      <c r="A33" s="167"/>
      <c r="B33" s="167"/>
      <c r="C33" s="167"/>
      <c r="D33" s="167"/>
      <c r="E33" s="167"/>
      <c r="F33" s="167"/>
      <c r="G33" s="167"/>
      <c r="H33" s="167"/>
      <c r="I33" s="167"/>
      <c r="J33" s="167"/>
      <c r="K33" s="167"/>
      <c r="L33" s="167"/>
      <c r="M33" s="135"/>
      <c r="N33" s="135"/>
      <c r="O33" s="135"/>
    </row>
    <row r="34" spans="1:15" x14ac:dyDescent="0.25">
      <c r="A34" s="167"/>
      <c r="B34" s="167"/>
      <c r="C34" s="167"/>
      <c r="D34" s="167"/>
      <c r="E34" s="167"/>
      <c r="F34" s="167"/>
      <c r="G34" s="167"/>
      <c r="H34" s="167"/>
      <c r="I34" s="167"/>
      <c r="J34" s="167"/>
      <c r="K34" s="167"/>
      <c r="L34" s="167"/>
      <c r="M34" s="135"/>
      <c r="N34" s="135"/>
      <c r="O34" s="135"/>
    </row>
    <row r="35" spans="1:15" x14ac:dyDescent="0.25">
      <c r="A35" s="167" t="s">
        <v>592</v>
      </c>
      <c r="B35" s="167">
        <f>((2*B26*B27)/(B26+B27))+1</f>
        <v>28.678571428571427</v>
      </c>
      <c r="C35" s="167"/>
      <c r="D35" s="167"/>
      <c r="E35" s="167"/>
      <c r="F35" s="167"/>
      <c r="G35" s="167"/>
      <c r="H35" s="167"/>
      <c r="I35" s="167"/>
      <c r="J35" s="167"/>
      <c r="K35" s="167"/>
      <c r="L35" s="167"/>
      <c r="M35" s="135"/>
      <c r="N35" s="135"/>
      <c r="O35" s="135"/>
    </row>
    <row r="36" spans="1:15" x14ac:dyDescent="0.25">
      <c r="A36" s="167" t="s">
        <v>593</v>
      </c>
      <c r="B36" s="167">
        <f>(2*B26*B27*(2*B26*B27-B26-B27))/((B26+B27)*(B26+B27)*(B26+B27-1))</f>
        <v>13.425904452690167</v>
      </c>
      <c r="C36" s="167"/>
      <c r="D36" s="167"/>
      <c r="E36" s="167"/>
      <c r="F36" s="167"/>
      <c r="G36" s="167"/>
      <c r="H36" s="167"/>
      <c r="I36" s="167"/>
      <c r="J36" s="167"/>
      <c r="K36" s="167"/>
      <c r="L36" s="167"/>
      <c r="M36" s="135"/>
      <c r="N36" s="135"/>
      <c r="O36" s="135"/>
    </row>
    <row r="37" spans="1:15" x14ac:dyDescent="0.25">
      <c r="A37" s="167" t="s">
        <v>594</v>
      </c>
      <c r="B37" s="167"/>
      <c r="C37" s="167"/>
      <c r="D37" s="167"/>
      <c r="E37" s="167"/>
      <c r="F37" s="167"/>
      <c r="G37" s="167"/>
      <c r="H37" s="167"/>
      <c r="I37" s="167"/>
      <c r="J37" s="167"/>
      <c r="K37" s="167"/>
      <c r="L37" s="167"/>
      <c r="M37" s="135"/>
      <c r="N37" s="135"/>
      <c r="O37" s="135"/>
    </row>
    <row r="38" spans="1:15" x14ac:dyDescent="0.25">
      <c r="A38" s="167">
        <f>B35-B36</f>
        <v>15.25266697588126</v>
      </c>
      <c r="B38" s="98" t="s">
        <v>579</v>
      </c>
      <c r="C38" s="98" t="s">
        <v>589</v>
      </c>
      <c r="D38" s="98" t="s">
        <v>579</v>
      </c>
      <c r="E38" s="167">
        <f>B35+B36</f>
        <v>42.104475881261592</v>
      </c>
      <c r="F38" s="167"/>
      <c r="G38" s="167"/>
      <c r="H38" s="167"/>
      <c r="I38" s="167"/>
      <c r="J38" s="167"/>
      <c r="K38" s="167"/>
      <c r="L38" s="167"/>
      <c r="M38" s="135"/>
      <c r="N38" s="135"/>
      <c r="O38" s="135"/>
    </row>
    <row r="39" spans="1:15" x14ac:dyDescent="0.25">
      <c r="A39" s="167" t="s">
        <v>797</v>
      </c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35"/>
      <c r="N39" s="135"/>
      <c r="O39" s="135"/>
    </row>
    <row r="40" spans="1:15" x14ac:dyDescent="0.25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35"/>
      <c r="N40" s="135"/>
      <c r="O40" s="135"/>
    </row>
    <row r="41" spans="1:15" x14ac:dyDescent="0.25">
      <c r="A41" s="97" t="s">
        <v>657</v>
      </c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35"/>
      <c r="N41" s="135"/>
      <c r="O41" s="135"/>
    </row>
    <row r="42" spans="1:15" x14ac:dyDescent="0.25">
      <c r="A42" s="167" t="s">
        <v>597</v>
      </c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35"/>
      <c r="N42" s="135"/>
      <c r="O42" s="135"/>
    </row>
    <row r="43" spans="1:15" x14ac:dyDescent="0.25">
      <c r="A43" s="135"/>
      <c r="B43" s="135"/>
      <c r="C43" s="135"/>
      <c r="D43" s="135"/>
      <c r="E43" s="135"/>
      <c r="F43" s="135"/>
      <c r="G43" s="135"/>
      <c r="H43" s="135"/>
      <c r="I43" s="135"/>
      <c r="J43" s="135"/>
      <c r="K43" s="167"/>
      <c r="L43" s="167"/>
      <c r="M43" s="135"/>
      <c r="N43" s="135"/>
      <c r="O43" s="135"/>
    </row>
    <row r="44" spans="1:15" x14ac:dyDescent="0.25">
      <c r="A44" s="135"/>
      <c r="B44" s="135"/>
      <c r="C44" s="135"/>
      <c r="D44" s="135"/>
      <c r="E44" s="135"/>
      <c r="F44" s="135"/>
      <c r="G44" s="135"/>
      <c r="H44" s="135"/>
      <c r="I44" s="135"/>
      <c r="J44" s="135"/>
      <c r="K44" s="167"/>
      <c r="L44" s="167"/>
      <c r="M44" s="135"/>
      <c r="N44" s="135"/>
      <c r="O44" s="135"/>
    </row>
    <row r="45" spans="1:15" x14ac:dyDescent="0.25">
      <c r="A45" s="135"/>
      <c r="B45" s="135"/>
      <c r="C45" s="135"/>
      <c r="D45" s="135"/>
      <c r="E45" s="135"/>
      <c r="F45" s="135"/>
      <c r="G45" s="135"/>
      <c r="H45" s="135"/>
      <c r="I45" s="135"/>
      <c r="J45" s="135"/>
      <c r="K45" s="167"/>
      <c r="L45" s="167"/>
      <c r="M45" s="135"/>
      <c r="N45" s="135"/>
      <c r="O45" s="135"/>
    </row>
    <row r="46" spans="1:15" x14ac:dyDescent="0.25">
      <c r="A46" s="167"/>
      <c r="B46" s="167"/>
      <c r="C46" s="167"/>
      <c r="D46" s="167"/>
      <c r="E46" s="167"/>
      <c r="F46" s="167"/>
      <c r="G46" s="167"/>
      <c r="H46" s="167"/>
      <c r="I46" s="167"/>
      <c r="J46" s="167"/>
      <c r="K46" s="167"/>
      <c r="L46" s="167"/>
      <c r="M46" s="135"/>
      <c r="N46" s="135"/>
      <c r="O46" s="135"/>
    </row>
    <row r="47" spans="1:15" x14ac:dyDescent="0.25">
      <c r="A47" s="135" t="s">
        <v>596</v>
      </c>
      <c r="B47" s="112">
        <f>'Y от t-2'!I62/SUM('Y от t-2'!H7:H61)</f>
        <v>1.714316454923505</v>
      </c>
      <c r="C47" s="167"/>
      <c r="D47" s="167"/>
      <c r="E47" s="167"/>
      <c r="F47" s="167"/>
      <c r="G47" s="167"/>
      <c r="H47" s="167"/>
      <c r="I47" s="167"/>
      <c r="J47" s="167"/>
      <c r="K47" s="167"/>
      <c r="L47" s="167"/>
      <c r="M47" s="135"/>
      <c r="N47" s="135"/>
      <c r="O47" s="135"/>
    </row>
    <row r="48" spans="1:15" ht="18" x14ac:dyDescent="0.35">
      <c r="A48" s="135" t="s">
        <v>664</v>
      </c>
      <c r="B48" s="135"/>
      <c r="C48" s="135"/>
      <c r="D48" s="135"/>
      <c r="E48" s="135"/>
      <c r="F48" s="167"/>
      <c r="G48" s="167"/>
      <c r="H48" s="167"/>
      <c r="I48" s="167"/>
      <c r="J48" s="167"/>
      <c r="K48" s="167"/>
      <c r="L48" s="167"/>
      <c r="M48" s="135"/>
      <c r="N48" s="135"/>
      <c r="O48" s="135"/>
    </row>
    <row r="49" spans="1:15" ht="18" x14ac:dyDescent="0.35">
      <c r="A49" s="135" t="s">
        <v>598</v>
      </c>
      <c r="B49" s="135">
        <v>1.53</v>
      </c>
      <c r="C49" s="135"/>
      <c r="D49" s="135"/>
      <c r="E49" s="135"/>
      <c r="F49" s="167"/>
      <c r="G49" s="167"/>
      <c r="H49" s="167"/>
      <c r="I49" s="167"/>
      <c r="J49" s="167"/>
      <c r="K49" s="167"/>
      <c r="L49" s="167"/>
      <c r="M49" s="135"/>
      <c r="N49" s="135"/>
      <c r="O49" s="135"/>
    </row>
    <row r="50" spans="1:15" ht="18" x14ac:dyDescent="0.35">
      <c r="A50" s="135" t="s">
        <v>599</v>
      </c>
      <c r="B50" s="135">
        <v>1.6</v>
      </c>
      <c r="C50" s="135"/>
      <c r="D50" s="135"/>
      <c r="E50" s="135"/>
      <c r="F50" s="167"/>
      <c r="G50" s="167"/>
      <c r="H50" s="167"/>
      <c r="I50" s="167"/>
      <c r="J50" s="167"/>
      <c r="K50" s="167"/>
      <c r="L50" s="167"/>
      <c r="M50" s="135"/>
      <c r="N50" s="135"/>
      <c r="O50" s="135"/>
    </row>
    <row r="51" spans="1:15" ht="18" x14ac:dyDescent="0.35">
      <c r="A51" s="195" t="s">
        <v>599</v>
      </c>
      <c r="B51" s="189" t="s">
        <v>579</v>
      </c>
      <c r="C51" s="189" t="s">
        <v>596</v>
      </c>
      <c r="D51" s="189" t="s">
        <v>579</v>
      </c>
      <c r="E51" s="135" t="s">
        <v>798</v>
      </c>
      <c r="F51" s="167"/>
      <c r="G51" s="167"/>
      <c r="H51" s="167"/>
      <c r="I51" s="167"/>
      <c r="J51" s="167"/>
      <c r="K51" s="167"/>
      <c r="L51" s="167"/>
      <c r="M51" s="135"/>
      <c r="N51" s="135"/>
      <c r="O51" s="135"/>
    </row>
    <row r="52" spans="1:15" x14ac:dyDescent="0.25">
      <c r="A52" s="135" t="s">
        <v>799</v>
      </c>
      <c r="B52" s="135"/>
      <c r="C52" s="135"/>
      <c r="D52" s="135"/>
      <c r="E52" s="135"/>
      <c r="F52" s="167"/>
      <c r="G52" s="167"/>
      <c r="H52" s="167"/>
      <c r="I52" s="167"/>
      <c r="J52" s="167"/>
      <c r="K52" s="167"/>
      <c r="L52" s="167"/>
      <c r="M52" s="135"/>
      <c r="N52" s="135"/>
      <c r="O52" s="135"/>
    </row>
    <row r="53" spans="1:15" x14ac:dyDescent="0.25">
      <c r="A53" s="69"/>
      <c r="B53" s="167"/>
      <c r="C53" s="167"/>
      <c r="D53" s="167"/>
      <c r="E53" s="167"/>
      <c r="F53" s="167"/>
      <c r="G53" s="167"/>
      <c r="H53" s="167"/>
      <c r="I53" s="167"/>
      <c r="J53" s="167"/>
      <c r="K53" s="167"/>
      <c r="L53" s="167"/>
      <c r="M53" s="135"/>
      <c r="N53" s="135"/>
      <c r="O53" s="135"/>
    </row>
    <row r="54" spans="1:15" x14ac:dyDescent="0.25">
      <c r="A54" s="69"/>
      <c r="B54" s="167"/>
      <c r="C54" s="167"/>
      <c r="D54" s="167"/>
      <c r="E54" s="167"/>
      <c r="F54" s="167"/>
      <c r="G54" s="167"/>
      <c r="H54" s="167"/>
      <c r="I54" s="167"/>
      <c r="J54" s="167"/>
      <c r="K54" s="167"/>
      <c r="L54" s="167"/>
      <c r="M54" s="135"/>
      <c r="N54" s="135"/>
      <c r="O54" s="135"/>
    </row>
    <row r="55" spans="1:15" x14ac:dyDescent="0.25">
      <c r="A55" s="135"/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</row>
    <row r="56" spans="1:15" x14ac:dyDescent="0.25">
      <c r="A56" s="135"/>
      <c r="B56" s="135"/>
      <c r="C56" s="135"/>
      <c r="D56" s="135"/>
      <c r="E56" s="135"/>
      <c r="F56" s="135"/>
      <c r="G56" s="135"/>
      <c r="H56" s="135"/>
      <c r="I56" s="135"/>
      <c r="J56" s="135"/>
      <c r="K56" s="135"/>
      <c r="L56" s="135"/>
      <c r="M56" s="135"/>
      <c r="N56" s="135"/>
      <c r="O56" s="135"/>
    </row>
    <row r="57" spans="1:15" x14ac:dyDescent="0.25">
      <c r="A57" s="135"/>
      <c r="B57" s="135"/>
      <c r="C57" s="135"/>
      <c r="D57" s="135"/>
      <c r="E57" s="135"/>
      <c r="F57" s="135"/>
      <c r="G57" s="135"/>
      <c r="H57" s="135"/>
      <c r="I57" s="135"/>
      <c r="J57" s="135"/>
      <c r="K57" s="135"/>
      <c r="L57" s="135"/>
      <c r="M57" s="135"/>
      <c r="N57" s="135"/>
      <c r="O57" s="135"/>
    </row>
  </sheetData>
  <hyperlinks>
    <hyperlink ref="A6" location="'Y от t-2'!P4:R6" display="1.2. Рассчёт t-  и F-статистики показывают, что значимо как уравнение в целом, так и его коэффициенты"/>
    <hyperlink ref="A7" location="'Y от t-1'!Q10" display="1.3. Уравнением регрессии объясняется 98% результирующего показателя"/>
    <hyperlink ref="A8" location="'Y от t-1'!P13" display="1.4. Средняя ошибка аппроксимации равна 1.3, что говорит о хорошем качестве уравнения."/>
    <hyperlink ref="A9" location="'Y от t-2'!U18:U24" display="1.5. При проверке предпосылок МНК было обнаружено нарушение четвёртой предпосылки"/>
    <hyperlink ref="A15" location="'Y от t-2'!R43:S49" display="Построим с помощью функции ЛИНЕЙН вспомогательную модель по Y=ɛ, X=ɛt-1"/>
    <hyperlink ref="A22" location="'Y от t-2'!F4:F61" display="Этот метод основан на определении знаков отклонений"/>
    <hyperlink ref="A10" location="'АД Y от t-2'!A1" display="1.6. Проверили расчёты с помощью АНАЛИЗА ДАННЫХ"/>
    <hyperlink ref="A4" location="'Y от t-2'!A1" display="1.1. Получили уравнение вида:"/>
    <hyperlink ref="A11" location="'АД Y от t-2'!D24:D82" display="1.7. Cтандартные остатки АНАЛИЗА ДАННЫХ находятся в пределах допустимых значений [-2;2] =&gt; Выбросы отсутствуют.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>
      <selection activeCell="O2" sqref="O2"/>
    </sheetView>
  </sheetViews>
  <sheetFormatPr defaultRowHeight="15" x14ac:dyDescent="0.25"/>
  <sheetData>
    <row r="1" spans="1:9" x14ac:dyDescent="0.25">
      <c r="A1" s="144"/>
      <c r="B1" s="144" t="s">
        <v>727</v>
      </c>
      <c r="C1" s="144" t="s">
        <v>48</v>
      </c>
      <c r="D1" s="144" t="s">
        <v>575</v>
      </c>
      <c r="E1" s="144" t="s">
        <v>672</v>
      </c>
      <c r="F1" s="144" t="s">
        <v>679</v>
      </c>
      <c r="G1" s="144" t="s">
        <v>691</v>
      </c>
      <c r="H1" s="144" t="s">
        <v>699</v>
      </c>
      <c r="I1" s="134" t="s">
        <v>728</v>
      </c>
    </row>
    <row r="2" spans="1:9" x14ac:dyDescent="0.25">
      <c r="A2" s="142" t="s">
        <v>727</v>
      </c>
      <c r="B2" s="160">
        <v>1</v>
      </c>
      <c r="C2" s="160">
        <v>0.82754767375219906</v>
      </c>
      <c r="D2" s="160">
        <v>0.86205490621224123</v>
      </c>
      <c r="E2" s="162">
        <v>0.96097523096147408</v>
      </c>
      <c r="F2" s="160">
        <v>0.91283904219102374</v>
      </c>
      <c r="G2" s="160">
        <v>0.95622936532182845</v>
      </c>
      <c r="H2" s="160">
        <v>-0.79411627306576082</v>
      </c>
      <c r="I2" s="170">
        <v>-0.87578764963630473</v>
      </c>
    </row>
    <row r="3" spans="1:9" x14ac:dyDescent="0.25">
      <c r="A3" s="142" t="s">
        <v>48</v>
      </c>
      <c r="B3" s="160">
        <v>0.82754767375219906</v>
      </c>
      <c r="C3" s="142">
        <v>1</v>
      </c>
      <c r="D3" s="142">
        <v>0.96899418021694927</v>
      </c>
      <c r="E3" s="160">
        <v>0.88771376729096185</v>
      </c>
      <c r="F3" s="142">
        <v>0.79785300931570535</v>
      </c>
      <c r="G3" s="142">
        <v>0.7750726629716489</v>
      </c>
      <c r="H3" s="142">
        <v>-0.87768231681430386</v>
      </c>
      <c r="I3" s="142">
        <v>-0.72839280788187089</v>
      </c>
    </row>
    <row r="4" spans="1:9" x14ac:dyDescent="0.25">
      <c r="A4" s="142" t="s">
        <v>575</v>
      </c>
      <c r="B4" s="163">
        <v>0.86205490621224123</v>
      </c>
      <c r="C4" s="142">
        <v>0.96899418021694927</v>
      </c>
      <c r="D4" s="142">
        <v>1</v>
      </c>
      <c r="E4" s="163">
        <v>0.91394304940813487</v>
      </c>
      <c r="F4" s="142">
        <v>0.80268744372129575</v>
      </c>
      <c r="G4" s="142">
        <v>0.79673869626373683</v>
      </c>
      <c r="H4" s="142">
        <v>-0.84032264908648246</v>
      </c>
      <c r="I4" s="142">
        <v>-0.72061489252652222</v>
      </c>
    </row>
    <row r="5" spans="1:9" x14ac:dyDescent="0.25">
      <c r="A5" s="142" t="s">
        <v>672</v>
      </c>
      <c r="B5" s="162">
        <v>0.96097523096147408</v>
      </c>
      <c r="C5" s="160">
        <v>0.88771376729096185</v>
      </c>
      <c r="D5" s="160">
        <v>0.91394304940813487</v>
      </c>
      <c r="E5" s="160">
        <v>1</v>
      </c>
      <c r="F5" s="160">
        <v>0.8938898564478468</v>
      </c>
      <c r="G5" s="160">
        <v>0.90355129169483661</v>
      </c>
      <c r="H5" s="160">
        <v>-0.82546987169010844</v>
      </c>
      <c r="I5" s="160">
        <v>-0.83098382362107526</v>
      </c>
    </row>
    <row r="6" spans="1:9" x14ac:dyDescent="0.25">
      <c r="A6" s="142" t="s">
        <v>679</v>
      </c>
      <c r="B6" s="163">
        <v>0.91283904219102374</v>
      </c>
      <c r="C6" s="142">
        <v>0.79785300931570535</v>
      </c>
      <c r="D6" s="142">
        <v>0.80268744372129575</v>
      </c>
      <c r="E6" s="163">
        <v>0.8938898564478468</v>
      </c>
      <c r="F6" s="142">
        <v>1</v>
      </c>
      <c r="G6" s="142">
        <v>0.86359970664079633</v>
      </c>
      <c r="H6" s="142">
        <v>-0.72820139638005543</v>
      </c>
      <c r="I6" s="142">
        <v>-0.88715512624095594</v>
      </c>
    </row>
    <row r="7" spans="1:9" x14ac:dyDescent="0.25">
      <c r="A7" s="142" t="s">
        <v>691</v>
      </c>
      <c r="B7" s="163">
        <v>0.95622936532182845</v>
      </c>
      <c r="C7" s="142">
        <v>0.7750726629716489</v>
      </c>
      <c r="D7" s="142">
        <v>0.79673869626373683</v>
      </c>
      <c r="E7" s="163">
        <v>0.90355129169483661</v>
      </c>
      <c r="F7" s="142">
        <v>0.86359970664079633</v>
      </c>
      <c r="G7" s="142">
        <v>1</v>
      </c>
      <c r="H7" s="142">
        <v>-0.75477189890180407</v>
      </c>
      <c r="I7" s="142">
        <v>-0.83790298598377433</v>
      </c>
    </row>
    <row r="8" spans="1:9" x14ac:dyDescent="0.25">
      <c r="A8" s="142" t="s">
        <v>699</v>
      </c>
      <c r="B8" s="163">
        <v>-0.79411627306576082</v>
      </c>
      <c r="C8" s="142">
        <v>-0.87768231681430386</v>
      </c>
      <c r="D8" s="142">
        <v>-0.84032264908648246</v>
      </c>
      <c r="E8" s="163">
        <v>-0.82546987169010844</v>
      </c>
      <c r="F8" s="142">
        <v>-0.72820139638005543</v>
      </c>
      <c r="G8" s="142">
        <v>-0.75477189890180407</v>
      </c>
      <c r="H8" s="142">
        <v>1</v>
      </c>
      <c r="I8" s="142">
        <v>0.64566510851954806</v>
      </c>
    </row>
    <row r="9" spans="1:9" ht="15.75" thickBot="1" x14ac:dyDescent="0.3">
      <c r="A9" s="143" t="s">
        <v>728</v>
      </c>
      <c r="B9" s="164">
        <v>-0.87578764963630473</v>
      </c>
      <c r="C9" s="143">
        <v>-0.72839280788187089</v>
      </c>
      <c r="D9" s="143">
        <v>-0.72061489252652222</v>
      </c>
      <c r="E9" s="164">
        <v>-0.83098382362107526</v>
      </c>
      <c r="F9" s="143">
        <v>-0.88715512624095594</v>
      </c>
      <c r="G9" s="143">
        <v>-0.83790298598377433</v>
      </c>
      <c r="H9" s="143">
        <v>0.64566510851954806</v>
      </c>
      <c r="I9" s="143">
        <v>1</v>
      </c>
    </row>
    <row r="10" spans="1:9" ht="15.75" thickBot="1" x14ac:dyDescent="0.3"/>
    <row r="11" spans="1:9" x14ac:dyDescent="0.25">
      <c r="A11" s="144"/>
      <c r="B11" s="144" t="s">
        <v>48</v>
      </c>
      <c r="C11" s="144" t="s">
        <v>575</v>
      </c>
      <c r="D11" s="144" t="s">
        <v>672</v>
      </c>
      <c r="E11" s="144" t="s">
        <v>679</v>
      </c>
      <c r="F11" s="144" t="s">
        <v>691</v>
      </c>
      <c r="G11" s="144" t="s">
        <v>699</v>
      </c>
      <c r="H11" s="144" t="s">
        <v>728</v>
      </c>
    </row>
    <row r="12" spans="1:9" x14ac:dyDescent="0.25">
      <c r="A12" s="142" t="s">
        <v>48</v>
      </c>
      <c r="B12" s="142">
        <v>1</v>
      </c>
      <c r="C12" s="160">
        <v>0.96899418021694927</v>
      </c>
      <c r="D12" s="160">
        <v>0.88771376729096185</v>
      </c>
      <c r="E12" s="142">
        <v>0.79785300931570535</v>
      </c>
      <c r="F12" s="142">
        <v>0.7750726629716489</v>
      </c>
      <c r="G12" s="142">
        <v>-0.87768231681430386</v>
      </c>
      <c r="H12" s="142">
        <v>-0.72839280788187089</v>
      </c>
    </row>
    <row r="13" spans="1:9" x14ac:dyDescent="0.25">
      <c r="A13" s="142" t="s">
        <v>575</v>
      </c>
      <c r="B13" s="160">
        <v>0.96899418021694927</v>
      </c>
      <c r="C13" s="160">
        <v>1</v>
      </c>
      <c r="D13" s="162">
        <v>0.91394304940813487</v>
      </c>
      <c r="E13" s="160">
        <v>0.80268744372129575</v>
      </c>
      <c r="F13" s="160">
        <v>0.79673869626373683</v>
      </c>
      <c r="G13" s="160">
        <v>-0.84032264908648246</v>
      </c>
      <c r="H13" s="160">
        <v>-0.72061489252652222</v>
      </c>
    </row>
    <row r="14" spans="1:9" x14ac:dyDescent="0.25">
      <c r="A14" s="142" t="s">
        <v>672</v>
      </c>
      <c r="B14" s="160">
        <v>0.88771376729096185</v>
      </c>
      <c r="C14" s="162">
        <v>0.91394304940813487</v>
      </c>
      <c r="D14" s="160">
        <v>1</v>
      </c>
      <c r="E14" s="160">
        <v>0.8938898564478468</v>
      </c>
      <c r="F14" s="160">
        <v>0.90355129169483661</v>
      </c>
      <c r="G14" s="160">
        <v>-0.82546987169010844</v>
      </c>
      <c r="H14" s="160">
        <v>-0.83098382362107526</v>
      </c>
    </row>
    <row r="15" spans="1:9" x14ac:dyDescent="0.25">
      <c r="A15" s="142" t="s">
        <v>679</v>
      </c>
      <c r="B15" s="142">
        <v>0.79785300931570535</v>
      </c>
      <c r="C15" s="163">
        <v>0.80268744372129575</v>
      </c>
      <c r="D15" s="163">
        <v>0.8938898564478468</v>
      </c>
      <c r="E15" s="142">
        <v>1</v>
      </c>
      <c r="F15" s="142">
        <v>0.86359970664079633</v>
      </c>
      <c r="G15" s="142">
        <v>-0.72820139638005543</v>
      </c>
      <c r="H15" s="142">
        <v>-0.88715512624095594</v>
      </c>
    </row>
    <row r="16" spans="1:9" x14ac:dyDescent="0.25">
      <c r="A16" s="142" t="s">
        <v>691</v>
      </c>
      <c r="B16" s="142">
        <v>0.7750726629716489</v>
      </c>
      <c r="C16" s="163">
        <v>0.79673869626373683</v>
      </c>
      <c r="D16" s="163">
        <v>0.90355129169483661</v>
      </c>
      <c r="E16" s="142">
        <v>0.86359970664079633</v>
      </c>
      <c r="F16" s="142">
        <v>1</v>
      </c>
      <c r="G16" s="142">
        <v>-0.75477189890180407</v>
      </c>
      <c r="H16" s="142">
        <v>-0.83790298598377433</v>
      </c>
    </row>
    <row r="17" spans="1:8" x14ac:dyDescent="0.25">
      <c r="A17" s="142" t="s">
        <v>699</v>
      </c>
      <c r="B17" s="142">
        <v>-0.87768231681430386</v>
      </c>
      <c r="C17" s="163">
        <v>-0.84032264908648246</v>
      </c>
      <c r="D17" s="163">
        <v>-0.82546987169010844</v>
      </c>
      <c r="E17" s="142">
        <v>-0.72820139638005543</v>
      </c>
      <c r="F17" s="142">
        <v>-0.75477189890180407</v>
      </c>
      <c r="G17" s="142">
        <v>1</v>
      </c>
      <c r="H17" s="142">
        <v>0.64566510851954806</v>
      </c>
    </row>
    <row r="18" spans="1:8" ht="15.75" thickBot="1" x14ac:dyDescent="0.3">
      <c r="A18" s="143" t="s">
        <v>728</v>
      </c>
      <c r="B18" s="143">
        <v>-0.72839280788187089</v>
      </c>
      <c r="C18" s="164">
        <v>-0.72061489252652222</v>
      </c>
      <c r="D18" s="164">
        <v>-0.83098382362107526</v>
      </c>
      <c r="E18" s="143">
        <v>-0.88715512624095594</v>
      </c>
      <c r="F18" s="143">
        <v>-0.83790298598377433</v>
      </c>
      <c r="G18" s="143">
        <v>0.64566510851954806</v>
      </c>
      <c r="H18" s="143">
        <v>1</v>
      </c>
    </row>
    <row r="19" spans="1:8" ht="15.75" thickBot="1" x14ac:dyDescent="0.3"/>
    <row r="20" spans="1:8" x14ac:dyDescent="0.25">
      <c r="A20" s="144"/>
      <c r="B20" s="144" t="s">
        <v>48</v>
      </c>
      <c r="C20" s="144" t="s">
        <v>575</v>
      </c>
      <c r="D20" s="144" t="s">
        <v>679</v>
      </c>
      <c r="E20" s="144" t="s">
        <v>691</v>
      </c>
      <c r="F20" s="144" t="s">
        <v>699</v>
      </c>
      <c r="G20" s="144" t="s">
        <v>728</v>
      </c>
    </row>
    <row r="21" spans="1:8" x14ac:dyDescent="0.25">
      <c r="A21" s="142" t="s">
        <v>48</v>
      </c>
      <c r="B21" s="142">
        <v>1</v>
      </c>
      <c r="C21" s="142">
        <v>0.96899418021694927</v>
      </c>
      <c r="D21" s="160">
        <v>0.79785300931570535</v>
      </c>
      <c r="E21" s="142">
        <v>0.7750726629716489</v>
      </c>
      <c r="F21" s="142">
        <v>-0.87768231681430386</v>
      </c>
      <c r="G21" s="160">
        <v>-0.72839280788187089</v>
      </c>
    </row>
    <row r="22" spans="1:8" x14ac:dyDescent="0.25">
      <c r="A22" s="142" t="s">
        <v>575</v>
      </c>
      <c r="B22" s="142">
        <v>0.96899418021694927</v>
      </c>
      <c r="C22" s="142">
        <v>1</v>
      </c>
      <c r="D22" s="163">
        <v>0.80268744372129575</v>
      </c>
      <c r="E22" s="142">
        <v>0.79673869626373683</v>
      </c>
      <c r="F22" s="142">
        <v>-0.84032264908648246</v>
      </c>
      <c r="G22" s="163">
        <v>-0.72061489252652222</v>
      </c>
    </row>
    <row r="23" spans="1:8" x14ac:dyDescent="0.25">
      <c r="A23" s="142" t="s">
        <v>679</v>
      </c>
      <c r="B23" s="160">
        <v>0.79785300931570535</v>
      </c>
      <c r="C23" s="160">
        <v>0.80268744372129575</v>
      </c>
      <c r="D23" s="160">
        <v>1</v>
      </c>
      <c r="E23" s="160">
        <v>0.86359970664079633</v>
      </c>
      <c r="F23" s="160">
        <v>-0.72820139638005543</v>
      </c>
      <c r="G23" s="162">
        <v>-0.88715512624095594</v>
      </c>
    </row>
    <row r="24" spans="1:8" x14ac:dyDescent="0.25">
      <c r="A24" s="142" t="s">
        <v>691</v>
      </c>
      <c r="B24" s="142">
        <v>0.7750726629716489</v>
      </c>
      <c r="C24" s="142">
        <v>0.79673869626373683</v>
      </c>
      <c r="D24" s="163">
        <v>0.86359970664079633</v>
      </c>
      <c r="E24" s="142">
        <v>1</v>
      </c>
      <c r="F24" s="142">
        <v>-0.75477189890180407</v>
      </c>
      <c r="G24" s="163">
        <v>-0.83790298598377433</v>
      </c>
    </row>
    <row r="25" spans="1:8" x14ac:dyDescent="0.25">
      <c r="A25" s="142" t="s">
        <v>699</v>
      </c>
      <c r="B25" s="142">
        <v>-0.87768231681430386</v>
      </c>
      <c r="C25" s="142">
        <v>-0.84032264908648246</v>
      </c>
      <c r="D25" s="163">
        <v>-0.72820139638005543</v>
      </c>
      <c r="E25" s="142">
        <v>-0.75477189890180407</v>
      </c>
      <c r="F25" s="142">
        <v>1</v>
      </c>
      <c r="G25" s="163">
        <v>0.64566510851954806</v>
      </c>
    </row>
    <row r="26" spans="1:8" ht="15.75" thickBot="1" x14ac:dyDescent="0.3">
      <c r="A26" s="143" t="s">
        <v>728</v>
      </c>
      <c r="B26" s="161">
        <v>-0.72839280788187089</v>
      </c>
      <c r="C26" s="161">
        <v>-0.72061489252652222</v>
      </c>
      <c r="D26" s="166">
        <v>-0.88715512624095594</v>
      </c>
      <c r="E26" s="164">
        <v>-0.83790298598377433</v>
      </c>
      <c r="F26" s="164">
        <v>0.64566510851954806</v>
      </c>
      <c r="G26" s="161">
        <v>1</v>
      </c>
    </row>
    <row r="27" spans="1:8" ht="15.75" thickBot="1" x14ac:dyDescent="0.3"/>
    <row r="28" spans="1:8" x14ac:dyDescent="0.25">
      <c r="A28" s="144"/>
      <c r="B28" s="144" t="s">
        <v>48</v>
      </c>
      <c r="C28" s="144" t="s">
        <v>575</v>
      </c>
      <c r="D28" s="144" t="s">
        <v>691</v>
      </c>
      <c r="E28" s="144" t="s">
        <v>699</v>
      </c>
      <c r="F28" s="144" t="s">
        <v>728</v>
      </c>
    </row>
    <row r="29" spans="1:8" x14ac:dyDescent="0.25">
      <c r="A29" s="142" t="s">
        <v>48</v>
      </c>
      <c r="B29" s="142">
        <v>1</v>
      </c>
      <c r="C29" s="160">
        <v>0.96899418021694927</v>
      </c>
      <c r="D29" s="142">
        <v>0.7750726629716489</v>
      </c>
      <c r="E29" s="160">
        <v>-0.87768231681430386</v>
      </c>
      <c r="F29" s="142">
        <v>-0.72839280788187089</v>
      </c>
    </row>
    <row r="30" spans="1:8" x14ac:dyDescent="0.25">
      <c r="A30" s="142" t="s">
        <v>575</v>
      </c>
      <c r="B30" s="160">
        <v>0.96899418021694927</v>
      </c>
      <c r="C30" s="160">
        <v>1</v>
      </c>
      <c r="D30" s="160">
        <v>0.79673869626373683</v>
      </c>
      <c r="E30" s="162">
        <v>-0.84032264908648246</v>
      </c>
      <c r="F30" s="160">
        <v>-0.72061489252652222</v>
      </c>
    </row>
    <row r="31" spans="1:8" x14ac:dyDescent="0.25">
      <c r="A31" s="142" t="s">
        <v>691</v>
      </c>
      <c r="B31" s="142">
        <v>0.7750726629716489</v>
      </c>
      <c r="C31" s="163">
        <v>0.79673869626373683</v>
      </c>
      <c r="D31" s="142">
        <v>1</v>
      </c>
      <c r="E31" s="163">
        <v>-0.75477189890180407</v>
      </c>
      <c r="F31" s="142">
        <v>-0.83790298598377433</v>
      </c>
    </row>
    <row r="32" spans="1:8" x14ac:dyDescent="0.25">
      <c r="A32" s="142" t="s">
        <v>699</v>
      </c>
      <c r="B32" s="160">
        <v>-0.87768231681430386</v>
      </c>
      <c r="C32" s="162">
        <v>-0.84032264908648246</v>
      </c>
      <c r="D32" s="160">
        <v>-0.75477189890180407</v>
      </c>
      <c r="E32" s="160">
        <v>1</v>
      </c>
      <c r="F32" s="160">
        <v>0.64566510851954806</v>
      </c>
    </row>
    <row r="33" spans="1:6" ht="15.75" thickBot="1" x14ac:dyDescent="0.3">
      <c r="A33" s="143" t="s">
        <v>728</v>
      </c>
      <c r="B33" s="143">
        <v>-0.72839280788187089</v>
      </c>
      <c r="C33" s="164">
        <v>-0.72061489252652222</v>
      </c>
      <c r="D33" s="143">
        <v>-0.83790298598377433</v>
      </c>
      <c r="E33" s="164">
        <v>0.64566510851954806</v>
      </c>
      <c r="F33" s="143">
        <v>1</v>
      </c>
    </row>
    <row r="34" spans="1:6" ht="15.75" thickBot="1" x14ac:dyDescent="0.3"/>
    <row r="35" spans="1:6" x14ac:dyDescent="0.25">
      <c r="A35" s="144"/>
      <c r="B35" s="144" t="s">
        <v>48</v>
      </c>
      <c r="C35" s="144" t="s">
        <v>691</v>
      </c>
      <c r="D35" s="144" t="s">
        <v>699</v>
      </c>
      <c r="E35" s="144" t="s">
        <v>728</v>
      </c>
    </row>
    <row r="36" spans="1:6" x14ac:dyDescent="0.25">
      <c r="A36" s="142" t="s">
        <v>48</v>
      </c>
      <c r="B36" s="160">
        <v>1</v>
      </c>
      <c r="C36" s="160">
        <v>0.7750726629716489</v>
      </c>
      <c r="D36" s="160">
        <v>-0.87768231681430386</v>
      </c>
      <c r="E36" s="160">
        <v>-0.72839280788187089</v>
      </c>
    </row>
    <row r="37" spans="1:6" x14ac:dyDescent="0.25">
      <c r="A37" s="142" t="s">
        <v>691</v>
      </c>
      <c r="B37" s="142">
        <v>0.7750726629716489</v>
      </c>
      <c r="C37" s="160">
        <v>1</v>
      </c>
      <c r="D37" s="142">
        <v>-0.75477189890180407</v>
      </c>
      <c r="E37" s="162">
        <v>-0.83790298598377433</v>
      </c>
    </row>
    <row r="38" spans="1:6" x14ac:dyDescent="0.25">
      <c r="A38" s="142" t="s">
        <v>699</v>
      </c>
      <c r="B38" s="142">
        <v>-0.87768231681430386</v>
      </c>
      <c r="C38" s="163">
        <v>-0.75477189890180407</v>
      </c>
      <c r="D38" s="142">
        <v>1</v>
      </c>
      <c r="E38" s="163">
        <v>0.64566510851954806</v>
      </c>
    </row>
    <row r="39" spans="1:6" ht="15.75" thickBot="1" x14ac:dyDescent="0.3">
      <c r="A39" s="143" t="s">
        <v>728</v>
      </c>
      <c r="B39" s="161">
        <v>-0.72839280788187089</v>
      </c>
      <c r="C39" s="166">
        <v>-0.83790298598377433</v>
      </c>
      <c r="D39" s="161">
        <v>0.64566510851954806</v>
      </c>
      <c r="E39" s="161">
        <v>1</v>
      </c>
    </row>
    <row r="40" spans="1:6" ht="15.75" thickBot="1" x14ac:dyDescent="0.3"/>
    <row r="41" spans="1:6" x14ac:dyDescent="0.25">
      <c r="A41" s="144"/>
      <c r="B41" s="144" t="s">
        <v>48</v>
      </c>
      <c r="C41" s="144" t="s">
        <v>699</v>
      </c>
      <c r="D41" s="144" t="s">
        <v>728</v>
      </c>
    </row>
    <row r="42" spans="1:6" x14ac:dyDescent="0.25">
      <c r="A42" s="142" t="s">
        <v>48</v>
      </c>
      <c r="B42" s="142">
        <v>1</v>
      </c>
      <c r="C42" s="142">
        <v>-0.87768231681430386</v>
      </c>
      <c r="D42" s="142">
        <v>-0.72839280788187089</v>
      </c>
    </row>
    <row r="43" spans="1:6" x14ac:dyDescent="0.25">
      <c r="A43" s="142" t="s">
        <v>699</v>
      </c>
      <c r="B43" s="142">
        <v>-0.87768231681430386</v>
      </c>
      <c r="C43" s="142">
        <v>1</v>
      </c>
      <c r="D43" s="142">
        <v>0.64566510851954806</v>
      </c>
    </row>
    <row r="44" spans="1:6" ht="15.75" thickBot="1" x14ac:dyDescent="0.3">
      <c r="A44" s="143" t="s">
        <v>728</v>
      </c>
      <c r="B44" s="143">
        <v>-0.72839280788187089</v>
      </c>
      <c r="C44" s="143">
        <v>0.64566510851954806</v>
      </c>
      <c r="D44" s="143">
        <v>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D72"/>
  <sheetViews>
    <sheetView zoomScale="80" zoomScaleNormal="80" workbookViewId="0">
      <selection sqref="A1:L15"/>
    </sheetView>
  </sheetViews>
  <sheetFormatPr defaultRowHeight="15" x14ac:dyDescent="0.25"/>
  <cols>
    <col min="2" max="2" width="16.42578125" customWidth="1"/>
  </cols>
  <sheetData>
    <row r="16" spans="1:1" x14ac:dyDescent="0.25">
      <c r="A16" s="27" t="s">
        <v>557</v>
      </c>
    </row>
    <row r="17" spans="1:2" x14ac:dyDescent="0.25">
      <c r="A17" s="27" t="s">
        <v>560</v>
      </c>
    </row>
    <row r="18" spans="1:2" ht="45" x14ac:dyDescent="0.25">
      <c r="A18" s="28" t="s">
        <v>65</v>
      </c>
      <c r="B18" s="29" t="s">
        <v>66</v>
      </c>
    </row>
    <row r="19" spans="1:2" x14ac:dyDescent="0.25">
      <c r="A19" s="30">
        <v>1</v>
      </c>
      <c r="B19" s="12">
        <f>'r1 ВР'!$B$68</f>
        <v>0.98801162861510772</v>
      </c>
    </row>
    <row r="20" spans="1:2" x14ac:dyDescent="0.25">
      <c r="A20" s="30">
        <v>2</v>
      </c>
      <c r="B20" s="12">
        <f>'r2 ВР'!$B$68</f>
        <v>0.95547973349917636</v>
      </c>
    </row>
    <row r="21" spans="1:2" x14ac:dyDescent="0.25">
      <c r="A21" s="30">
        <v>3</v>
      </c>
      <c r="B21" s="12">
        <f>'r3 ВР'!$B$68</f>
        <v>0.90678500733444478</v>
      </c>
    </row>
    <row r="22" spans="1:2" x14ac:dyDescent="0.25">
      <c r="A22" s="30">
        <v>4</v>
      </c>
      <c r="B22" s="12">
        <f>'r4 ВР'!$B$68</f>
        <v>0.84664526639164617</v>
      </c>
    </row>
    <row r="23" spans="1:2" x14ac:dyDescent="0.25">
      <c r="A23" s="30">
        <v>5</v>
      </c>
      <c r="B23" s="12">
        <f>'r5 ВР'!$B$68</f>
        <v>0.78028781519878776</v>
      </c>
    </row>
    <row r="24" spans="1:2" x14ac:dyDescent="0.25">
      <c r="A24" s="30">
        <v>6</v>
      </c>
      <c r="B24" s="12">
        <f>'r6 ВР'!$B$68</f>
        <v>0.71177668880820888</v>
      </c>
    </row>
    <row r="25" spans="1:2" x14ac:dyDescent="0.25">
      <c r="A25" s="30">
        <v>7</v>
      </c>
      <c r="B25" s="12">
        <f>'r7 ВР'!$B$68</f>
        <v>0.64556699895329883</v>
      </c>
    </row>
    <row r="26" spans="1:2" x14ac:dyDescent="0.25">
      <c r="A26" s="30">
        <v>8</v>
      </c>
      <c r="B26" s="12">
        <f>'r8 ВР'!$B$68</f>
        <v>0.58467931409654794</v>
      </c>
    </row>
    <row r="27" spans="1:2" x14ac:dyDescent="0.25">
      <c r="A27" s="30">
        <v>9</v>
      </c>
      <c r="B27" s="12">
        <f>'r9 ВР'!$B$68</f>
        <v>0.53161619122699022</v>
      </c>
    </row>
    <row r="28" spans="1:2" x14ac:dyDescent="0.25">
      <c r="A28" s="30">
        <v>10</v>
      </c>
      <c r="B28" s="12">
        <f>'r10 ВР'!$B$68</f>
        <v>0.48549722226763931</v>
      </c>
    </row>
    <row r="29" spans="1:2" x14ac:dyDescent="0.25">
      <c r="A29" s="30">
        <v>11</v>
      </c>
      <c r="B29" s="12">
        <f>'r11 ВР'!$B$68</f>
        <v>0.44364636942936164</v>
      </c>
    </row>
    <row r="30" spans="1:2" x14ac:dyDescent="0.25">
      <c r="A30" s="30">
        <v>12</v>
      </c>
      <c r="B30" s="12">
        <f>'r12 ВР'!$B$68</f>
        <v>0.40534401124404007</v>
      </c>
    </row>
    <row r="31" spans="1:2" x14ac:dyDescent="0.25">
      <c r="A31" s="30">
        <v>13</v>
      </c>
      <c r="B31" s="12">
        <f>'r13 ВР'!$B$68</f>
        <v>0.36930751425314706</v>
      </c>
    </row>
    <row r="32" spans="1:2" x14ac:dyDescent="0.25">
      <c r="A32" s="30">
        <v>14</v>
      </c>
      <c r="B32" s="12">
        <f>'r14 ВР'!$B$68</f>
        <v>0.33430310594522977</v>
      </c>
    </row>
    <row r="33" spans="1:4" x14ac:dyDescent="0.25">
      <c r="A33" s="30">
        <v>15</v>
      </c>
      <c r="B33" s="12">
        <f>'r15 ВР'!$B$68</f>
        <v>0.30297277110364984</v>
      </c>
    </row>
    <row r="34" spans="1:4" x14ac:dyDescent="0.25">
      <c r="A34" s="30">
        <v>16</v>
      </c>
      <c r="B34" s="12">
        <f>'r16 ВР'!$B$68</f>
        <v>0.27868901474031649</v>
      </c>
    </row>
    <row r="35" spans="1:4" x14ac:dyDescent="0.25">
      <c r="A35" s="30">
        <v>17</v>
      </c>
      <c r="B35" s="12">
        <f>'r17 ВР'!$B$68</f>
        <v>0.26586129752486465</v>
      </c>
      <c r="D35" t="s">
        <v>403</v>
      </c>
    </row>
    <row r="36" spans="1:4" x14ac:dyDescent="0.25">
      <c r="A36" s="30">
        <v>18</v>
      </c>
      <c r="B36" s="12">
        <f>'r18 ВР'!$B$68</f>
        <v>0.26566136678709262</v>
      </c>
    </row>
    <row r="37" spans="1:4" x14ac:dyDescent="0.25">
      <c r="A37" s="30">
        <v>19</v>
      </c>
      <c r="B37" s="12">
        <f>'r19 ВР'!$B$68</f>
        <v>0.27870121888360666</v>
      </c>
    </row>
    <row r="38" spans="1:4" x14ac:dyDescent="0.25">
      <c r="A38" s="30">
        <v>20</v>
      </c>
      <c r="B38" s="12">
        <f>'r20 ВР'!$B$68</f>
        <v>0.30668814758644003</v>
      </c>
    </row>
    <row r="39" spans="1:4" x14ac:dyDescent="0.25">
      <c r="A39" s="30">
        <v>21</v>
      </c>
      <c r="B39" s="12">
        <f>'r21 ВР'!$B$68</f>
        <v>0.34860627990520621</v>
      </c>
    </row>
    <row r="40" spans="1:4" x14ac:dyDescent="0.25">
      <c r="A40" s="30">
        <v>22</v>
      </c>
      <c r="B40" s="12">
        <f>'r22 ВР'!$B$68</f>
        <v>0.40259159760607838</v>
      </c>
    </row>
    <row r="41" spans="1:4" x14ac:dyDescent="0.25">
      <c r="A41" s="30">
        <v>23</v>
      </c>
      <c r="B41" s="12">
        <f>'r23 ВР'!$B$68</f>
        <v>0.46230411429035512</v>
      </c>
    </row>
    <row r="42" spans="1:4" x14ac:dyDescent="0.25">
      <c r="A42" s="30">
        <v>24</v>
      </c>
      <c r="B42" s="12">
        <f>'r24 ВР'!$B$68</f>
        <v>0.52786849484454179</v>
      </c>
    </row>
    <row r="43" spans="1:4" x14ac:dyDescent="0.25">
      <c r="A43" s="30">
        <v>25</v>
      </c>
      <c r="B43" s="12">
        <f>'r25 ВР'!$B$68</f>
        <v>0.59965574823803447</v>
      </c>
    </row>
    <row r="44" spans="1:4" x14ac:dyDescent="0.25">
      <c r="A44" s="30">
        <v>26</v>
      </c>
      <c r="B44" s="12">
        <f>'r26 ВР'!$B$68</f>
        <v>0.67587899980955302</v>
      </c>
    </row>
    <row r="45" spans="1:4" x14ac:dyDescent="0.25">
      <c r="A45" s="147">
        <v>27</v>
      </c>
      <c r="B45" s="12">
        <f>'r27 ВР'!$B$68</f>
        <v>0.73463725299109128</v>
      </c>
    </row>
    <row r="46" spans="1:4" x14ac:dyDescent="0.25">
      <c r="A46" s="30">
        <v>28</v>
      </c>
      <c r="B46" s="12">
        <f>'r28 ВР'!$B$68</f>
        <v>0.74741398773009327</v>
      </c>
    </row>
    <row r="47" spans="1:4" x14ac:dyDescent="0.25">
      <c r="A47" s="30">
        <v>29</v>
      </c>
      <c r="B47" s="12">
        <f>'r29 ВР'!$B$68</f>
        <v>0.67096815724193304</v>
      </c>
    </row>
    <row r="48" spans="1:4" x14ac:dyDescent="0.25">
      <c r="A48" s="30">
        <v>30</v>
      </c>
      <c r="B48" s="12">
        <f>'r30 ВР'!$B$68</f>
        <v>0.47275120004372773</v>
      </c>
    </row>
    <row r="49" spans="1:2" x14ac:dyDescent="0.25">
      <c r="A49" s="30">
        <v>31</v>
      </c>
      <c r="B49" s="12">
        <f>'r31 ВР'!$B$68</f>
        <v>0.19214131249336247</v>
      </c>
    </row>
    <row r="50" spans="1:2" x14ac:dyDescent="0.25">
      <c r="A50" s="30">
        <v>32</v>
      </c>
      <c r="B50" s="12">
        <f>'r32 ВР'!$B$68</f>
        <v>-9.1777546185930856E-2</v>
      </c>
    </row>
    <row r="51" spans="1:2" x14ac:dyDescent="0.25">
      <c r="A51" s="30">
        <v>33</v>
      </c>
      <c r="B51" s="12">
        <f>'r33 ВР'!$B$68</f>
        <v>-0.27604908207666873</v>
      </c>
    </row>
    <row r="52" spans="1:2" x14ac:dyDescent="0.25">
      <c r="A52" s="30">
        <v>34</v>
      </c>
      <c r="B52" s="12">
        <f>'r34 ВР'!$B$68</f>
        <v>-0.38659697331235243</v>
      </c>
    </row>
    <row r="53" spans="1:2" x14ac:dyDescent="0.25">
      <c r="A53" s="30">
        <v>35</v>
      </c>
      <c r="B53" s="12">
        <f>'r35 ВР'!$B$68</f>
        <v>-0.46518197883224244</v>
      </c>
    </row>
    <row r="54" spans="1:2" x14ac:dyDescent="0.25">
      <c r="A54" s="30">
        <v>36</v>
      </c>
      <c r="B54" s="12">
        <f>'r36 ВР'!$B$68</f>
        <v>-0.53306368275308957</v>
      </c>
    </row>
    <row r="55" spans="1:2" x14ac:dyDescent="0.25">
      <c r="A55" s="30">
        <v>37</v>
      </c>
      <c r="B55" s="12">
        <f>'r37 ВР'!$B$68</f>
        <v>-0.57594441194291157</v>
      </c>
    </row>
    <row r="56" spans="1:2" x14ac:dyDescent="0.25">
      <c r="A56" s="30">
        <v>38</v>
      </c>
      <c r="B56" s="12">
        <f>'r38 ВР'!$B$68</f>
        <v>-0.64680011178740748</v>
      </c>
    </row>
    <row r="57" spans="1:2" x14ac:dyDescent="0.25">
      <c r="A57" s="147">
        <v>39</v>
      </c>
      <c r="B57" s="12">
        <f>'r39 ВР'!$B$68</f>
        <v>-0.74903817362802849</v>
      </c>
    </row>
    <row r="58" spans="1:2" x14ac:dyDescent="0.25">
      <c r="A58" s="30">
        <v>40</v>
      </c>
      <c r="B58" s="12">
        <f>'r40 ВР'!$B$68</f>
        <v>-0.84412980085298728</v>
      </c>
    </row>
    <row r="59" spans="1:2" x14ac:dyDescent="0.25">
      <c r="A59" s="30">
        <v>41</v>
      </c>
      <c r="B59" s="12">
        <f>'r41 ВР'!$B$68</f>
        <v>-0.88199969401474609</v>
      </c>
    </row>
    <row r="60" spans="1:2" x14ac:dyDescent="0.25">
      <c r="A60" s="30">
        <v>42</v>
      </c>
      <c r="B60" s="12">
        <f>'r42 ВР'!$B$68</f>
        <v>-0.82041374980600201</v>
      </c>
    </row>
    <row r="61" spans="1:2" x14ac:dyDescent="0.25">
      <c r="A61" s="30">
        <v>43</v>
      </c>
      <c r="B61" s="12">
        <f>'r43 ВР'!$B$68</f>
        <v>-0.63224331753554963</v>
      </c>
    </row>
    <row r="62" spans="1:2" x14ac:dyDescent="0.25">
      <c r="A62" s="30">
        <v>44</v>
      </c>
      <c r="B62" s="12">
        <f>'r44 ВР'!$B$68</f>
        <v>-0.35687410072957032</v>
      </c>
    </row>
    <row r="63" spans="1:2" x14ac:dyDescent="0.25">
      <c r="A63" s="30">
        <v>45</v>
      </c>
      <c r="B63" s="12">
        <f>'r45 ВР'!$B$68</f>
        <v>-2.107722576766561E-2</v>
      </c>
    </row>
    <row r="64" spans="1:2" x14ac:dyDescent="0.25">
      <c r="A64" s="30">
        <v>46</v>
      </c>
      <c r="B64" s="12">
        <f>'r46 ВР'!$B$68</f>
        <v>0.31570909341951309</v>
      </c>
    </row>
    <row r="65" spans="1:2" x14ac:dyDescent="0.25">
      <c r="A65" s="30">
        <v>47</v>
      </c>
      <c r="B65" s="12">
        <f>'r47 ВР'!$B$68</f>
        <v>0.63554384201308667</v>
      </c>
    </row>
    <row r="66" spans="1:2" x14ac:dyDescent="0.25">
      <c r="A66" s="30">
        <v>48</v>
      </c>
      <c r="B66" s="12">
        <f>'r48 ВР'!$B$68</f>
        <v>0.88972176559468608</v>
      </c>
    </row>
    <row r="67" spans="1:2" x14ac:dyDescent="0.25">
      <c r="A67" s="30">
        <v>49</v>
      </c>
      <c r="B67" s="12">
        <f>'r49 ВР'!$B$68</f>
        <v>0.97491609627428688</v>
      </c>
    </row>
    <row r="68" spans="1:2" x14ac:dyDescent="0.25">
      <c r="A68" s="30">
        <v>50</v>
      </c>
      <c r="B68" s="12">
        <f>'r50 ВР'!$B$68</f>
        <v>0.94684138625077685</v>
      </c>
    </row>
    <row r="69" spans="1:2" x14ac:dyDescent="0.25">
      <c r="A69" s="30">
        <v>51</v>
      </c>
      <c r="B69" s="12">
        <f>'r51 ВР'!$B$68</f>
        <v>0.87042171505282351</v>
      </c>
    </row>
    <row r="70" spans="1:2" x14ac:dyDescent="0.25">
      <c r="A70" s="30">
        <v>52</v>
      </c>
      <c r="B70" s="12">
        <f>'r52ВР'!$B$68</f>
        <v>0.8750014221363801</v>
      </c>
    </row>
    <row r="71" spans="1:2" x14ac:dyDescent="0.25">
      <c r="A71" s="30">
        <v>53</v>
      </c>
      <c r="B71" s="12">
        <f>'r53 ВР'!$B$68</f>
        <v>0.2814797596041535</v>
      </c>
    </row>
    <row r="72" spans="1:2" x14ac:dyDescent="0.25">
      <c r="A72" s="30">
        <v>54</v>
      </c>
      <c r="B72" s="12">
        <f>'r54 ВР'!$B$68</f>
        <v>-0.98362945733469231</v>
      </c>
    </row>
  </sheetData>
  <hyperlinks>
    <hyperlink ref="A20" location="'r2 ВР'!B68" display="'r2 ВР'!B68"/>
    <hyperlink ref="A21" location="'r3 ВР'!B68" display="'r3 ВР'!B68"/>
    <hyperlink ref="A22" location="'r4 ВР'!B68" display="'r4 ВР'!B68"/>
    <hyperlink ref="A23" location="'r5 ВР'!B68" display="'r5 ВР'!B68"/>
    <hyperlink ref="A24" location="'r6 ВР'!B68" display="'r6 ВР'!B68"/>
    <hyperlink ref="A25" location="'r7 ВР'!B68" display="'r7 ВР'!B68"/>
    <hyperlink ref="A26" location="'r8 ВР'!B68" display="'r8 ВР'!B68"/>
    <hyperlink ref="A27" location="'r9 ВР'!B68" display="'r9 ВР'!B68"/>
    <hyperlink ref="A28" location="'r10 ВР'!B68" display="'r10 ВР'!B68"/>
    <hyperlink ref="A29" location="'r11 ВР'!B68" display="'r11 ВР'!B68"/>
    <hyperlink ref="A30" location="'r12 ВР'!B68" display="'r12 ВР'!B68"/>
    <hyperlink ref="A19" location="'r1 ВР'!B68" display="'r1 ВР'!B68"/>
    <hyperlink ref="A32" location="'r14 ВР'!B68" display="'r14 ВР'!B68"/>
    <hyperlink ref="A44" location="'r26 ВР'!B68" display="'r26 ВР'!B68"/>
    <hyperlink ref="A1" location="'r12 ВР'!B68" display="'r12 ВР'!B68"/>
    <hyperlink ref="A33" location="'r15 ВР'!B68" display="'r15 ВР'!B68"/>
    <hyperlink ref="A45" location="'r27 ВР'!B68" display="'r27 ВР'!B68"/>
    <hyperlink ref="A34" location="'r16 ВР'!B68" display="'r16 ВР'!B68"/>
    <hyperlink ref="A46" location="'r28 ВР'!B68" display="'r28 ВР'!B68"/>
    <hyperlink ref="A35" location="'r17 ВР'!B68" display="'r17 ВР'!B68"/>
    <hyperlink ref="A47" location="'r29 ВР'!B68" display="'r29 ВР'!B68"/>
    <hyperlink ref="A36" location="'r18 ВР'!B68" display="'r18 ВР'!B68"/>
    <hyperlink ref="A48" location="'r30 ВР'!B68" display="'r30 ВР'!B68"/>
    <hyperlink ref="A37" location="'r19 ВР'!B68" display="'r19 ВР'!B68"/>
    <hyperlink ref="A49" location="'r31 ВР'!B68" display="'r31 ВР'!B68"/>
    <hyperlink ref="A38" location="'r20 ВР'!B68" display="'r20 ВР'!B68"/>
    <hyperlink ref="A50" location="'r32 ВР'!B68" display="'r32 ВР'!B68"/>
    <hyperlink ref="A39" location="'r21 ВР'!B68" display="'r21 ВР'!B68"/>
    <hyperlink ref="A51" location="'r33 ВР'!B68" display="'r33 ВР'!B68"/>
    <hyperlink ref="A40" location="'r22 ВР'!B68" display="'r22 ВР'!B68"/>
    <hyperlink ref="A52" location="'r34 ВР'!B68" display="'r34 ВР'!B68"/>
    <hyperlink ref="A41" location="'r23 ВР'!B68" display="'r23 ВР'!B68"/>
    <hyperlink ref="A53" location="'r35 ВР'!B68" display="'r35 ВР'!B68"/>
    <hyperlink ref="A42" location="'r24 ВР'!B68" display="'r24 ВР'!B68"/>
    <hyperlink ref="A54" location="'r36 ВР'!B68" display="'r36 ВР'!B68"/>
    <hyperlink ref="A31" location="'r13 ВР'!B68" display="'r13 ВР'!B68"/>
    <hyperlink ref="A43" location="'r25 ВР'!B68" display="'r25 ВР'!B68"/>
    <hyperlink ref="A55" location="'r37 ВР'!B68" display="'r37 ВР'!B68"/>
    <hyperlink ref="A56" location="'r38 ВР'!B68" display="'r38 ВР'!B68"/>
    <hyperlink ref="A58" location="'r40 ВР'!B68" display="'r40 ВР'!B68"/>
    <hyperlink ref="A60" location="'r42 ВР'!B68" display="'r42 ВР'!B68"/>
    <hyperlink ref="A62" location="'r44 ВР'!B68" display="'r44 ВР'!B68"/>
    <hyperlink ref="A64" location="'r46 ВР'!B68" display="'r46 ВР'!B68"/>
    <hyperlink ref="A66" location="'r48 ВР'!B68" display="'r48 ВР'!B68"/>
    <hyperlink ref="A68" location="'r50 ВР'!B68" display="'r50 ВР'!B68"/>
    <hyperlink ref="A70" location="'r52ВР'!B68" display="'r52ВР'!B68"/>
    <hyperlink ref="A72" location="'r54 ВР'!B68" display="'r54 ВР'!B68"/>
    <hyperlink ref="A57" location="'r39 ВР'!B68" display="'r39 ВР'!B68"/>
    <hyperlink ref="A59" location="'r41 ВР'!B68" display="'r41 ВР'!B68"/>
    <hyperlink ref="A61" location="'r43 ВР'!B68" display="'r43 ВР'!B68"/>
    <hyperlink ref="A63" location="'r45 ВР'!B68" display="'r45 ВР'!B68"/>
    <hyperlink ref="A65" location="'r47 ВР'!B68" display="'r47 ВР'!B68"/>
    <hyperlink ref="A67" location="'r49 ВР'!B68" display="'r49 ВР'!B68"/>
    <hyperlink ref="A69" location="'r51 ВР'!B68" display="'r51 ВР'!B68"/>
    <hyperlink ref="A71" location="'r53 ВР'!B68" display="'r53 ВР'!B68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3"/>
  <sheetViews>
    <sheetView zoomScale="90" zoomScaleNormal="90" workbookViewId="0">
      <selection activeCell="L12" sqref="L12"/>
    </sheetView>
  </sheetViews>
  <sheetFormatPr defaultRowHeight="15" x14ac:dyDescent="0.25"/>
  <cols>
    <col min="7" max="7" width="16.42578125" customWidth="1"/>
    <col min="8" max="8" width="22.42578125" customWidth="1"/>
    <col min="9" max="9" width="17.7109375" customWidth="1"/>
  </cols>
  <sheetData>
    <row r="2" spans="1:16" x14ac:dyDescent="0.25">
      <c r="A2" s="34">
        <v>1</v>
      </c>
      <c r="B2" s="34">
        <v>2</v>
      </c>
      <c r="C2" s="34">
        <v>3</v>
      </c>
      <c r="D2" s="34">
        <v>4</v>
      </c>
      <c r="E2" s="34">
        <v>5</v>
      </c>
      <c r="F2" s="34"/>
      <c r="G2" s="207" t="s">
        <v>604</v>
      </c>
      <c r="H2" s="207"/>
      <c r="I2" s="207"/>
    </row>
    <row r="3" spans="1:16" ht="60" x14ac:dyDescent="0.25">
      <c r="A3" s="44" t="s">
        <v>67</v>
      </c>
      <c r="B3" s="44" t="s">
        <v>565</v>
      </c>
      <c r="C3" s="67" t="s">
        <v>568</v>
      </c>
      <c r="D3" s="67" t="s">
        <v>576</v>
      </c>
      <c r="E3" s="4" t="s">
        <v>620</v>
      </c>
      <c r="F3" s="4"/>
      <c r="G3" s="4" t="s">
        <v>632</v>
      </c>
      <c r="H3" s="45" t="s">
        <v>608</v>
      </c>
      <c r="I3" s="42" t="s">
        <v>609</v>
      </c>
    </row>
    <row r="4" spans="1:16" ht="18" x14ac:dyDescent="0.35">
      <c r="A4">
        <v>1</v>
      </c>
      <c r="B4" s="11">
        <v>102.32</v>
      </c>
      <c r="C4">
        <f>$K$21*A4+$L$21</f>
        <v>102.68526592635888</v>
      </c>
      <c r="D4" s="101">
        <f>B4-C4</f>
        <v>-0.36526592635888733</v>
      </c>
      <c r="E4" s="39">
        <f>ABS(D4/B4)*100</f>
        <v>0.35698389988163343</v>
      </c>
      <c r="F4" s="39"/>
      <c r="G4" s="39">
        <v>-12.916520348211279</v>
      </c>
      <c r="H4">
        <f>A4/59</f>
        <v>1.6949152542372881E-2</v>
      </c>
      <c r="I4">
        <f>_xlfn.NORM.S.INV(H4)</f>
        <v>-2.1212793024540013</v>
      </c>
      <c r="K4" t="s">
        <v>610</v>
      </c>
      <c r="L4">
        <f>K24</f>
        <v>121.68479071978039</v>
      </c>
      <c r="M4" s="38" t="s">
        <v>580</v>
      </c>
      <c r="N4" t="s">
        <v>611</v>
      </c>
      <c r="O4">
        <f>_xlfn.F.INV.RT(0.05,1,56)</f>
        <v>4.0129733776501437</v>
      </c>
    </row>
    <row r="5" spans="1:16" ht="18" x14ac:dyDescent="0.35">
      <c r="A5">
        <v>2</v>
      </c>
      <c r="B5" s="6">
        <v>102.21</v>
      </c>
      <c r="C5">
        <f t="shared" ref="C5:C61" si="0">$K$21*A5+$L$21</f>
        <v>103.32494201605711</v>
      </c>
      <c r="D5" s="101">
        <f t="shared" ref="D5:D61" si="1">B5-C5</f>
        <v>-1.114942016057114</v>
      </c>
      <c r="E5" s="39">
        <f t="shared" ref="E5:E61" si="2">ABS(D5/B5)*100</f>
        <v>1.0908345720155699</v>
      </c>
      <c r="F5" s="39"/>
      <c r="G5" s="39">
        <v>-12.826844258513049</v>
      </c>
      <c r="H5">
        <f t="shared" ref="H5:H61" si="3">A5/59</f>
        <v>3.3898305084745763E-2</v>
      </c>
      <c r="I5">
        <f t="shared" ref="I5:I61" si="4">_xlfn.NORM.S.INV(H5)</f>
        <v>-1.8263562979439061</v>
      </c>
      <c r="K5" t="s">
        <v>612</v>
      </c>
      <c r="L5">
        <f>L21/L22</f>
        <v>51.881074359630666</v>
      </c>
      <c r="M5" s="38" t="s">
        <v>580</v>
      </c>
      <c r="N5" t="s">
        <v>614</v>
      </c>
      <c r="O5">
        <f>_xlfn.T.INV.2T(0.05,56)</f>
        <v>2.0032407188478727</v>
      </c>
    </row>
    <row r="6" spans="1:16" ht="18" x14ac:dyDescent="0.35">
      <c r="A6">
        <v>3</v>
      </c>
      <c r="B6" s="6">
        <v>102.16</v>
      </c>
      <c r="C6">
        <f t="shared" si="0"/>
        <v>103.96461810575535</v>
      </c>
      <c r="D6" s="101">
        <f t="shared" si="1"/>
        <v>-1.8046181057553525</v>
      </c>
      <c r="E6" s="39">
        <f t="shared" si="2"/>
        <v>1.7664625154222322</v>
      </c>
      <c r="F6" s="39"/>
      <c r="G6" s="39">
        <v>-12.107168168814809</v>
      </c>
      <c r="H6">
        <f t="shared" si="3"/>
        <v>5.0847457627118647E-2</v>
      </c>
      <c r="I6">
        <f t="shared" si="4"/>
        <v>-1.6366916466733989</v>
      </c>
      <c r="K6" t="s">
        <v>613</v>
      </c>
      <c r="L6">
        <f>K21/K22</f>
        <v>11.031082935042253</v>
      </c>
      <c r="M6" s="38" t="s">
        <v>580</v>
      </c>
      <c r="N6" t="s">
        <v>614</v>
      </c>
      <c r="O6">
        <f>_xlfn.T.INV.2T(0.05,56)</f>
        <v>2.0032407188478727</v>
      </c>
    </row>
    <row r="7" spans="1:16" x14ac:dyDescent="0.25">
      <c r="A7">
        <v>4</v>
      </c>
      <c r="B7" s="6">
        <v>102.06</v>
      </c>
      <c r="C7">
        <f t="shared" si="0"/>
        <v>104.60429419545359</v>
      </c>
      <c r="D7" s="101">
        <f t="shared" si="1"/>
        <v>-2.5442941954535883</v>
      </c>
      <c r="E7" s="39">
        <f t="shared" si="2"/>
        <v>2.4929396388924046</v>
      </c>
      <c r="F7" s="39"/>
      <c r="G7" s="39">
        <v>-11.427492079116575</v>
      </c>
      <c r="H7">
        <f t="shared" si="3"/>
        <v>6.7796610169491525E-2</v>
      </c>
      <c r="I7">
        <f t="shared" si="4"/>
        <v>-1.492404178320359</v>
      </c>
      <c r="K7" t="s">
        <v>615</v>
      </c>
    </row>
    <row r="8" spans="1:16" x14ac:dyDescent="0.25">
      <c r="A8">
        <v>5</v>
      </c>
      <c r="B8" s="6">
        <v>102.55</v>
      </c>
      <c r="C8">
        <f t="shared" si="0"/>
        <v>105.24397028515183</v>
      </c>
      <c r="D8" s="101">
        <f t="shared" si="1"/>
        <v>-2.6939702851518348</v>
      </c>
      <c r="E8" s="39">
        <f t="shared" si="2"/>
        <v>2.626982238080775</v>
      </c>
      <c r="F8" s="39"/>
      <c r="G8" s="39">
        <v>-10.367815989418332</v>
      </c>
      <c r="H8">
        <f t="shared" si="3"/>
        <v>8.4745762711864403E-2</v>
      </c>
      <c r="I8">
        <f t="shared" si="4"/>
        <v>-1.3738394673770855</v>
      </c>
      <c r="K8" t="s">
        <v>616</v>
      </c>
    </row>
    <row r="9" spans="1:16" ht="18" x14ac:dyDescent="0.35">
      <c r="A9">
        <v>6</v>
      </c>
      <c r="B9" s="6">
        <v>104.35</v>
      </c>
      <c r="C9">
        <f t="shared" si="0"/>
        <v>105.88364637485006</v>
      </c>
      <c r="D9" s="101">
        <f t="shared" si="1"/>
        <v>-1.5336463748500648</v>
      </c>
      <c r="E9" s="39">
        <f t="shared" si="2"/>
        <v>1.4697138235266554</v>
      </c>
      <c r="F9" s="39"/>
      <c r="G9" s="39">
        <v>-9.2881398997200932</v>
      </c>
      <c r="H9">
        <f t="shared" si="3"/>
        <v>0.10169491525423729</v>
      </c>
      <c r="I9">
        <f t="shared" si="4"/>
        <v>-1.2719529676842081</v>
      </c>
      <c r="K9" s="68" t="s">
        <v>617</v>
      </c>
      <c r="L9">
        <f>K23</f>
        <v>0.68483515233267556</v>
      </c>
    </row>
    <row r="10" spans="1:16" x14ac:dyDescent="0.25">
      <c r="A10">
        <v>7</v>
      </c>
      <c r="B10" s="6">
        <v>107.57</v>
      </c>
      <c r="C10">
        <f t="shared" si="0"/>
        <v>106.5233224645483</v>
      </c>
      <c r="D10" s="102">
        <f t="shared" si="1"/>
        <v>1.0466775354516926</v>
      </c>
      <c r="E10" s="39">
        <f t="shared" si="2"/>
        <v>0.97301992697935535</v>
      </c>
      <c r="F10" s="39"/>
      <c r="G10" s="39">
        <v>-9.2461964379095321</v>
      </c>
      <c r="H10">
        <f t="shared" si="3"/>
        <v>0.11864406779661017</v>
      </c>
      <c r="I10">
        <f t="shared" si="4"/>
        <v>-1.1817922703491182</v>
      </c>
      <c r="K10" t="s">
        <v>619</v>
      </c>
      <c r="M10" s="66"/>
      <c r="N10" s="66"/>
      <c r="O10" s="66"/>
      <c r="P10" s="66"/>
    </row>
    <row r="11" spans="1:16" x14ac:dyDescent="0.25">
      <c r="A11">
        <v>8</v>
      </c>
      <c r="B11" s="6">
        <v>111.96</v>
      </c>
      <c r="C11">
        <f t="shared" si="0"/>
        <v>107.16299855424654</v>
      </c>
      <c r="D11" s="102">
        <f t="shared" si="1"/>
        <v>4.7970014457534518</v>
      </c>
      <c r="E11" s="39">
        <f t="shared" si="2"/>
        <v>4.284567207711194</v>
      </c>
      <c r="F11" s="39"/>
      <c r="G11" s="39">
        <v>-8.3184638100218677</v>
      </c>
      <c r="H11">
        <f t="shared" si="3"/>
        <v>0.13559322033898305</v>
      </c>
      <c r="I11">
        <f t="shared" si="4"/>
        <v>-1.1003344194590818</v>
      </c>
      <c r="K11" t="s">
        <v>618</v>
      </c>
    </row>
    <row r="12" spans="1:16" x14ac:dyDescent="0.25">
      <c r="A12">
        <v>9</v>
      </c>
      <c r="B12" s="6">
        <v>115.27</v>
      </c>
      <c r="C12">
        <f t="shared" si="0"/>
        <v>107.80267464394477</v>
      </c>
      <c r="D12" s="102">
        <f t="shared" si="1"/>
        <v>7.4673253560552268</v>
      </c>
      <c r="E12" s="39">
        <f t="shared" si="2"/>
        <v>6.478116904706539</v>
      </c>
      <c r="F12" s="39"/>
      <c r="G12" s="39">
        <v>-7.2887877203236258</v>
      </c>
      <c r="H12">
        <f t="shared" si="3"/>
        <v>0.15254237288135594</v>
      </c>
      <c r="I12">
        <f t="shared" si="4"/>
        <v>-1.0255902911278738</v>
      </c>
      <c r="K12" t="s">
        <v>621</v>
      </c>
      <c r="L12" s="39">
        <f>E63</f>
        <v>5.0984049112565666</v>
      </c>
      <c r="M12" s="38" t="s">
        <v>579</v>
      </c>
      <c r="N12">
        <v>10</v>
      </c>
    </row>
    <row r="13" spans="1:16" x14ac:dyDescent="0.25">
      <c r="A13">
        <v>10</v>
      </c>
      <c r="B13" s="6">
        <v>117.17</v>
      </c>
      <c r="C13">
        <f t="shared" si="0"/>
        <v>108.44235073364301</v>
      </c>
      <c r="D13" s="102">
        <f t="shared" si="1"/>
        <v>8.7276492663569911</v>
      </c>
      <c r="E13" s="39">
        <f t="shared" si="2"/>
        <v>7.4487063807774954</v>
      </c>
      <c r="F13" s="39"/>
      <c r="G13" s="39">
        <v>-7.2880986803654366</v>
      </c>
      <c r="H13">
        <f t="shared" si="3"/>
        <v>0.16949152542372881</v>
      </c>
      <c r="I13">
        <f t="shared" si="4"/>
        <v>-0.95617653892006238</v>
      </c>
      <c r="K13" t="s">
        <v>622</v>
      </c>
    </row>
    <row r="14" spans="1:16" ht="18" x14ac:dyDescent="0.35">
      <c r="A14">
        <v>11</v>
      </c>
      <c r="B14" s="6">
        <v>117.61</v>
      </c>
      <c r="C14">
        <f t="shared" si="0"/>
        <v>109.08202682334125</v>
      </c>
      <c r="D14" s="102">
        <f t="shared" si="1"/>
        <v>8.5279731766587474</v>
      </c>
      <c r="E14" s="39">
        <f t="shared" si="2"/>
        <v>7.2510612844645408</v>
      </c>
      <c r="F14" s="39"/>
      <c r="G14" s="39">
        <v>-7.0084225906672089</v>
      </c>
      <c r="H14">
        <f t="shared" si="3"/>
        <v>0.1864406779661017</v>
      </c>
      <c r="I14">
        <f t="shared" si="4"/>
        <v>-0.89108913003410894</v>
      </c>
      <c r="K14" t="s">
        <v>80</v>
      </c>
      <c r="L14" s="103">
        <f>CORREL(C4:C60,C5:C61)</f>
        <v>0.99999999999999967</v>
      </c>
    </row>
    <row r="15" spans="1:16" x14ac:dyDescent="0.25">
      <c r="A15">
        <v>12</v>
      </c>
      <c r="B15" s="6">
        <v>117.26</v>
      </c>
      <c r="C15">
        <f t="shared" si="0"/>
        <v>109.72170291303948</v>
      </c>
      <c r="D15" s="102">
        <f t="shared" si="1"/>
        <v>7.5382970869605259</v>
      </c>
      <c r="E15" s="39">
        <f t="shared" si="2"/>
        <v>6.4287029566438045</v>
      </c>
      <c r="F15" s="39"/>
      <c r="G15" s="39">
        <v>-6.4791116306253826</v>
      </c>
      <c r="H15">
        <f t="shared" si="3"/>
        <v>0.20338983050847459</v>
      </c>
      <c r="I15">
        <f t="shared" si="4"/>
        <v>-0.82957403698182763</v>
      </c>
    </row>
    <row r="16" spans="1:16" x14ac:dyDescent="0.25">
      <c r="A16">
        <v>13</v>
      </c>
      <c r="B16" s="6">
        <v>115.88</v>
      </c>
      <c r="C16">
        <f t="shared" si="0"/>
        <v>110.36137900273772</v>
      </c>
      <c r="D16" s="102">
        <f t="shared" si="1"/>
        <v>5.5186209972622748</v>
      </c>
      <c r="E16" s="39">
        <f t="shared" si="2"/>
        <v>4.76235847192119</v>
      </c>
      <c r="F16" s="39"/>
      <c r="G16" s="39">
        <v>-6.148746500968997</v>
      </c>
      <c r="H16">
        <f t="shared" si="3"/>
        <v>0.22033898305084745</v>
      </c>
      <c r="I16">
        <f t="shared" si="4"/>
        <v>-0.77104886863964417</v>
      </c>
    </row>
    <row r="17" spans="1:17" x14ac:dyDescent="0.25">
      <c r="A17">
        <v>14</v>
      </c>
      <c r="B17" s="6">
        <v>113.35</v>
      </c>
      <c r="C17">
        <f t="shared" si="0"/>
        <v>111.00105509243596</v>
      </c>
      <c r="D17" s="102">
        <f t="shared" si="1"/>
        <v>2.3489449075640323</v>
      </c>
      <c r="E17" s="39">
        <f t="shared" si="2"/>
        <v>2.0722936987772673</v>
      </c>
      <c r="F17" s="39"/>
      <c r="G17" s="39">
        <v>-6.0077747700636905</v>
      </c>
      <c r="H17">
        <f t="shared" si="3"/>
        <v>0.23728813559322035</v>
      </c>
      <c r="I17">
        <f t="shared" si="4"/>
        <v>-0.71505303754992222</v>
      </c>
    </row>
    <row r="18" spans="1:17" x14ac:dyDescent="0.25">
      <c r="A18">
        <v>15</v>
      </c>
      <c r="B18" s="6">
        <v>111.39</v>
      </c>
      <c r="C18">
        <f t="shared" si="0"/>
        <v>111.6407311821342</v>
      </c>
      <c r="D18" s="101">
        <f t="shared" si="1"/>
        <v>-0.25073118213420287</v>
      </c>
      <c r="E18" s="39">
        <f t="shared" si="2"/>
        <v>0.22509308028925654</v>
      </c>
      <c r="F18" s="39"/>
      <c r="G18" s="39">
        <v>-5.7094355409271458</v>
      </c>
      <c r="H18">
        <f t="shared" si="3"/>
        <v>0.25423728813559321</v>
      </c>
      <c r="I18">
        <f t="shared" si="4"/>
        <v>-0.66121479220131485</v>
      </c>
    </row>
    <row r="19" spans="1:17" x14ac:dyDescent="0.25">
      <c r="A19">
        <v>16</v>
      </c>
      <c r="B19" s="6">
        <v>109.76</v>
      </c>
      <c r="C19">
        <f t="shared" si="0"/>
        <v>112.28040727183243</v>
      </c>
      <c r="D19" s="101">
        <f t="shared" si="1"/>
        <v>-2.5204072718324255</v>
      </c>
      <c r="E19" s="39">
        <f t="shared" si="2"/>
        <v>2.2962894240455771</v>
      </c>
      <c r="F19" s="39"/>
      <c r="G19" s="39">
        <v>-5.3474508597619206</v>
      </c>
      <c r="H19">
        <f t="shared" si="3"/>
        <v>0.2711864406779661</v>
      </c>
      <c r="I19">
        <f t="shared" si="4"/>
        <v>-0.60922866701399825</v>
      </c>
    </row>
    <row r="20" spans="1:17" ht="18" x14ac:dyDescent="0.35">
      <c r="A20">
        <v>17</v>
      </c>
      <c r="B20" s="6">
        <v>109.5</v>
      </c>
      <c r="C20">
        <f t="shared" si="0"/>
        <v>112.92008336153067</v>
      </c>
      <c r="D20" s="101">
        <f t="shared" si="1"/>
        <v>-3.4200833615306721</v>
      </c>
      <c r="E20" s="39">
        <f t="shared" si="2"/>
        <v>3.1233638004846318</v>
      </c>
      <c r="F20" s="39"/>
      <c r="G20" s="39">
        <v>-4.699759451228914</v>
      </c>
      <c r="H20">
        <f t="shared" si="3"/>
        <v>0.28813559322033899</v>
      </c>
      <c r="I20">
        <f t="shared" si="4"/>
        <v>-0.55883961079677569</v>
      </c>
      <c r="K20" t="s">
        <v>566</v>
      </c>
      <c r="L20" t="s">
        <v>567</v>
      </c>
      <c r="N20" t="s">
        <v>605</v>
      </c>
      <c r="O20">
        <f>CORREL(D4:D60,D5:D61)</f>
        <v>0.96298924984562773</v>
      </c>
    </row>
    <row r="21" spans="1:17" x14ac:dyDescent="0.25">
      <c r="A21">
        <v>18</v>
      </c>
      <c r="B21" s="6">
        <v>108.86</v>
      </c>
      <c r="C21">
        <f t="shared" si="0"/>
        <v>113.55975945122891</v>
      </c>
      <c r="D21" s="101">
        <f t="shared" si="1"/>
        <v>-4.699759451228914</v>
      </c>
      <c r="E21" s="39">
        <f t="shared" si="2"/>
        <v>4.3172510116010603</v>
      </c>
      <c r="F21" s="39"/>
      <c r="G21" s="39">
        <v>-4.389070411270751</v>
      </c>
      <c r="H21">
        <f t="shared" si="3"/>
        <v>0.30508474576271188</v>
      </c>
      <c r="I21">
        <f t="shared" si="4"/>
        <v>-0.50983153383249025</v>
      </c>
      <c r="K21" s="3">
        <f t="array" ref="K21:L25">LINEST(B4:B61,A4:A61,1,1)</f>
        <v>0.6396760896982373</v>
      </c>
      <c r="L21" s="3">
        <v>102.04558983666064</v>
      </c>
      <c r="N21" t="s">
        <v>602</v>
      </c>
      <c r="Q21" s="66"/>
    </row>
    <row r="22" spans="1:17" x14ac:dyDescent="0.25">
      <c r="A22">
        <v>19</v>
      </c>
      <c r="B22" s="6">
        <v>108.49</v>
      </c>
      <c r="C22">
        <f t="shared" si="0"/>
        <v>114.19943554092714</v>
      </c>
      <c r="D22" s="101">
        <f t="shared" si="1"/>
        <v>-5.7094355409271458</v>
      </c>
      <c r="E22" s="39">
        <f t="shared" si="2"/>
        <v>5.2626376080073243</v>
      </c>
      <c r="F22" s="39"/>
      <c r="G22" s="39">
        <v>-4.2571269494601722</v>
      </c>
      <c r="H22">
        <f t="shared" si="3"/>
        <v>0.32203389830508472</v>
      </c>
      <c r="I22">
        <f t="shared" si="4"/>
        <v>-0.46201885864912079</v>
      </c>
      <c r="K22" s="3">
        <v>5.7988512412157578E-2</v>
      </c>
      <c r="L22" s="3">
        <v>1.9669135825773036</v>
      </c>
      <c r="N22" s="58" t="s">
        <v>631</v>
      </c>
      <c r="Q22" s="66"/>
    </row>
    <row r="23" spans="1:17" x14ac:dyDescent="0.25">
      <c r="A23">
        <v>20</v>
      </c>
      <c r="B23" s="6">
        <v>108.36</v>
      </c>
      <c r="C23">
        <f t="shared" si="0"/>
        <v>114.83911163062538</v>
      </c>
      <c r="D23" s="101">
        <f t="shared" si="1"/>
        <v>-6.4791116306253826</v>
      </c>
      <c r="E23" s="39">
        <f t="shared" si="2"/>
        <v>5.979246613718515</v>
      </c>
      <c r="F23" s="39"/>
      <c r="G23" s="39">
        <v>-3.6958725276077473</v>
      </c>
      <c r="H23">
        <f t="shared" si="3"/>
        <v>0.33898305084745761</v>
      </c>
      <c r="I23">
        <f t="shared" si="4"/>
        <v>-0.4152401608260714</v>
      </c>
      <c r="K23" s="3">
        <v>0.68483515233267556</v>
      </c>
      <c r="L23" s="3">
        <v>7.3931373614600178</v>
      </c>
      <c r="N23" s="58" t="s">
        <v>603</v>
      </c>
      <c r="Q23" s="66"/>
    </row>
    <row r="24" spans="1:17" x14ac:dyDescent="0.25">
      <c r="A24">
        <v>21</v>
      </c>
      <c r="B24" s="6">
        <v>108.19</v>
      </c>
      <c r="C24">
        <f t="shared" si="0"/>
        <v>115.47878772032362</v>
      </c>
      <c r="D24" s="101">
        <f t="shared" si="1"/>
        <v>-7.2887877203236258</v>
      </c>
      <c r="E24" s="39">
        <f t="shared" si="2"/>
        <v>6.737025344600819</v>
      </c>
      <c r="F24" s="39"/>
      <c r="G24" s="39">
        <v>-3.4393943215725074</v>
      </c>
      <c r="H24">
        <f t="shared" si="3"/>
        <v>0.3559322033898305</v>
      </c>
      <c r="I24">
        <f t="shared" si="4"/>
        <v>-0.36935329360674307</v>
      </c>
      <c r="K24" s="3">
        <v>121.68479071978039</v>
      </c>
      <c r="L24" s="3">
        <v>56</v>
      </c>
      <c r="N24" s="69" t="s">
        <v>630</v>
      </c>
      <c r="O24" s="64"/>
      <c r="Q24" s="66"/>
    </row>
    <row r="25" spans="1:17" x14ac:dyDescent="0.25">
      <c r="A25">
        <v>22</v>
      </c>
      <c r="B25" s="6">
        <v>107.8</v>
      </c>
      <c r="C25">
        <f t="shared" si="0"/>
        <v>116.11846381002186</v>
      </c>
      <c r="D25" s="101">
        <f t="shared" si="1"/>
        <v>-8.3184638100218677</v>
      </c>
      <c r="E25" s="39">
        <f t="shared" si="2"/>
        <v>7.7165712523393948</v>
      </c>
      <c r="F25" s="39"/>
      <c r="G25" s="39">
        <v>-3.4200833615306721</v>
      </c>
      <c r="H25">
        <f t="shared" si="3"/>
        <v>0.3728813559322034</v>
      </c>
      <c r="I25">
        <f t="shared" si="4"/>
        <v>-0.32423158413730258</v>
      </c>
      <c r="K25" s="3">
        <v>6651.1057053877375</v>
      </c>
      <c r="L25" s="3">
        <v>3060.8748825432954</v>
      </c>
      <c r="N25" s="58" t="s">
        <v>629</v>
      </c>
      <c r="Q25" s="66"/>
    </row>
    <row r="26" spans="1:17" x14ac:dyDescent="0.25">
      <c r="A26">
        <v>23</v>
      </c>
      <c r="B26" s="6">
        <v>107.47</v>
      </c>
      <c r="C26">
        <f t="shared" si="0"/>
        <v>116.75813989972009</v>
      </c>
      <c r="D26" s="101">
        <f t="shared" si="1"/>
        <v>-9.2881398997200932</v>
      </c>
      <c r="E26" s="39">
        <f t="shared" si="2"/>
        <v>8.6425420114637515</v>
      </c>
      <c r="F26" s="39"/>
      <c r="G26" s="39">
        <v>-3.0868030391583829</v>
      </c>
      <c r="H26">
        <f t="shared" si="3"/>
        <v>0.38983050847457629</v>
      </c>
      <c r="I26">
        <f t="shared" si="4"/>
        <v>-0.27976081477122972</v>
      </c>
      <c r="K26" s="65" t="s">
        <v>577</v>
      </c>
      <c r="L26" s="65"/>
      <c r="N26" s="69" t="s">
        <v>606</v>
      </c>
      <c r="O26" s="64"/>
    </row>
    <row r="27" spans="1:17" x14ac:dyDescent="0.25">
      <c r="A27">
        <v>24</v>
      </c>
      <c r="B27" s="6">
        <v>107.03</v>
      </c>
      <c r="C27">
        <f t="shared" si="0"/>
        <v>117.39781598941833</v>
      </c>
      <c r="D27" s="101">
        <f t="shared" si="1"/>
        <v>-10.367815989418332</v>
      </c>
      <c r="E27" s="39">
        <f t="shared" si="2"/>
        <v>9.6868317195350198</v>
      </c>
      <c r="F27" s="39"/>
      <c r="G27" s="39">
        <v>-2.6939702851518348</v>
      </c>
      <c r="H27">
        <f t="shared" si="3"/>
        <v>0.40677966101694918</v>
      </c>
      <c r="I27">
        <f t="shared" si="4"/>
        <v>-0.23583678601109134</v>
      </c>
      <c r="N27" t="s">
        <v>607</v>
      </c>
    </row>
    <row r="28" spans="1:17" x14ac:dyDescent="0.25">
      <c r="A28">
        <v>25</v>
      </c>
      <c r="B28" s="6">
        <v>106.61</v>
      </c>
      <c r="C28">
        <f t="shared" si="0"/>
        <v>118.03749207911657</v>
      </c>
      <c r="D28" s="101">
        <f t="shared" si="1"/>
        <v>-11.427492079116575</v>
      </c>
      <c r="E28" s="39">
        <f t="shared" si="2"/>
        <v>10.71896827606845</v>
      </c>
      <c r="F28" s="39"/>
      <c r="G28" s="39">
        <v>-2.5442941954535883</v>
      </c>
      <c r="H28">
        <f t="shared" si="3"/>
        <v>0.42372881355932202</v>
      </c>
      <c r="I28">
        <f t="shared" si="4"/>
        <v>-0.19236331372250978</v>
      </c>
    </row>
    <row r="29" spans="1:17" x14ac:dyDescent="0.25">
      <c r="A29">
        <v>26</v>
      </c>
      <c r="B29" s="6">
        <v>106.57</v>
      </c>
      <c r="C29">
        <f t="shared" si="0"/>
        <v>118.6771681688148</v>
      </c>
      <c r="D29" s="101">
        <f t="shared" si="1"/>
        <v>-12.107168168814809</v>
      </c>
      <c r="E29" s="39">
        <f t="shared" si="2"/>
        <v>11.360765852317547</v>
      </c>
      <c r="F29" s="39"/>
      <c r="G29" s="39">
        <v>-2.5204072718324255</v>
      </c>
      <c r="H29">
        <f t="shared" si="3"/>
        <v>0.44067796610169491</v>
      </c>
      <c r="I29">
        <f t="shared" si="4"/>
        <v>-0.14925055165580312</v>
      </c>
    </row>
    <row r="30" spans="1:17" x14ac:dyDescent="0.25">
      <c r="A30">
        <v>27</v>
      </c>
      <c r="B30" s="6">
        <v>106.49</v>
      </c>
      <c r="C30">
        <f t="shared" si="0"/>
        <v>119.31684425851304</v>
      </c>
      <c r="D30" s="101">
        <f t="shared" si="1"/>
        <v>-12.826844258513049</v>
      </c>
      <c r="E30" s="39">
        <f t="shared" si="2"/>
        <v>12.04511621608888</v>
      </c>
      <c r="F30" s="39"/>
      <c r="G30" s="39">
        <v>-1.8046181057553525</v>
      </c>
      <c r="H30">
        <f t="shared" si="3"/>
        <v>0.4576271186440678</v>
      </c>
      <c r="I30">
        <f t="shared" si="4"/>
        <v>-0.1064135569156504</v>
      </c>
    </row>
    <row r="31" spans="1:17" x14ac:dyDescent="0.25">
      <c r="A31">
        <v>28</v>
      </c>
      <c r="B31" s="6">
        <v>107.04</v>
      </c>
      <c r="C31">
        <f t="shared" si="0"/>
        <v>119.95652034821128</v>
      </c>
      <c r="D31" s="101">
        <f t="shared" si="1"/>
        <v>-12.916520348211279</v>
      </c>
      <c r="E31" s="39">
        <f t="shared" si="2"/>
        <v>12.067003314846112</v>
      </c>
      <c r="F31" s="39"/>
      <c r="G31" s="39">
        <v>-1.5336463748500648</v>
      </c>
      <c r="H31">
        <f t="shared" si="3"/>
        <v>0.47457627118644069</v>
      </c>
      <c r="I31">
        <f t="shared" si="4"/>
        <v>-6.377103455763064E-2</v>
      </c>
    </row>
    <row r="32" spans="1:17" x14ac:dyDescent="0.25">
      <c r="A32">
        <v>29</v>
      </c>
      <c r="B32" s="6">
        <v>111.35</v>
      </c>
      <c r="C32">
        <f t="shared" si="0"/>
        <v>120.59619643790953</v>
      </c>
      <c r="D32" s="101">
        <f t="shared" si="1"/>
        <v>-9.2461964379095321</v>
      </c>
      <c r="E32" s="39">
        <f t="shared" si="2"/>
        <v>8.3037237879744339</v>
      </c>
      <c r="F32" s="39"/>
      <c r="G32" s="39">
        <v>-1.3797182318742784</v>
      </c>
      <c r="H32">
        <f t="shared" si="3"/>
        <v>0.49152542372881358</v>
      </c>
      <c r="I32">
        <f t="shared" si="4"/>
        <v>-2.1244210365719055E-2</v>
      </c>
    </row>
    <row r="33" spans="1:12" x14ac:dyDescent="0.25">
      <c r="A33">
        <v>30</v>
      </c>
      <c r="B33" s="6">
        <v>117.54</v>
      </c>
      <c r="C33">
        <f t="shared" si="0"/>
        <v>121.23587252760775</v>
      </c>
      <c r="D33" s="101">
        <f t="shared" si="1"/>
        <v>-3.6958725276077473</v>
      </c>
      <c r="E33" s="39">
        <f t="shared" si="2"/>
        <v>3.1443530097054166</v>
      </c>
      <c r="F33" s="39"/>
      <c r="G33" s="39">
        <v>-1.114942016057114</v>
      </c>
      <c r="H33">
        <f t="shared" si="3"/>
        <v>0.50847457627118642</v>
      </c>
      <c r="I33">
        <f t="shared" si="4"/>
        <v>2.1244210365719055E-2</v>
      </c>
    </row>
    <row r="34" spans="1:12" x14ac:dyDescent="0.25">
      <c r="A34">
        <v>31</v>
      </c>
      <c r="B34" s="6">
        <v>122.58</v>
      </c>
      <c r="C34">
        <f t="shared" si="0"/>
        <v>121.87554861730599</v>
      </c>
      <c r="D34" s="102">
        <f t="shared" si="1"/>
        <v>0.70445138269400331</v>
      </c>
      <c r="E34" s="39">
        <f t="shared" si="2"/>
        <v>0.5746870473927258</v>
      </c>
      <c r="F34" s="39"/>
      <c r="G34" s="39">
        <v>-0.36526592635888733</v>
      </c>
      <c r="H34">
        <f t="shared" si="3"/>
        <v>0.52542372881355937</v>
      </c>
      <c r="I34">
        <f t="shared" si="4"/>
        <v>6.3771034557630793E-2</v>
      </c>
    </row>
    <row r="35" spans="1:12" x14ac:dyDescent="0.25">
      <c r="A35">
        <v>32</v>
      </c>
      <c r="B35" s="6">
        <v>128.16</v>
      </c>
      <c r="C35">
        <f t="shared" si="0"/>
        <v>122.51522470700424</v>
      </c>
      <c r="D35" s="102">
        <f t="shared" si="1"/>
        <v>5.6447752929957602</v>
      </c>
      <c r="E35" s="39">
        <f t="shared" si="2"/>
        <v>4.4044751037732217</v>
      </c>
      <c r="F35" s="39"/>
      <c r="G35" s="39">
        <v>-0.25073118213420287</v>
      </c>
      <c r="H35">
        <f t="shared" si="3"/>
        <v>0.5423728813559322</v>
      </c>
      <c r="I35">
        <f t="shared" si="4"/>
        <v>0.1064135569156504</v>
      </c>
    </row>
    <row r="36" spans="1:12" x14ac:dyDescent="0.25">
      <c r="A36">
        <v>33</v>
      </c>
      <c r="B36" s="6">
        <v>132.86000000000001</v>
      </c>
      <c r="C36">
        <f t="shared" si="0"/>
        <v>123.15490079670246</v>
      </c>
      <c r="D36" s="102">
        <f t="shared" si="1"/>
        <v>9.70509920329755</v>
      </c>
      <c r="E36" s="39">
        <f t="shared" si="2"/>
        <v>7.3047562872930518</v>
      </c>
      <c r="F36" s="39"/>
      <c r="G36" s="39">
        <v>0.70445138269400331</v>
      </c>
      <c r="H36">
        <f t="shared" si="3"/>
        <v>0.55932203389830504</v>
      </c>
      <c r="I36">
        <f t="shared" si="4"/>
        <v>0.14925055165580298</v>
      </c>
    </row>
    <row r="37" spans="1:12" x14ac:dyDescent="0.25">
      <c r="A37">
        <v>34</v>
      </c>
      <c r="B37" s="6">
        <v>134.91999999999999</v>
      </c>
      <c r="C37">
        <f t="shared" si="0"/>
        <v>123.79457688640071</v>
      </c>
      <c r="D37" s="102">
        <f t="shared" si="1"/>
        <v>11.125423113599282</v>
      </c>
      <c r="E37" s="39">
        <f t="shared" si="2"/>
        <v>8.2459406415648395</v>
      </c>
      <c r="F37" s="39"/>
      <c r="G37" s="39">
        <v>0.97995785782396183</v>
      </c>
      <c r="H37">
        <f t="shared" si="3"/>
        <v>0.57627118644067798</v>
      </c>
      <c r="I37">
        <f t="shared" si="4"/>
        <v>0.19236331372250978</v>
      </c>
    </row>
    <row r="38" spans="1:12" x14ac:dyDescent="0.25">
      <c r="A38">
        <v>35</v>
      </c>
      <c r="B38" s="6">
        <v>135.69999999999999</v>
      </c>
      <c r="C38">
        <f t="shared" si="0"/>
        <v>124.43425297609895</v>
      </c>
      <c r="D38" s="102">
        <f t="shared" si="1"/>
        <v>11.265747023901042</v>
      </c>
      <c r="E38" s="39">
        <f t="shared" si="2"/>
        <v>8.3019506439948731</v>
      </c>
      <c r="F38" s="39"/>
      <c r="G38" s="39">
        <v>1.0466775354516926</v>
      </c>
      <c r="H38">
        <f t="shared" si="3"/>
        <v>0.59322033898305082</v>
      </c>
      <c r="I38">
        <f t="shared" si="4"/>
        <v>0.23583678601109134</v>
      </c>
    </row>
    <row r="39" spans="1:12" x14ac:dyDescent="0.25">
      <c r="A39">
        <v>36</v>
      </c>
      <c r="B39" s="6">
        <v>136.13999999999999</v>
      </c>
      <c r="C39">
        <f t="shared" si="0"/>
        <v>125.07392906579719</v>
      </c>
      <c r="D39" s="102">
        <f t="shared" si="1"/>
        <v>11.066070934202799</v>
      </c>
      <c r="E39" s="39">
        <f t="shared" si="2"/>
        <v>8.1284493420029378</v>
      </c>
      <c r="F39" s="39"/>
      <c r="G39" s="39">
        <v>2.1596339475222237</v>
      </c>
      <c r="H39">
        <f t="shared" si="3"/>
        <v>0.61016949152542377</v>
      </c>
      <c r="I39">
        <f t="shared" si="4"/>
        <v>0.27976081477122983</v>
      </c>
    </row>
    <row r="40" spans="1:12" x14ac:dyDescent="0.25">
      <c r="A40">
        <v>37</v>
      </c>
      <c r="B40" s="6">
        <v>140.15</v>
      </c>
      <c r="C40">
        <f t="shared" si="0"/>
        <v>125.71360515549542</v>
      </c>
      <c r="D40" s="102">
        <f t="shared" si="1"/>
        <v>14.436394844504591</v>
      </c>
      <c r="E40" s="39">
        <f t="shared" si="2"/>
        <v>10.300674166610483</v>
      </c>
      <c r="F40" s="39"/>
      <c r="G40" s="39">
        <v>2.3489449075640323</v>
      </c>
      <c r="H40">
        <f t="shared" si="3"/>
        <v>0.6271186440677966</v>
      </c>
      <c r="I40">
        <f t="shared" si="4"/>
        <v>0.32423158413730258</v>
      </c>
    </row>
    <row r="41" spans="1:12" x14ac:dyDescent="0.25">
      <c r="A41">
        <v>38</v>
      </c>
      <c r="B41" s="6">
        <v>140.09</v>
      </c>
      <c r="C41">
        <f t="shared" si="0"/>
        <v>126.35328124519366</v>
      </c>
      <c r="D41" s="102">
        <f t="shared" si="1"/>
        <v>13.736718754806347</v>
      </c>
      <c r="E41" s="39">
        <f t="shared" si="2"/>
        <v>9.8056383430697025</v>
      </c>
      <c r="F41" s="39"/>
      <c r="G41" s="39">
        <v>2.9893100372204628</v>
      </c>
      <c r="H41">
        <f t="shared" si="3"/>
        <v>0.64406779661016944</v>
      </c>
      <c r="I41">
        <f t="shared" si="4"/>
        <v>0.36935329360674291</v>
      </c>
    </row>
    <row r="42" spans="1:12" x14ac:dyDescent="0.25">
      <c r="A42">
        <v>39</v>
      </c>
      <c r="B42" s="6">
        <v>139.1</v>
      </c>
      <c r="C42">
        <f t="shared" si="0"/>
        <v>126.9929573348919</v>
      </c>
      <c r="D42" s="102">
        <f t="shared" si="1"/>
        <v>12.107042665108096</v>
      </c>
      <c r="E42" s="39">
        <f t="shared" si="2"/>
        <v>8.7038408807391061</v>
      </c>
      <c r="F42" s="39"/>
      <c r="G42" s="39">
        <v>3.6789861269186872</v>
      </c>
      <c r="H42">
        <f t="shared" si="3"/>
        <v>0.66101694915254239</v>
      </c>
      <c r="I42">
        <f t="shared" si="4"/>
        <v>0.4152401608260714</v>
      </c>
    </row>
    <row r="43" spans="1:12" x14ac:dyDescent="0.25">
      <c r="A43">
        <v>40</v>
      </c>
      <c r="B43" s="6">
        <v>137.5</v>
      </c>
      <c r="C43">
        <f t="shared" si="0"/>
        <v>127.63263342459013</v>
      </c>
      <c r="D43" s="102">
        <f t="shared" si="1"/>
        <v>9.8673665754098749</v>
      </c>
      <c r="E43" s="39">
        <f t="shared" si="2"/>
        <v>7.1762666002980913</v>
      </c>
      <c r="F43" s="39"/>
      <c r="G43" s="39">
        <v>4.1986622166168956</v>
      </c>
      <c r="H43">
        <f t="shared" si="3"/>
        <v>0.67796610169491522</v>
      </c>
      <c r="I43">
        <f t="shared" si="4"/>
        <v>0.46201885864912062</v>
      </c>
      <c r="K43" t="s">
        <v>634</v>
      </c>
    </row>
    <row r="44" spans="1:12" x14ac:dyDescent="0.25">
      <c r="A44">
        <v>41</v>
      </c>
      <c r="B44" s="6">
        <v>136.12</v>
      </c>
      <c r="C44">
        <f t="shared" si="0"/>
        <v>128.27230951428837</v>
      </c>
      <c r="D44" s="102">
        <f t="shared" si="1"/>
        <v>7.8476904857116381</v>
      </c>
      <c r="E44" s="39">
        <f t="shared" si="2"/>
        <v>5.7652736451011144</v>
      </c>
      <c r="F44" s="39"/>
      <c r="G44" s="39">
        <v>4.7970014457534518</v>
      </c>
      <c r="H44">
        <f t="shared" si="3"/>
        <v>0.69491525423728817</v>
      </c>
      <c r="I44">
        <f t="shared" si="4"/>
        <v>0.50983153383249047</v>
      </c>
    </row>
    <row r="45" spans="1:12" x14ac:dyDescent="0.25">
      <c r="A45">
        <v>42</v>
      </c>
      <c r="B45" s="6">
        <v>135.22</v>
      </c>
      <c r="C45">
        <f t="shared" si="0"/>
        <v>128.91198560398661</v>
      </c>
      <c r="D45" s="102">
        <f t="shared" si="1"/>
        <v>6.308014396013391</v>
      </c>
      <c r="E45" s="39">
        <f t="shared" si="2"/>
        <v>4.6650010324015607</v>
      </c>
      <c r="F45" s="39"/>
      <c r="G45" s="39">
        <v>5.1783383063151405</v>
      </c>
      <c r="H45">
        <f t="shared" si="3"/>
        <v>0.71186440677966101</v>
      </c>
      <c r="I45">
        <f t="shared" si="4"/>
        <v>0.55883961079677569</v>
      </c>
      <c r="K45" s="76">
        <f t="array" ref="K45:L49">LINEST(D5:D61,D4:D60,1,1)</f>
        <v>0.96449665775688653</v>
      </c>
      <c r="L45" s="76">
        <v>-4.5823601544968659E-2</v>
      </c>
    </row>
    <row r="46" spans="1:12" x14ac:dyDescent="0.25">
      <c r="A46">
        <v>43</v>
      </c>
      <c r="B46" s="6">
        <v>134.72999999999999</v>
      </c>
      <c r="C46">
        <f t="shared" si="0"/>
        <v>129.55166169368485</v>
      </c>
      <c r="D46" s="102">
        <f t="shared" si="1"/>
        <v>5.1783383063151405</v>
      </c>
      <c r="E46" s="39">
        <f t="shared" si="2"/>
        <v>3.8434931391042384</v>
      </c>
      <c r="F46" s="39"/>
      <c r="G46" s="39">
        <v>5.5186209972622748</v>
      </c>
      <c r="H46">
        <f t="shared" si="3"/>
        <v>0.72881355932203384</v>
      </c>
      <c r="I46">
        <f t="shared" si="4"/>
        <v>0.60922866701399803</v>
      </c>
      <c r="K46" s="76">
        <v>3.64016314041773E-2</v>
      </c>
      <c r="L46" s="76">
        <v>0.26633557854730089</v>
      </c>
    </row>
    <row r="47" spans="1:12" x14ac:dyDescent="0.25">
      <c r="A47">
        <v>44</v>
      </c>
      <c r="B47" s="6">
        <v>134.38999999999999</v>
      </c>
      <c r="C47">
        <f t="shared" si="0"/>
        <v>130.19133778338309</v>
      </c>
      <c r="D47" s="102">
        <f t="shared" si="1"/>
        <v>4.1986622166168956</v>
      </c>
      <c r="E47" s="39">
        <f t="shared" si="2"/>
        <v>3.1242370835753377</v>
      </c>
      <c r="F47" s="39"/>
      <c r="G47" s="39">
        <v>5.6447752929957602</v>
      </c>
      <c r="H47">
        <f t="shared" si="3"/>
        <v>0.74576271186440679</v>
      </c>
      <c r="I47">
        <f t="shared" si="4"/>
        <v>0.66121479220131485</v>
      </c>
      <c r="K47" s="76">
        <v>0.92734829531824414</v>
      </c>
      <c r="L47" s="76">
        <v>2.0107344422433147</v>
      </c>
    </row>
    <row r="48" spans="1:12" x14ac:dyDescent="0.25">
      <c r="A48">
        <v>45</v>
      </c>
      <c r="B48" s="6">
        <v>134.51</v>
      </c>
      <c r="C48">
        <f t="shared" si="0"/>
        <v>130.8310138730813</v>
      </c>
      <c r="D48" s="102">
        <f t="shared" si="1"/>
        <v>3.6789861269186872</v>
      </c>
      <c r="E48" s="39">
        <f t="shared" si="2"/>
        <v>2.7351023172393782</v>
      </c>
      <c r="F48" s="39"/>
      <c r="G48" s="39">
        <v>6.308014396013391</v>
      </c>
      <c r="H48">
        <f t="shared" si="3"/>
        <v>0.76271186440677963</v>
      </c>
      <c r="I48">
        <f t="shared" si="4"/>
        <v>0.71505303754992222</v>
      </c>
      <c r="K48" s="76">
        <v>702.03660693059351</v>
      </c>
      <c r="L48" s="76">
        <v>55</v>
      </c>
    </row>
    <row r="49" spans="1:12" x14ac:dyDescent="0.25">
      <c r="A49">
        <v>46</v>
      </c>
      <c r="B49" s="6">
        <v>134.46</v>
      </c>
      <c r="C49">
        <f t="shared" si="0"/>
        <v>131.47068996277955</v>
      </c>
      <c r="D49" s="102">
        <f t="shared" si="1"/>
        <v>2.9893100372204628</v>
      </c>
      <c r="E49" s="39">
        <f t="shared" si="2"/>
        <v>2.223196517343792</v>
      </c>
      <c r="F49" s="39"/>
      <c r="G49" s="39">
        <v>7.4673253560552268</v>
      </c>
      <c r="H49">
        <f t="shared" si="3"/>
        <v>0.77966101694915257</v>
      </c>
      <c r="I49">
        <f t="shared" si="4"/>
        <v>0.77104886863964417</v>
      </c>
      <c r="K49" s="76">
        <v>2838.3712078113763</v>
      </c>
      <c r="L49" s="76">
        <v>222.3679148472944</v>
      </c>
    </row>
    <row r="50" spans="1:12" x14ac:dyDescent="0.25">
      <c r="A50">
        <v>47</v>
      </c>
      <c r="B50" s="6">
        <v>134.27000000000001</v>
      </c>
      <c r="C50">
        <f t="shared" si="0"/>
        <v>132.11036605247779</v>
      </c>
      <c r="D50" s="102">
        <f t="shared" si="1"/>
        <v>2.1596339475222237</v>
      </c>
      <c r="E50" s="39">
        <f t="shared" si="2"/>
        <v>1.6084262661221593</v>
      </c>
      <c r="F50" s="39"/>
      <c r="G50" s="39">
        <v>7.5382970869605259</v>
      </c>
      <c r="H50">
        <f t="shared" si="3"/>
        <v>0.79661016949152541</v>
      </c>
      <c r="I50">
        <f t="shared" si="4"/>
        <v>0.82957403698182763</v>
      </c>
    </row>
    <row r="51" spans="1:12" x14ac:dyDescent="0.25">
      <c r="A51">
        <v>48</v>
      </c>
      <c r="B51" s="6">
        <v>133.72999999999999</v>
      </c>
      <c r="C51">
        <f t="shared" si="0"/>
        <v>132.75004214217603</v>
      </c>
      <c r="D51" s="102">
        <f t="shared" si="1"/>
        <v>0.97995785782396183</v>
      </c>
      <c r="E51" s="39">
        <f t="shared" si="2"/>
        <v>0.73278834803257453</v>
      </c>
      <c r="F51" s="39"/>
      <c r="G51" s="39">
        <v>7.8476904857116381</v>
      </c>
      <c r="H51">
        <f t="shared" si="3"/>
        <v>0.81355932203389836</v>
      </c>
      <c r="I51">
        <f t="shared" si="4"/>
        <v>0.89108913003410994</v>
      </c>
    </row>
    <row r="52" spans="1:12" x14ac:dyDescent="0.25">
      <c r="A52">
        <v>49</v>
      </c>
      <c r="B52" s="6">
        <v>132.01</v>
      </c>
      <c r="C52">
        <f t="shared" si="0"/>
        <v>133.38971823187427</v>
      </c>
      <c r="D52" s="101">
        <f t="shared" si="1"/>
        <v>-1.3797182318742784</v>
      </c>
      <c r="E52" s="39">
        <f t="shared" si="2"/>
        <v>1.045161905820982</v>
      </c>
      <c r="F52" s="39"/>
      <c r="G52" s="39">
        <v>8.5279731766587474</v>
      </c>
      <c r="H52">
        <f t="shared" si="3"/>
        <v>0.83050847457627119</v>
      </c>
      <c r="I52">
        <f t="shared" si="4"/>
        <v>0.95617653892006238</v>
      </c>
    </row>
    <row r="53" spans="1:12" x14ac:dyDescent="0.25">
      <c r="A53">
        <v>50</v>
      </c>
      <c r="B53" s="6">
        <v>130.59</v>
      </c>
      <c r="C53">
        <f t="shared" si="0"/>
        <v>134.02939432157251</v>
      </c>
      <c r="D53" s="101">
        <f t="shared" si="1"/>
        <v>-3.4393943215725074</v>
      </c>
      <c r="E53" s="39">
        <f t="shared" si="2"/>
        <v>2.633734835418108</v>
      </c>
      <c r="F53" s="39"/>
      <c r="G53" s="39">
        <v>8.7276492663569911</v>
      </c>
      <c r="H53">
        <f t="shared" si="3"/>
        <v>0.84745762711864403</v>
      </c>
      <c r="I53">
        <f t="shared" si="4"/>
        <v>1.0255902911278738</v>
      </c>
    </row>
    <row r="54" spans="1:12" x14ac:dyDescent="0.25">
      <c r="A54">
        <v>51</v>
      </c>
      <c r="B54" s="6">
        <v>130.28</v>
      </c>
      <c r="C54">
        <f t="shared" si="0"/>
        <v>134.66907041127075</v>
      </c>
      <c r="D54" s="101">
        <f t="shared" si="1"/>
        <v>-4.389070411270751</v>
      </c>
      <c r="E54" s="39">
        <f t="shared" si="2"/>
        <v>3.3689518047825842</v>
      </c>
      <c r="F54" s="39"/>
      <c r="G54" s="39">
        <v>9.70509920329755</v>
      </c>
      <c r="H54">
        <f t="shared" si="3"/>
        <v>0.86440677966101698</v>
      </c>
      <c r="I54">
        <f t="shared" si="4"/>
        <v>1.1003344194590818</v>
      </c>
    </row>
    <row r="55" spans="1:12" x14ac:dyDescent="0.25">
      <c r="A55">
        <v>52</v>
      </c>
      <c r="B55" s="6">
        <v>129.16</v>
      </c>
      <c r="C55">
        <f t="shared" si="0"/>
        <v>135.30874650096899</v>
      </c>
      <c r="D55" s="101">
        <f t="shared" si="1"/>
        <v>-6.148746500968997</v>
      </c>
      <c r="E55" s="39">
        <f t="shared" si="2"/>
        <v>4.7605655783284275</v>
      </c>
      <c r="F55" s="39"/>
      <c r="G55" s="39">
        <v>9.8673665754098749</v>
      </c>
      <c r="H55">
        <f t="shared" si="3"/>
        <v>0.88135593220338981</v>
      </c>
      <c r="I55">
        <f t="shared" si="4"/>
        <v>1.1817922703491182</v>
      </c>
    </row>
    <row r="56" spans="1:12" x14ac:dyDescent="0.25">
      <c r="A56">
        <v>53</v>
      </c>
      <c r="B56" s="6">
        <v>128.94</v>
      </c>
      <c r="C56">
        <f t="shared" si="0"/>
        <v>135.94842259066721</v>
      </c>
      <c r="D56" s="101">
        <f t="shared" si="1"/>
        <v>-7.0084225906672089</v>
      </c>
      <c r="E56" s="39">
        <f t="shared" si="2"/>
        <v>5.4354138286545748</v>
      </c>
      <c r="F56" s="39"/>
      <c r="G56" s="39">
        <v>11.066070934202799</v>
      </c>
      <c r="H56">
        <f t="shared" si="3"/>
        <v>0.89830508474576276</v>
      </c>
      <c r="I56">
        <f t="shared" si="4"/>
        <v>1.2719529676842083</v>
      </c>
    </row>
    <row r="57" spans="1:12" x14ac:dyDescent="0.25">
      <c r="A57">
        <v>54</v>
      </c>
      <c r="B57" s="6">
        <v>129.30000000000001</v>
      </c>
      <c r="C57">
        <f t="shared" si="0"/>
        <v>136.58809868036545</v>
      </c>
      <c r="D57" s="101">
        <f t="shared" si="1"/>
        <v>-7.2880986803654366</v>
      </c>
      <c r="E57" s="39">
        <f t="shared" si="2"/>
        <v>5.6365805725950784</v>
      </c>
      <c r="F57" s="39"/>
      <c r="G57" s="39">
        <v>11.125423113599282</v>
      </c>
      <c r="H57">
        <f t="shared" si="3"/>
        <v>0.9152542372881356</v>
      </c>
      <c r="I57">
        <f t="shared" si="4"/>
        <v>1.3738394673770855</v>
      </c>
    </row>
    <row r="58" spans="1:12" x14ac:dyDescent="0.25">
      <c r="A58">
        <v>55</v>
      </c>
      <c r="B58" s="6">
        <v>131.22</v>
      </c>
      <c r="C58">
        <f t="shared" si="0"/>
        <v>137.22777477006369</v>
      </c>
      <c r="D58" s="101">
        <f t="shared" si="1"/>
        <v>-6.0077747700636905</v>
      </c>
      <c r="E58" s="39">
        <f t="shared" si="2"/>
        <v>4.5783986968935304</v>
      </c>
      <c r="F58" s="39"/>
      <c r="G58" s="39">
        <v>11.265747023901042</v>
      </c>
      <c r="H58">
        <f t="shared" si="3"/>
        <v>0.93220338983050843</v>
      </c>
      <c r="I58">
        <f t="shared" si="4"/>
        <v>1.4924041783203592</v>
      </c>
    </row>
    <row r="59" spans="1:12" x14ac:dyDescent="0.25">
      <c r="A59">
        <v>56</v>
      </c>
      <c r="B59" s="6">
        <v>132.52000000000001</v>
      </c>
      <c r="C59">
        <f t="shared" si="0"/>
        <v>137.86745085976193</v>
      </c>
      <c r="D59" s="101">
        <f t="shared" si="1"/>
        <v>-5.3474508597619206</v>
      </c>
      <c r="E59" s="39">
        <f t="shared" si="2"/>
        <v>4.0352028824041053</v>
      </c>
      <c r="F59" s="39"/>
      <c r="G59" s="39">
        <v>12.107042665108096</v>
      </c>
      <c r="H59">
        <f t="shared" si="3"/>
        <v>0.94915254237288138</v>
      </c>
      <c r="I59">
        <f t="shared" si="4"/>
        <v>1.6366916466733989</v>
      </c>
    </row>
    <row r="60" spans="1:12" x14ac:dyDescent="0.25">
      <c r="A60">
        <v>57</v>
      </c>
      <c r="B60" s="6">
        <v>134.25</v>
      </c>
      <c r="C60">
        <f t="shared" si="0"/>
        <v>138.50712694946017</v>
      </c>
      <c r="D60" s="101">
        <f t="shared" si="1"/>
        <v>-4.2571269494601722</v>
      </c>
      <c r="E60" s="39">
        <f t="shared" si="2"/>
        <v>3.1710442826518976</v>
      </c>
      <c r="F60" s="39"/>
      <c r="G60" s="39">
        <v>13.736718754806347</v>
      </c>
      <c r="H60">
        <f t="shared" si="3"/>
        <v>0.96610169491525422</v>
      </c>
      <c r="I60">
        <f t="shared" si="4"/>
        <v>1.8263562979439059</v>
      </c>
    </row>
    <row r="61" spans="1:12" x14ac:dyDescent="0.25">
      <c r="A61">
        <v>58</v>
      </c>
      <c r="B61" s="6">
        <v>136.06</v>
      </c>
      <c r="C61">
        <f t="shared" si="0"/>
        <v>139.14680303915839</v>
      </c>
      <c r="D61" s="101">
        <f t="shared" si="1"/>
        <v>-3.0868030391583829</v>
      </c>
      <c r="E61" s="39">
        <f t="shared" si="2"/>
        <v>2.2687072167855233</v>
      </c>
      <c r="F61" s="39"/>
      <c r="G61" s="39">
        <v>14.436394844504591</v>
      </c>
      <c r="H61">
        <f t="shared" si="3"/>
        <v>0.98305084745762716</v>
      </c>
      <c r="I61">
        <f t="shared" si="4"/>
        <v>2.1212793024540031</v>
      </c>
    </row>
    <row r="62" spans="1:12" x14ac:dyDescent="0.25">
      <c r="A62" t="s">
        <v>76</v>
      </c>
      <c r="B62" s="39">
        <f>SUM(B4:B61)</f>
        <v>7013.130000000001</v>
      </c>
      <c r="C62" s="39">
        <f>SUM(C4:C61)</f>
        <v>7013.1300000000028</v>
      </c>
      <c r="D62" s="39">
        <f>SUM(D4:D61)</f>
        <v>-1.1510792319313623E-12</v>
      </c>
      <c r="E62" s="39">
        <f>SUM(E4:E61)</f>
        <v>295.70748485288084</v>
      </c>
    </row>
    <row r="63" spans="1:12" x14ac:dyDescent="0.25">
      <c r="A63" t="s">
        <v>77</v>
      </c>
      <c r="B63" s="39">
        <f>AVERAGE(B4:B61)</f>
        <v>120.91603448275863</v>
      </c>
      <c r="C63" s="39">
        <f>AVERAGE(C4:C61)</f>
        <v>120.91603448275868</v>
      </c>
      <c r="D63" s="39">
        <f>AVERAGE(D4:D61)</f>
        <v>-1.9846193653989005E-14</v>
      </c>
      <c r="E63" s="39">
        <f>AVERAGE(E4:E61)</f>
        <v>5.0984049112565666</v>
      </c>
    </row>
  </sheetData>
  <sortState ref="G4:G61">
    <sortCondition ref="G4:G61"/>
  </sortState>
  <mergeCells count="1">
    <mergeCell ref="G2:I2"/>
  </mergeCells>
  <hyperlinks>
    <hyperlink ref="N23" location="'Тренд (лин)'!D63" display="2) Значение ячейки D63=0, т.е. средняя величина остатков равна 0 и не зависит от Xi."/>
    <hyperlink ref="N26" location="'Тренд (лин)'!U27:AD46" display="5)Нанесенные на график проверки распределения на нормальность точки укладываются вдоль линии тренда,"/>
    <hyperlink ref="N25" location="'Тренд (лин)'!N20" display="4) Коэффициент корреляции rɛiɛj  существенно отличен от 0, что говорит о наличии автокорреляции остатков."/>
    <hyperlink ref="N24" location="'Тренд (лин)'!K28:T46" display="3) Наличие гомоскедастичности можно видеть на графике зависимости остатков ɛi от теоретических значений Ŷₓ. "/>
    <hyperlink ref="N22" location="'Тренд (лин)'!K28:T46" display="1) Из графика зависимости случайных остатков ɛi от теоретического Ŷₓ видно, что остатки неслучайны.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2"/>
  <sheetViews>
    <sheetView zoomScaleNormal="100" workbookViewId="0">
      <selection activeCell="N6" sqref="N6"/>
    </sheetView>
  </sheetViews>
  <sheetFormatPr defaultRowHeight="15" x14ac:dyDescent="0.25"/>
  <cols>
    <col min="8" max="8" width="9.85546875" customWidth="1"/>
    <col min="11" max="11" width="14.7109375" customWidth="1"/>
    <col min="12" max="12" width="12.85546875" customWidth="1"/>
    <col min="13" max="13" width="16.42578125" customWidth="1"/>
  </cols>
  <sheetData>
    <row r="1" spans="1:37" x14ac:dyDescent="0.25">
      <c r="B1" s="148">
        <v>1</v>
      </c>
      <c r="C1" s="148">
        <v>2</v>
      </c>
      <c r="D1" s="148">
        <v>3</v>
      </c>
      <c r="E1" s="148">
        <v>4</v>
      </c>
      <c r="F1" s="148">
        <v>5</v>
      </c>
      <c r="G1" s="148">
        <v>6</v>
      </c>
      <c r="H1" s="148">
        <v>7</v>
      </c>
      <c r="I1" s="148">
        <v>8</v>
      </c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</row>
    <row r="2" spans="1:37" ht="18" x14ac:dyDescent="0.25">
      <c r="B2" s="138" t="s">
        <v>48</v>
      </c>
      <c r="C2" s="138" t="s">
        <v>53</v>
      </c>
      <c r="D2" s="138" t="s">
        <v>54</v>
      </c>
      <c r="E2" s="67" t="s">
        <v>646</v>
      </c>
      <c r="F2" s="67" t="s">
        <v>576</v>
      </c>
      <c r="G2" s="138" t="s">
        <v>620</v>
      </c>
      <c r="H2" s="111" t="s">
        <v>653</v>
      </c>
      <c r="I2" s="111" t="s">
        <v>652</v>
      </c>
      <c r="K2" s="207" t="s">
        <v>604</v>
      </c>
      <c r="L2" s="207"/>
      <c r="M2" s="207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</row>
    <row r="3" spans="1:37" ht="60" x14ac:dyDescent="0.25">
      <c r="A3">
        <v>1</v>
      </c>
      <c r="B3" s="141">
        <v>102.32</v>
      </c>
      <c r="C3" s="141">
        <v>-5</v>
      </c>
      <c r="D3" s="141">
        <v>21675</v>
      </c>
      <c r="E3" s="136">
        <f>$O$21*D3+C3*$P$21+$Q$21</f>
        <v>102.41402759769284</v>
      </c>
      <c r="F3" s="171">
        <f>B3-E3</f>
        <v>-9.4027597692843301E-2</v>
      </c>
      <c r="G3" s="138">
        <f>ABS(F3/B4)*100</f>
        <v>9.1994518826771648E-2</v>
      </c>
      <c r="H3" s="138">
        <f>F3*F3</f>
        <v>8.8411891278871915E-3</v>
      </c>
      <c r="K3" s="132" t="s">
        <v>632</v>
      </c>
      <c r="L3" s="153" t="s">
        <v>608</v>
      </c>
      <c r="M3" s="153" t="s">
        <v>609</v>
      </c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</row>
    <row r="4" spans="1:37" ht="18" x14ac:dyDescent="0.35">
      <c r="A4">
        <v>2</v>
      </c>
      <c r="B4" s="140">
        <v>102.21</v>
      </c>
      <c r="C4" s="140">
        <v>-4</v>
      </c>
      <c r="D4" s="140">
        <v>21721</v>
      </c>
      <c r="E4" s="136">
        <f t="shared" ref="E4:E60" si="0">$O$21*D4+C4*$P$21+$Q$21</f>
        <v>101.39486478487933</v>
      </c>
      <c r="F4" s="102">
        <f t="shared" ref="F4:F59" si="1">B4-E4</f>
        <v>0.81513521512066234</v>
      </c>
      <c r="G4" s="138">
        <f t="shared" ref="G4:G60" si="2">ABS(F4/B5)*100</f>
        <v>0.79790056296071099</v>
      </c>
      <c r="H4" s="135">
        <f t="shared" ref="H4:H60" si="3">F4*F4</f>
        <v>0.66444541892980846</v>
      </c>
      <c r="I4">
        <f>(F4-F3)^2</f>
        <v>0.82657702020296553</v>
      </c>
      <c r="K4" s="150">
        <v>-11.933087975749615</v>
      </c>
      <c r="L4" s="135">
        <f>A3/59</f>
        <v>1.6949152542372881E-2</v>
      </c>
      <c r="M4" s="135">
        <f t="shared" ref="M4:M61" si="4">_xlfn.NORM.S.INV(L4)</f>
        <v>-2.1212793024540013</v>
      </c>
      <c r="O4" s="135" t="s">
        <v>610</v>
      </c>
      <c r="P4" s="135">
        <f>O24</f>
        <v>121.28404027474775</v>
      </c>
      <c r="Q4" s="149" t="s">
        <v>580</v>
      </c>
      <c r="R4" s="135" t="s">
        <v>611</v>
      </c>
      <c r="S4" s="135">
        <f>_xlfn.F.INV.RT(0.05,1,56)</f>
        <v>4.0129733776501437</v>
      </c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</row>
    <row r="5" spans="1:37" ht="18" x14ac:dyDescent="0.35">
      <c r="A5" s="135">
        <v>3</v>
      </c>
      <c r="B5" s="140">
        <v>102.16</v>
      </c>
      <c r="C5" s="140">
        <v>-5</v>
      </c>
      <c r="D5" s="140">
        <v>20525</v>
      </c>
      <c r="E5" s="136">
        <f t="shared" si="0"/>
        <v>103.96984981146643</v>
      </c>
      <c r="F5" s="172">
        <f t="shared" si="1"/>
        <v>-1.8098498114664352</v>
      </c>
      <c r="G5" s="138">
        <f t="shared" si="2"/>
        <v>1.7733194311840439</v>
      </c>
      <c r="H5" s="135">
        <f t="shared" si="3"/>
        <v>3.2755563400650911</v>
      </c>
      <c r="I5" s="135">
        <f t="shared" ref="I5:I59" si="5">(F5-F4)^2</f>
        <v>6.8905463898064649</v>
      </c>
      <c r="K5" s="150">
        <v>-9.8569457583394353</v>
      </c>
      <c r="L5" s="135">
        <f t="shared" ref="L5:L61" si="6">A4/59</f>
        <v>3.3898305084745763E-2</v>
      </c>
      <c r="M5" s="135">
        <f t="shared" si="4"/>
        <v>-1.8263562979439061</v>
      </c>
      <c r="O5" s="135" t="s">
        <v>612</v>
      </c>
      <c r="P5" s="135">
        <f>Q21/Q22</f>
        <v>19.5121596651259</v>
      </c>
      <c r="Q5" s="149" t="s">
        <v>580</v>
      </c>
      <c r="R5" s="135" t="s">
        <v>614</v>
      </c>
      <c r="S5" s="135">
        <f>_xlfn.T.INV.2T(0.05,56)</f>
        <v>2.0032407188478727</v>
      </c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</row>
    <row r="6" spans="1:37" ht="18" x14ac:dyDescent="0.35">
      <c r="A6" s="135">
        <v>4</v>
      </c>
      <c r="B6" s="140">
        <v>102.06</v>
      </c>
      <c r="C6" s="140">
        <v>-4</v>
      </c>
      <c r="D6" s="140">
        <v>20233</v>
      </c>
      <c r="E6" s="136">
        <f t="shared" si="0"/>
        <v>103.40796344061422</v>
      </c>
      <c r="F6" s="172">
        <f t="shared" si="1"/>
        <v>-1.3479634406142225</v>
      </c>
      <c r="G6" s="138">
        <f t="shared" si="2"/>
        <v>1.3144450907988519</v>
      </c>
      <c r="H6" s="135">
        <f t="shared" si="3"/>
        <v>1.8170054372325324</v>
      </c>
      <c r="I6" s="135">
        <f t="shared" si="5"/>
        <v>0.21333901957902779</v>
      </c>
      <c r="K6" s="150">
        <v>-9.3079373129564118</v>
      </c>
      <c r="L6" s="135">
        <f t="shared" si="6"/>
        <v>5.0847457627118647E-2</v>
      </c>
      <c r="M6" s="135">
        <f t="shared" si="4"/>
        <v>-1.6366916466733989</v>
      </c>
      <c r="O6" s="135" t="s">
        <v>613</v>
      </c>
      <c r="P6" s="135">
        <f>P21/P22</f>
        <v>-9.2027998692832469</v>
      </c>
      <c r="Q6" s="149" t="s">
        <v>580</v>
      </c>
      <c r="R6" s="135" t="s">
        <v>614</v>
      </c>
      <c r="S6" s="135">
        <f>_xlfn.T.INV.2T(0.05,56)</f>
        <v>2.0032407188478727</v>
      </c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</row>
    <row r="7" spans="1:37" ht="18" x14ac:dyDescent="0.35">
      <c r="A7" s="135">
        <v>5</v>
      </c>
      <c r="B7" s="140">
        <v>102.55</v>
      </c>
      <c r="C7" s="140">
        <v>-6</v>
      </c>
      <c r="D7" s="140">
        <v>19933</v>
      </c>
      <c r="E7" s="136">
        <f t="shared" si="0"/>
        <v>105.72768995360201</v>
      </c>
      <c r="F7" s="172">
        <f t="shared" si="1"/>
        <v>-3.1776899536020125</v>
      </c>
      <c r="G7" s="138">
        <f t="shared" si="2"/>
        <v>3.0452227633943578</v>
      </c>
      <c r="H7" s="135">
        <f t="shared" si="3"/>
        <v>10.09771344122316</v>
      </c>
      <c r="I7" s="135">
        <f t="shared" si="5"/>
        <v>3.3478991123304573</v>
      </c>
      <c r="K7" s="150">
        <v>-9.0554931683579412</v>
      </c>
      <c r="L7" s="135">
        <f t="shared" si="6"/>
        <v>6.7796610169491525E-2</v>
      </c>
      <c r="M7" s="135">
        <f t="shared" si="4"/>
        <v>-1.492404178320359</v>
      </c>
      <c r="O7" s="135" t="s">
        <v>733</v>
      </c>
      <c r="P7">
        <f>O21/O22</f>
        <v>-3.6528861416310412</v>
      </c>
      <c r="Q7" s="149" t="s">
        <v>580</v>
      </c>
      <c r="R7" s="135" t="s">
        <v>614</v>
      </c>
      <c r="S7" s="135">
        <f>_xlfn.T.INV.2T(0.05,56)</f>
        <v>2.0032407188478727</v>
      </c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</row>
    <row r="8" spans="1:37" x14ac:dyDescent="0.25">
      <c r="A8" s="135">
        <v>6</v>
      </c>
      <c r="B8" s="140">
        <v>104.35</v>
      </c>
      <c r="C8" s="140">
        <v>-5</v>
      </c>
      <c r="D8" s="140">
        <v>18654</v>
      </c>
      <c r="E8" s="136">
        <f t="shared" si="0"/>
        <v>106.50110490883202</v>
      </c>
      <c r="F8" s="172">
        <f t="shared" si="1"/>
        <v>-2.1511049088320249</v>
      </c>
      <c r="G8" s="138">
        <f t="shared" si="2"/>
        <v>1.9997256752180208</v>
      </c>
      <c r="H8" s="135">
        <f t="shared" si="3"/>
        <v>4.6272523288012337</v>
      </c>
      <c r="I8" s="135">
        <f t="shared" si="5"/>
        <v>1.0538768541453973</v>
      </c>
      <c r="K8" s="150">
        <v>-8.9572811636138141</v>
      </c>
      <c r="L8" s="135">
        <f t="shared" si="6"/>
        <v>8.4745762711864403E-2</v>
      </c>
      <c r="M8" s="135">
        <f t="shared" si="4"/>
        <v>-1.3738394673770855</v>
      </c>
      <c r="O8" s="135" t="s">
        <v>686</v>
      </c>
      <c r="P8" s="135"/>
      <c r="Q8" s="135"/>
      <c r="R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</row>
    <row r="9" spans="1:37" x14ac:dyDescent="0.25">
      <c r="A9" s="135">
        <v>7</v>
      </c>
      <c r="B9" s="140">
        <v>107.57</v>
      </c>
      <c r="C9" s="140">
        <v>-6</v>
      </c>
      <c r="D9" s="140">
        <v>18125</v>
      </c>
      <c r="E9" s="136">
        <f t="shared" si="0"/>
        <v>108.17371305143041</v>
      </c>
      <c r="F9" s="172">
        <f t="shared" si="1"/>
        <v>-0.60371305143041809</v>
      </c>
      <c r="G9" s="138">
        <f t="shared" si="2"/>
        <v>0.53922208952341733</v>
      </c>
      <c r="H9" s="135">
        <f t="shared" si="3"/>
        <v>0.36446944846742663</v>
      </c>
      <c r="I9" s="135">
        <f t="shared" si="5"/>
        <v>2.3944215603527947</v>
      </c>
      <c r="K9" s="150">
        <v>-7.9161241291420055</v>
      </c>
      <c r="L9" s="135">
        <f t="shared" si="6"/>
        <v>0.10169491525423729</v>
      </c>
      <c r="M9" s="135">
        <f t="shared" si="4"/>
        <v>-1.2719529676842081</v>
      </c>
      <c r="O9" s="135" t="s">
        <v>687</v>
      </c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</row>
    <row r="10" spans="1:37" ht="18" x14ac:dyDescent="0.35">
      <c r="A10" s="135">
        <v>8</v>
      </c>
      <c r="B10" s="140">
        <v>111.96</v>
      </c>
      <c r="C10" s="140">
        <v>-7</v>
      </c>
      <c r="D10" s="140">
        <v>18226</v>
      </c>
      <c r="E10" s="136">
        <f t="shared" si="0"/>
        <v>108.9940011986572</v>
      </c>
      <c r="F10" s="102">
        <f t="shared" si="1"/>
        <v>2.965998801342792</v>
      </c>
      <c r="G10" s="138">
        <f t="shared" si="2"/>
        <v>2.5730882288043655</v>
      </c>
      <c r="H10" s="135">
        <f t="shared" si="3"/>
        <v>8.7971488895668788</v>
      </c>
      <c r="I10" s="135">
        <f t="shared" si="5"/>
        <v>12.742842711829544</v>
      </c>
      <c r="K10" s="150">
        <v>-7.604580571847066</v>
      </c>
      <c r="L10" s="135">
        <f t="shared" si="6"/>
        <v>0.11864406779661017</v>
      </c>
      <c r="M10" s="135">
        <f t="shared" si="4"/>
        <v>-1.1817922703491182</v>
      </c>
      <c r="O10" s="68" t="s">
        <v>617</v>
      </c>
      <c r="P10" s="135">
        <f>O23</f>
        <v>0.81516834769900104</v>
      </c>
      <c r="Q10" s="135"/>
      <c r="R10" s="135"/>
      <c r="S10" s="66"/>
      <c r="T10" s="66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</row>
    <row r="11" spans="1:37" x14ac:dyDescent="0.25">
      <c r="A11" s="135">
        <v>9</v>
      </c>
      <c r="B11" s="140">
        <v>115.27</v>
      </c>
      <c r="C11" s="140">
        <v>-8</v>
      </c>
      <c r="D11" s="140">
        <v>18486</v>
      </c>
      <c r="E11" s="136">
        <f t="shared" si="0"/>
        <v>109.59918001371875</v>
      </c>
      <c r="F11" s="102">
        <f t="shared" si="1"/>
        <v>5.670819986281245</v>
      </c>
      <c r="G11" s="138">
        <f t="shared" si="2"/>
        <v>4.8398224684486175</v>
      </c>
      <c r="H11" s="135">
        <f t="shared" si="3"/>
        <v>32.158199316806822</v>
      </c>
      <c r="I11" s="135">
        <f t="shared" si="5"/>
        <v>7.3160576424918569</v>
      </c>
      <c r="K11" s="150">
        <v>-7.0105133849437777</v>
      </c>
      <c r="L11" s="135">
        <f t="shared" si="6"/>
        <v>0.13559322033898305</v>
      </c>
      <c r="M11" s="135">
        <f t="shared" si="4"/>
        <v>-1.1003344194590818</v>
      </c>
      <c r="O11" s="135" t="s">
        <v>732</v>
      </c>
      <c r="P11" s="135"/>
      <c r="Q11" s="66"/>
      <c r="R11" s="66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  <c r="AK11" s="135"/>
    </row>
    <row r="12" spans="1:37" x14ac:dyDescent="0.25">
      <c r="A12" s="135">
        <v>10</v>
      </c>
      <c r="B12" s="140">
        <v>117.17</v>
      </c>
      <c r="C12" s="140">
        <v>-8</v>
      </c>
      <c r="D12" s="140">
        <v>18478</v>
      </c>
      <c r="E12" s="136">
        <f t="shared" si="0"/>
        <v>109.61000312477108</v>
      </c>
      <c r="F12" s="102">
        <f t="shared" si="1"/>
        <v>7.5599968752289186</v>
      </c>
      <c r="G12" s="138">
        <f t="shared" si="2"/>
        <v>6.4280221709284229</v>
      </c>
      <c r="H12" s="135">
        <f t="shared" si="3"/>
        <v>57.153552753471011</v>
      </c>
      <c r="I12" s="135">
        <f t="shared" si="5"/>
        <v>3.5689893177340108</v>
      </c>
      <c r="K12" s="150">
        <v>-6.7792334695721763</v>
      </c>
      <c r="L12" s="135">
        <f t="shared" si="6"/>
        <v>0.15254237288135594</v>
      </c>
      <c r="M12" s="135">
        <f t="shared" si="4"/>
        <v>-1.0255902911278738</v>
      </c>
      <c r="O12" s="135" t="s">
        <v>618</v>
      </c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  <c r="AK12" s="135"/>
    </row>
    <row r="13" spans="1:37" x14ac:dyDescent="0.25">
      <c r="A13" s="135">
        <v>11</v>
      </c>
      <c r="B13" s="140">
        <v>117.61</v>
      </c>
      <c r="C13" s="140">
        <v>-8</v>
      </c>
      <c r="D13" s="140">
        <v>17569</v>
      </c>
      <c r="E13" s="136">
        <f t="shared" si="0"/>
        <v>110.83977911809301</v>
      </c>
      <c r="F13" s="102">
        <f t="shared" si="1"/>
        <v>6.7702208819069938</v>
      </c>
      <c r="G13" s="138">
        <f t="shared" si="2"/>
        <v>5.7736831672411677</v>
      </c>
      <c r="H13" s="135">
        <f t="shared" si="3"/>
        <v>45.835890789809511</v>
      </c>
      <c r="I13" s="135">
        <f t="shared" si="5"/>
        <v>0.62374611962763304</v>
      </c>
      <c r="K13" s="150">
        <v>-6.7435767503545208</v>
      </c>
      <c r="L13" s="135">
        <f t="shared" si="6"/>
        <v>0.16949152542372881</v>
      </c>
      <c r="M13" s="135">
        <f t="shared" si="4"/>
        <v>-0.95617653892006238</v>
      </c>
      <c r="O13" s="135" t="s">
        <v>621</v>
      </c>
      <c r="P13" s="150">
        <f>G62</f>
        <v>3.7910590438174681</v>
      </c>
      <c r="Q13" s="149" t="s">
        <v>579</v>
      </c>
      <c r="R13" s="135">
        <v>10</v>
      </c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</row>
    <row r="14" spans="1:37" x14ac:dyDescent="0.25">
      <c r="A14" s="135">
        <v>12</v>
      </c>
      <c r="B14" s="140">
        <v>117.26</v>
      </c>
      <c r="C14" s="140">
        <v>-7</v>
      </c>
      <c r="D14" s="140">
        <v>17236</v>
      </c>
      <c r="E14" s="136">
        <f t="shared" si="0"/>
        <v>110.33336119138404</v>
      </c>
      <c r="F14" s="102">
        <f t="shared" si="1"/>
        <v>6.9266388086159623</v>
      </c>
      <c r="G14" s="138">
        <f t="shared" si="2"/>
        <v>5.977423894214672</v>
      </c>
      <c r="H14" s="135">
        <f t="shared" si="3"/>
        <v>47.978325185024758</v>
      </c>
      <c r="I14" s="135">
        <f t="shared" si="5"/>
        <v>2.4466567795932235E-2</v>
      </c>
      <c r="K14" s="150">
        <v>-6.0062002798895975</v>
      </c>
      <c r="L14" s="135">
        <f t="shared" si="6"/>
        <v>0.1864406779661017</v>
      </c>
      <c r="M14" s="135">
        <f t="shared" si="4"/>
        <v>-0.89108913003410894</v>
      </c>
      <c r="O14" s="135" t="s">
        <v>622</v>
      </c>
      <c r="P14" s="135"/>
      <c r="Q14" s="135"/>
      <c r="R14" s="135"/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  <c r="AK14" s="135"/>
    </row>
    <row r="15" spans="1:37" x14ac:dyDescent="0.25">
      <c r="A15" s="135">
        <v>13</v>
      </c>
      <c r="B15" s="140">
        <v>115.88</v>
      </c>
      <c r="C15" s="140">
        <v>-7</v>
      </c>
      <c r="D15" s="140">
        <v>16378</v>
      </c>
      <c r="E15" s="136">
        <f t="shared" si="0"/>
        <v>111.49413985174731</v>
      </c>
      <c r="F15" s="102">
        <f t="shared" si="1"/>
        <v>4.3858601482526893</v>
      </c>
      <c r="G15" s="138">
        <f t="shared" si="2"/>
        <v>3.869307585578023</v>
      </c>
      <c r="H15" s="135">
        <f t="shared" si="3"/>
        <v>19.235769240031104</v>
      </c>
      <c r="I15" s="135">
        <f t="shared" si="5"/>
        <v>6.4555562009573881</v>
      </c>
      <c r="K15" s="150">
        <v>-5.4862274061246126</v>
      </c>
      <c r="L15" s="135">
        <f t="shared" si="6"/>
        <v>0.20338983050847459</v>
      </c>
      <c r="M15" s="135">
        <f t="shared" si="4"/>
        <v>-0.82957403698182763</v>
      </c>
      <c r="O15" s="135" t="s">
        <v>738</v>
      </c>
      <c r="P15" s="135">
        <f>1-(1-P10)*(57/55)</f>
        <v>0.80844719670623744</v>
      </c>
      <c r="Q15" s="135"/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</row>
    <row r="16" spans="1:37" x14ac:dyDescent="0.25">
      <c r="A16" s="135">
        <v>14</v>
      </c>
      <c r="B16" s="140">
        <v>113.35</v>
      </c>
      <c r="C16" s="140">
        <v>-6</v>
      </c>
      <c r="D16" s="140">
        <v>16112</v>
      </c>
      <c r="E16" s="136">
        <f t="shared" si="0"/>
        <v>110.89707836997499</v>
      </c>
      <c r="F16" s="102">
        <f t="shared" si="1"/>
        <v>2.4529216300250027</v>
      </c>
      <c r="G16" s="138">
        <f t="shared" si="2"/>
        <v>2.2021021905242866</v>
      </c>
      <c r="H16" s="135">
        <f t="shared" si="3"/>
        <v>6.0168245230445168</v>
      </c>
      <c r="I16" s="135">
        <f t="shared" si="5"/>
        <v>3.7362513152482446</v>
      </c>
      <c r="K16" s="150">
        <v>-4.8971868474960161</v>
      </c>
      <c r="L16" s="135">
        <f t="shared" si="6"/>
        <v>0.22033898305084745</v>
      </c>
      <c r="M16" s="135">
        <f t="shared" si="4"/>
        <v>-0.77104886863964417</v>
      </c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</row>
    <row r="17" spans="1:37" x14ac:dyDescent="0.25">
      <c r="A17" s="135">
        <v>15</v>
      </c>
      <c r="B17" s="140">
        <v>111.39</v>
      </c>
      <c r="C17" s="140">
        <v>-5</v>
      </c>
      <c r="D17" s="140">
        <v>15321</v>
      </c>
      <c r="E17" s="136">
        <f t="shared" si="0"/>
        <v>111.01028355101238</v>
      </c>
      <c r="F17" s="102">
        <f t="shared" si="1"/>
        <v>0.37971644898762236</v>
      </c>
      <c r="G17" s="138">
        <f t="shared" si="2"/>
        <v>0.34595157524382497</v>
      </c>
      <c r="H17" s="135">
        <f t="shared" si="3"/>
        <v>0.14418458163176961</v>
      </c>
      <c r="I17" s="135">
        <f t="shared" si="5"/>
        <v>4.2981797226802367</v>
      </c>
      <c r="K17" s="150">
        <v>-4.7801755438549947</v>
      </c>
      <c r="L17" s="135">
        <f t="shared" si="6"/>
        <v>0.23728813559322035</v>
      </c>
      <c r="M17" s="135">
        <f t="shared" si="4"/>
        <v>-0.71505303754992222</v>
      </c>
      <c r="O17" s="135"/>
      <c r="P17" s="135"/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</row>
    <row r="18" spans="1:37" x14ac:dyDescent="0.25">
      <c r="A18" s="135">
        <v>16</v>
      </c>
      <c r="B18" s="140">
        <v>109.76</v>
      </c>
      <c r="C18" s="140">
        <v>-6</v>
      </c>
      <c r="D18" s="140">
        <v>14803</v>
      </c>
      <c r="E18" s="136">
        <f t="shared" si="0"/>
        <v>112.66800991591383</v>
      </c>
      <c r="F18" s="172">
        <f t="shared" si="1"/>
        <v>-2.9080099159138229</v>
      </c>
      <c r="G18" s="138">
        <f t="shared" si="2"/>
        <v>2.6557168181861397</v>
      </c>
      <c r="H18" s="135">
        <f t="shared" si="3"/>
        <v>8.4565216710531192</v>
      </c>
      <c r="I18" s="135">
        <f t="shared" si="5"/>
        <v>10.80914465046807</v>
      </c>
      <c r="K18" s="150">
        <v>-4.1313503586024325</v>
      </c>
      <c r="L18" s="135">
        <f t="shared" si="6"/>
        <v>0.25423728813559321</v>
      </c>
      <c r="M18" s="135">
        <f t="shared" si="4"/>
        <v>-0.66121479220131485</v>
      </c>
      <c r="O18" s="135"/>
      <c r="P18" s="135"/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</row>
    <row r="19" spans="1:37" x14ac:dyDescent="0.25">
      <c r="A19" s="135">
        <v>17</v>
      </c>
      <c r="B19" s="140">
        <v>109.5</v>
      </c>
      <c r="C19" s="140">
        <v>-8</v>
      </c>
      <c r="D19" s="140">
        <v>15026</v>
      </c>
      <c r="E19" s="136">
        <f t="shared" si="0"/>
        <v>114.28017554385499</v>
      </c>
      <c r="F19" s="172">
        <f t="shared" si="1"/>
        <v>-4.7801755438549947</v>
      </c>
      <c r="G19" s="138">
        <f t="shared" si="2"/>
        <v>4.3911221236955669</v>
      </c>
      <c r="H19" s="135">
        <f t="shared" si="3"/>
        <v>22.850078230069393</v>
      </c>
      <c r="I19" s="135">
        <f t="shared" si="5"/>
        <v>3.5050041384443622</v>
      </c>
      <c r="K19" s="150">
        <v>-3.77285881116768</v>
      </c>
      <c r="L19" s="135">
        <f t="shared" si="6"/>
        <v>0.2711864406779661</v>
      </c>
      <c r="M19" s="135">
        <f t="shared" si="4"/>
        <v>-0.60922866701399825</v>
      </c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</row>
    <row r="20" spans="1:37" ht="18" x14ac:dyDescent="0.35">
      <c r="A20" s="135">
        <v>18</v>
      </c>
      <c r="B20" s="140">
        <v>108.86</v>
      </c>
      <c r="C20" s="140">
        <v>-6</v>
      </c>
      <c r="D20" s="140">
        <v>14564</v>
      </c>
      <c r="E20" s="136">
        <f t="shared" si="0"/>
        <v>112.99135035860243</v>
      </c>
      <c r="F20" s="172">
        <f t="shared" si="1"/>
        <v>-4.1313503586024325</v>
      </c>
      <c r="G20" s="138">
        <f t="shared" si="2"/>
        <v>3.8080471551317476</v>
      </c>
      <c r="H20" s="135">
        <f t="shared" si="3"/>
        <v>17.068055785524447</v>
      </c>
      <c r="I20" s="135">
        <f t="shared" si="5"/>
        <v>0.42097412101802162</v>
      </c>
      <c r="K20" s="150">
        <v>-3.1776899536020125</v>
      </c>
      <c r="L20" s="135">
        <f t="shared" si="6"/>
        <v>0.28813559322033899</v>
      </c>
      <c r="M20" s="135">
        <f t="shared" si="4"/>
        <v>-0.55883961079677569</v>
      </c>
      <c r="O20" t="s">
        <v>731</v>
      </c>
      <c r="P20" s="135" t="s">
        <v>566</v>
      </c>
      <c r="Q20" s="135" t="s">
        <v>567</v>
      </c>
      <c r="S20" s="135" t="s">
        <v>605</v>
      </c>
      <c r="T20" s="135">
        <f>CORREL(F3:F59,F4:F60)</f>
        <v>0.67588285310719654</v>
      </c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</row>
    <row r="21" spans="1:37" x14ac:dyDescent="0.25">
      <c r="A21" s="135">
        <v>19</v>
      </c>
      <c r="B21" s="140">
        <v>108.49</v>
      </c>
      <c r="C21" s="140">
        <v>-7</v>
      </c>
      <c r="D21" s="140">
        <v>14159</v>
      </c>
      <c r="E21" s="136">
        <f t="shared" si="0"/>
        <v>114.49620027988959</v>
      </c>
      <c r="F21" s="172">
        <f t="shared" si="1"/>
        <v>-6.0062002798895975</v>
      </c>
      <c r="G21" s="138">
        <f t="shared" si="2"/>
        <v>5.5428204871627882</v>
      </c>
      <c r="H21" s="135">
        <f t="shared" si="3"/>
        <v>36.074441802145877</v>
      </c>
      <c r="I21" s="135">
        <f t="shared" si="5"/>
        <v>3.5150622273504886</v>
      </c>
      <c r="K21" s="150">
        <v>-2.9080099159138229</v>
      </c>
      <c r="L21" s="135">
        <f t="shared" si="6"/>
        <v>0.30508474576271188</v>
      </c>
      <c r="M21" s="135">
        <f t="shared" si="4"/>
        <v>-0.50983153383249025</v>
      </c>
      <c r="O21" s="137">
        <f t="array" ref="O21:Q25">LINEST(B3:B60,C3:D60,1,1)</f>
        <v>-1.3528888815422661E-3</v>
      </c>
      <c r="P21" s="137">
        <v>-0.95692992426254553</v>
      </c>
      <c r="Q21" s="137">
        <v>126.95324448380872</v>
      </c>
      <c r="S21" s="135" t="s">
        <v>602</v>
      </c>
      <c r="T21" s="135"/>
      <c r="U21" s="135"/>
      <c r="V21" s="66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</row>
    <row r="22" spans="1:37" x14ac:dyDescent="0.25">
      <c r="A22" s="135">
        <v>20</v>
      </c>
      <c r="B22" s="140">
        <v>108.36</v>
      </c>
      <c r="C22" s="140">
        <v>-9</v>
      </c>
      <c r="D22" s="140">
        <v>14258</v>
      </c>
      <c r="E22" s="136">
        <f t="shared" si="0"/>
        <v>116.276124129142</v>
      </c>
      <c r="F22" s="172">
        <f t="shared" si="1"/>
        <v>-7.9161241291420055</v>
      </c>
      <c r="G22" s="138">
        <f t="shared" si="2"/>
        <v>7.3168722886976667</v>
      </c>
      <c r="H22" s="135">
        <f t="shared" si="3"/>
        <v>62.665021227984276</v>
      </c>
      <c r="I22" s="135">
        <f t="shared" si="5"/>
        <v>3.6478091099431347</v>
      </c>
      <c r="K22" s="150">
        <v>-2.8846552407397752</v>
      </c>
      <c r="L22" s="135">
        <f t="shared" si="6"/>
        <v>0.32203389830508472</v>
      </c>
      <c r="M22" s="135">
        <f t="shared" si="4"/>
        <v>-0.46201885864912079</v>
      </c>
      <c r="O22" s="137">
        <v>3.7036163435912376E-4</v>
      </c>
      <c r="P22" s="137">
        <v>0.10398247683909215</v>
      </c>
      <c r="Q22" s="137">
        <v>6.506365602917465</v>
      </c>
      <c r="S22" s="155" t="s">
        <v>649</v>
      </c>
      <c r="T22" s="135"/>
      <c r="U22" s="135"/>
      <c r="V22" s="66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</row>
    <row r="23" spans="1:37" x14ac:dyDescent="0.25">
      <c r="A23" s="135">
        <v>21</v>
      </c>
      <c r="B23" s="140">
        <v>108.19</v>
      </c>
      <c r="C23" s="140">
        <v>-9</v>
      </c>
      <c r="D23" s="140">
        <v>15224</v>
      </c>
      <c r="E23" s="136">
        <f t="shared" si="0"/>
        <v>114.96923346957217</v>
      </c>
      <c r="F23" s="172">
        <f t="shared" si="1"/>
        <v>-6.7792334695721763</v>
      </c>
      <c r="G23" s="138">
        <f t="shared" si="2"/>
        <v>6.2887137936662114</v>
      </c>
      <c r="H23" s="135">
        <f t="shared" si="3"/>
        <v>45.958006434967608</v>
      </c>
      <c r="I23" s="135">
        <f t="shared" si="5"/>
        <v>1.2925203718171212</v>
      </c>
      <c r="K23" s="150">
        <v>-2.1511049088320249</v>
      </c>
      <c r="L23" s="135">
        <f t="shared" si="6"/>
        <v>0.33898305084745761</v>
      </c>
      <c r="M23" s="135">
        <f t="shared" si="4"/>
        <v>-0.4152401608260714</v>
      </c>
      <c r="O23" s="137">
        <v>0.81516834769900104</v>
      </c>
      <c r="P23" s="137">
        <v>5.7129540506761236</v>
      </c>
      <c r="Q23" s="137" t="e">
        <v>#N/A</v>
      </c>
      <c r="S23" s="155" t="s">
        <v>735</v>
      </c>
      <c r="T23" s="135"/>
      <c r="U23" s="135"/>
      <c r="V23" s="66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</row>
    <row r="24" spans="1:37" x14ac:dyDescent="0.25">
      <c r="A24" s="135">
        <v>22</v>
      </c>
      <c r="B24" s="140">
        <v>107.8</v>
      </c>
      <c r="C24" s="140">
        <v>-11</v>
      </c>
      <c r="D24" s="140">
        <v>14652</v>
      </c>
      <c r="E24" s="136">
        <f t="shared" si="0"/>
        <v>117.65694575833943</v>
      </c>
      <c r="F24" s="172">
        <f t="shared" si="1"/>
        <v>-9.8569457583394353</v>
      </c>
      <c r="G24" s="138">
        <f t="shared" si="2"/>
        <v>9.1718114435092915</v>
      </c>
      <c r="H24" s="135">
        <f t="shared" si="3"/>
        <v>97.159379682845781</v>
      </c>
      <c r="I24" s="135">
        <f t="shared" si="5"/>
        <v>9.4723129324290003</v>
      </c>
      <c r="K24" s="150">
        <v>-1.893122126005494</v>
      </c>
      <c r="L24" s="135">
        <f t="shared" si="6"/>
        <v>0.3559322033898305</v>
      </c>
      <c r="M24" s="135">
        <f t="shared" si="4"/>
        <v>-0.36935329360674307</v>
      </c>
      <c r="O24" s="137">
        <v>121.28404027474775</v>
      </c>
      <c r="P24" s="137">
        <v>55</v>
      </c>
      <c r="Q24" s="137" t="e">
        <v>#N/A</v>
      </c>
      <c r="S24" s="69" t="s">
        <v>630</v>
      </c>
      <c r="T24" s="167"/>
      <c r="U24" s="135"/>
      <c r="V24" s="66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</row>
    <row r="25" spans="1:37" x14ac:dyDescent="0.25">
      <c r="A25" s="135">
        <v>23</v>
      </c>
      <c r="B25" s="140">
        <v>107.47</v>
      </c>
      <c r="C25" s="140">
        <v>-10</v>
      </c>
      <c r="D25" s="140">
        <v>14781</v>
      </c>
      <c r="E25" s="136">
        <f t="shared" si="0"/>
        <v>116.52549316835794</v>
      </c>
      <c r="F25" s="172">
        <f t="shared" si="1"/>
        <v>-9.0554931683579412</v>
      </c>
      <c r="G25" s="138">
        <f t="shared" si="2"/>
        <v>8.4607055669979818</v>
      </c>
      <c r="H25" s="135">
        <f t="shared" si="3"/>
        <v>82.001956522177338</v>
      </c>
      <c r="I25" s="135">
        <f t="shared" si="5"/>
        <v>0.64232625398804499</v>
      </c>
      <c r="K25" s="150">
        <v>-1.8098498114664352</v>
      </c>
      <c r="L25" s="135">
        <f t="shared" si="6"/>
        <v>0.3728813559322034</v>
      </c>
      <c r="M25" s="135">
        <f t="shared" si="4"/>
        <v>-0.32423158413730258</v>
      </c>
      <c r="O25" s="137">
        <v>7916.8991687485131</v>
      </c>
      <c r="P25" s="137">
        <v>1795.08141918252</v>
      </c>
      <c r="Q25" s="137" t="e">
        <v>#N/A</v>
      </c>
      <c r="S25" s="155" t="s">
        <v>629</v>
      </c>
      <c r="T25" s="135"/>
      <c r="U25" s="135"/>
      <c r="V25" s="66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</row>
    <row r="26" spans="1:37" ht="18" x14ac:dyDescent="0.35">
      <c r="A26" s="135">
        <v>24</v>
      </c>
      <c r="B26" s="140">
        <v>107.03</v>
      </c>
      <c r="C26" s="140">
        <v>11</v>
      </c>
      <c r="D26" s="140">
        <v>14361</v>
      </c>
      <c r="E26" s="136">
        <f t="shared" si="0"/>
        <v>96.998178089092235</v>
      </c>
      <c r="F26" s="102">
        <f t="shared" si="1"/>
        <v>10.031821910907766</v>
      </c>
      <c r="G26" s="138">
        <f t="shared" si="2"/>
        <v>9.4098320147338583</v>
      </c>
      <c r="H26" s="135">
        <f t="shared" si="3"/>
        <v>100.63745085216914</v>
      </c>
      <c r="I26" s="135">
        <f t="shared" si="5"/>
        <v>364.32559693516407</v>
      </c>
      <c r="K26" s="150">
        <v>-1.6821062516794996</v>
      </c>
      <c r="L26" s="135">
        <f t="shared" si="6"/>
        <v>0.38983050847457629</v>
      </c>
      <c r="M26" s="135">
        <f t="shared" si="4"/>
        <v>-0.27976081477122972</v>
      </c>
      <c r="O26" s="168" t="s">
        <v>734</v>
      </c>
      <c r="P26" s="168"/>
      <c r="Q26" s="168"/>
      <c r="S26" s="69" t="s">
        <v>606</v>
      </c>
      <c r="T26" s="167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</row>
    <row r="27" spans="1:37" x14ac:dyDescent="0.25">
      <c r="A27" s="135">
        <v>25</v>
      </c>
      <c r="B27" s="140">
        <v>106.61</v>
      </c>
      <c r="C27" s="140">
        <v>-11</v>
      </c>
      <c r="D27" s="140">
        <v>13997</v>
      </c>
      <c r="E27" s="136">
        <f t="shared" si="0"/>
        <v>118.54308797574961</v>
      </c>
      <c r="F27" s="172">
        <f t="shared" si="1"/>
        <v>-11.933087975749615</v>
      </c>
      <c r="G27" s="138">
        <f t="shared" si="2"/>
        <v>11.197417636998795</v>
      </c>
      <c r="H27" s="135">
        <f t="shared" si="3"/>
        <v>142.39858863698004</v>
      </c>
      <c r="I27" s="135">
        <f t="shared" si="5"/>
        <v>482.45726632897913</v>
      </c>
      <c r="K27" s="150">
        <v>-1.3479634406142225</v>
      </c>
      <c r="L27" s="135">
        <f t="shared" si="6"/>
        <v>0.40677966101694918</v>
      </c>
      <c r="M27" s="135">
        <f t="shared" si="4"/>
        <v>-0.23583678601109134</v>
      </c>
      <c r="O27" s="135"/>
      <c r="P27" s="135"/>
      <c r="Q27" s="135"/>
      <c r="S27" s="135" t="s">
        <v>607</v>
      </c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</row>
    <row r="28" spans="1:37" x14ac:dyDescent="0.25">
      <c r="A28" s="135">
        <v>26</v>
      </c>
      <c r="B28" s="140">
        <v>106.57</v>
      </c>
      <c r="C28" s="140">
        <v>-8</v>
      </c>
      <c r="D28" s="140">
        <v>13845</v>
      </c>
      <c r="E28" s="136">
        <f t="shared" si="0"/>
        <v>115.8779373129564</v>
      </c>
      <c r="F28" s="172">
        <f t="shared" si="1"/>
        <v>-9.3079373129564118</v>
      </c>
      <c r="G28" s="138">
        <f t="shared" si="2"/>
        <v>8.7406679622090451</v>
      </c>
      <c r="H28" s="135">
        <f t="shared" si="3"/>
        <v>86.637697021926229</v>
      </c>
      <c r="I28" s="135">
        <f t="shared" si="5"/>
        <v>6.8914160023635933</v>
      </c>
      <c r="K28" s="150">
        <v>-0.83261243668090401</v>
      </c>
      <c r="L28" s="135">
        <f t="shared" si="6"/>
        <v>0.42372881355932202</v>
      </c>
      <c r="M28" s="135">
        <f t="shared" si="4"/>
        <v>-0.19236331372250978</v>
      </c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</row>
    <row r="29" spans="1:37" x14ac:dyDescent="0.25">
      <c r="A29" s="135">
        <v>27</v>
      </c>
      <c r="B29" s="140">
        <v>106.49</v>
      </c>
      <c r="C29" s="140">
        <v>-7</v>
      </c>
      <c r="D29" s="140">
        <v>13456</v>
      </c>
      <c r="E29" s="136">
        <f t="shared" si="0"/>
        <v>115.44728116361381</v>
      </c>
      <c r="F29" s="172">
        <f t="shared" si="1"/>
        <v>-8.9572811636138141</v>
      </c>
      <c r="G29" s="138">
        <f t="shared" si="2"/>
        <v>8.3681625220607376</v>
      </c>
      <c r="H29" s="135">
        <f t="shared" si="3"/>
        <v>80.232885844030847</v>
      </c>
      <c r="I29" s="135">
        <f t="shared" si="5"/>
        <v>0.12295973507177818</v>
      </c>
      <c r="K29" s="150">
        <v>-0.78014479874755693</v>
      </c>
      <c r="L29" s="135">
        <f t="shared" si="6"/>
        <v>0.44067796610169491</v>
      </c>
      <c r="M29" s="135">
        <f t="shared" si="4"/>
        <v>-0.14925055165580312</v>
      </c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</row>
    <row r="30" spans="1:37" x14ac:dyDescent="0.25">
      <c r="A30" s="135">
        <v>28</v>
      </c>
      <c r="B30" s="140">
        <v>107.04</v>
      </c>
      <c r="C30" s="140">
        <v>-6</v>
      </c>
      <c r="D30" s="140">
        <v>13342</v>
      </c>
      <c r="E30" s="136">
        <f t="shared" si="0"/>
        <v>114.64458057184707</v>
      </c>
      <c r="F30" s="172">
        <f t="shared" si="1"/>
        <v>-7.604580571847066</v>
      </c>
      <c r="G30" s="138">
        <f t="shared" si="2"/>
        <v>6.8294392203386316</v>
      </c>
      <c r="H30" s="135">
        <f t="shared" si="3"/>
        <v>57.829645673713848</v>
      </c>
      <c r="I30" s="135">
        <f t="shared" si="5"/>
        <v>1.8297988909661105</v>
      </c>
      <c r="K30" s="150">
        <v>-0.60371305143041809</v>
      </c>
      <c r="L30" s="135">
        <f t="shared" si="6"/>
        <v>0.4576271186440678</v>
      </c>
      <c r="M30" s="135">
        <f t="shared" si="4"/>
        <v>-0.1064135569156504</v>
      </c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</row>
    <row r="31" spans="1:37" x14ac:dyDescent="0.25">
      <c r="A31" s="135">
        <v>29</v>
      </c>
      <c r="B31" s="140">
        <v>111.35</v>
      </c>
      <c r="C31" s="140">
        <v>-6</v>
      </c>
      <c r="D31" s="140">
        <v>13645</v>
      </c>
      <c r="E31" s="136">
        <f t="shared" si="0"/>
        <v>114.23465524073977</v>
      </c>
      <c r="F31" s="172">
        <f t="shared" si="1"/>
        <v>-2.8846552407397752</v>
      </c>
      <c r="G31" s="138">
        <f t="shared" si="2"/>
        <v>2.4541902677724816</v>
      </c>
      <c r="H31" s="135">
        <f t="shared" si="3"/>
        <v>8.3212358579274497</v>
      </c>
      <c r="I31" s="135">
        <f t="shared" si="5"/>
        <v>22.27769513122827</v>
      </c>
      <c r="K31" s="150">
        <v>-0.19352291039811576</v>
      </c>
      <c r="L31" s="135">
        <f t="shared" si="6"/>
        <v>0.47457627118644069</v>
      </c>
      <c r="M31" s="135">
        <f t="shared" si="4"/>
        <v>-6.377103455763064E-2</v>
      </c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</row>
    <row r="32" spans="1:37" x14ac:dyDescent="0.25">
      <c r="A32" s="135">
        <v>30</v>
      </c>
      <c r="B32" s="140">
        <v>117.54</v>
      </c>
      <c r="C32" s="140">
        <v>-7</v>
      </c>
      <c r="D32" s="140">
        <v>13171</v>
      </c>
      <c r="E32" s="136">
        <f t="shared" si="0"/>
        <v>115.83285449485335</v>
      </c>
      <c r="F32" s="102">
        <f t="shared" si="1"/>
        <v>1.7071455051466558</v>
      </c>
      <c r="G32" s="138">
        <f t="shared" si="2"/>
        <v>1.3926786630336563</v>
      </c>
      <c r="H32" s="135">
        <f t="shared" si="3"/>
        <v>2.9143457757424303</v>
      </c>
      <c r="I32" s="135">
        <f t="shared" si="5"/>
        <v>21.084634089923185</v>
      </c>
      <c r="K32" s="154">
        <v>-9.4027597692843301E-2</v>
      </c>
      <c r="L32" s="135">
        <f t="shared" si="6"/>
        <v>0.49152542372881358</v>
      </c>
      <c r="M32" s="135">
        <f t="shared" si="4"/>
        <v>-2.1244210365719055E-2</v>
      </c>
      <c r="O32" s="135"/>
      <c r="P32" s="135"/>
      <c r="Q32" s="135"/>
      <c r="R32" s="135"/>
      <c r="S32" s="135"/>
      <c r="T32" s="135"/>
      <c r="U32" s="135"/>
      <c r="V32" s="135"/>
      <c r="W32" s="135"/>
      <c r="X32" s="135"/>
      <c r="Y32" s="135"/>
      <c r="Z32" s="135"/>
      <c r="AA32" s="135"/>
      <c r="AB32" s="135"/>
      <c r="AC32" s="135"/>
      <c r="AD32" s="135"/>
      <c r="AE32" s="135"/>
      <c r="AF32" s="135"/>
      <c r="AG32" s="135"/>
      <c r="AH32" s="135"/>
      <c r="AI32" s="135"/>
      <c r="AJ32" s="135"/>
      <c r="AK32" s="135"/>
    </row>
    <row r="33" spans="1:37" x14ac:dyDescent="0.25">
      <c r="A33" s="135">
        <v>31</v>
      </c>
      <c r="B33" s="140">
        <v>122.58</v>
      </c>
      <c r="C33" s="140">
        <v>-7</v>
      </c>
      <c r="D33" s="140">
        <v>13272</v>
      </c>
      <c r="E33" s="136">
        <f t="shared" si="0"/>
        <v>115.69621271781759</v>
      </c>
      <c r="F33" s="102">
        <f t="shared" si="1"/>
        <v>6.8837872821824106</v>
      </c>
      <c r="G33" s="138">
        <f t="shared" si="2"/>
        <v>5.3712447582571867</v>
      </c>
      <c r="H33" s="135">
        <f t="shared" si="3"/>
        <v>47.386527346336301</v>
      </c>
      <c r="I33" s="135">
        <f t="shared" si="5"/>
        <v>26.797620087751898</v>
      </c>
      <c r="K33" s="150">
        <v>-9.1505879810711122E-2</v>
      </c>
      <c r="L33" s="135">
        <f t="shared" si="6"/>
        <v>0.50847457627118642</v>
      </c>
      <c r="M33" s="135">
        <f t="shared" si="4"/>
        <v>2.1244210365719055E-2</v>
      </c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  <c r="AK33" s="135"/>
    </row>
    <row r="34" spans="1:37" x14ac:dyDescent="0.25">
      <c r="A34" s="135">
        <v>32</v>
      </c>
      <c r="B34" s="140">
        <v>128.16</v>
      </c>
      <c r="C34" s="140">
        <v>-12</v>
      </c>
      <c r="D34" s="140">
        <v>13121</v>
      </c>
      <c r="E34" s="136">
        <f t="shared" si="0"/>
        <v>120.68514856024319</v>
      </c>
      <c r="F34" s="102">
        <f t="shared" si="1"/>
        <v>7.4748514397568044</v>
      </c>
      <c r="G34" s="138">
        <f t="shared" si="2"/>
        <v>5.6261112748432964</v>
      </c>
      <c r="H34" s="135">
        <f t="shared" si="3"/>
        <v>55.873404046434374</v>
      </c>
      <c r="I34" s="135">
        <f t="shared" si="5"/>
        <v>0.34935683836912779</v>
      </c>
      <c r="K34" s="150">
        <v>0.37971644898762236</v>
      </c>
      <c r="L34" s="135">
        <f t="shared" si="6"/>
        <v>0.52542372881355937</v>
      </c>
      <c r="M34" s="135">
        <f t="shared" si="4"/>
        <v>6.3771034557630793E-2</v>
      </c>
      <c r="O34" s="135"/>
      <c r="P34" s="135"/>
      <c r="Q34" s="135"/>
      <c r="R34" s="135"/>
      <c r="S34" s="135"/>
      <c r="T34" s="135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</row>
    <row r="35" spans="1:37" x14ac:dyDescent="0.25">
      <c r="A35" s="135">
        <v>33</v>
      </c>
      <c r="B35" s="140">
        <v>132.86000000000001</v>
      </c>
      <c r="C35" s="140">
        <v>-15</v>
      </c>
      <c r="D35" s="140">
        <v>12964</v>
      </c>
      <c r="E35" s="136">
        <f t="shared" si="0"/>
        <v>123.76834188743297</v>
      </c>
      <c r="F35" s="102">
        <f t="shared" si="1"/>
        <v>9.0916581125670461</v>
      </c>
      <c r="G35" s="138">
        <f t="shared" si="2"/>
        <v>6.7385547825133756</v>
      </c>
      <c r="H35" s="135">
        <f t="shared" si="3"/>
        <v>82.658247235806186</v>
      </c>
      <c r="I35" s="135">
        <f t="shared" si="5"/>
        <v>2.6140638172437241</v>
      </c>
      <c r="K35" s="150">
        <v>0.68246691957438088</v>
      </c>
      <c r="L35" s="135">
        <f t="shared" si="6"/>
        <v>0.5423728813559322</v>
      </c>
      <c r="M35" s="135">
        <f t="shared" si="4"/>
        <v>0.1064135569156504</v>
      </c>
      <c r="O35" s="135"/>
      <c r="P35" s="135"/>
      <c r="Q35" s="135"/>
      <c r="R35" s="135"/>
      <c r="S35" s="135"/>
      <c r="T35" s="135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</row>
    <row r="36" spans="1:37" x14ac:dyDescent="0.25">
      <c r="A36" s="135">
        <v>34</v>
      </c>
      <c r="B36" s="140">
        <v>134.91999999999999</v>
      </c>
      <c r="C36" s="140">
        <v>-18</v>
      </c>
      <c r="D36" s="140">
        <v>12732</v>
      </c>
      <c r="E36" s="136">
        <f t="shared" si="0"/>
        <v>126.95300188073841</v>
      </c>
      <c r="F36" s="102">
        <f t="shared" si="1"/>
        <v>7.9669981192615751</v>
      </c>
      <c r="G36" s="138">
        <f t="shared" si="2"/>
        <v>5.871037670789665</v>
      </c>
      <c r="H36" s="135">
        <f t="shared" si="3"/>
        <v>63.473059032317472</v>
      </c>
      <c r="I36" s="135">
        <f t="shared" si="5"/>
        <v>1.2648601005418623</v>
      </c>
      <c r="K36" s="150">
        <v>0.81513521512066234</v>
      </c>
      <c r="L36" s="135">
        <f t="shared" si="6"/>
        <v>0.55932203389830504</v>
      </c>
      <c r="M36" s="135">
        <f t="shared" si="4"/>
        <v>0.14925055165580298</v>
      </c>
      <c r="O36" s="135"/>
      <c r="P36" s="135"/>
      <c r="Q36" s="135"/>
      <c r="R36" s="135"/>
      <c r="S36" s="135"/>
      <c r="T36" s="135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  <c r="AE36" s="135"/>
      <c r="AF36" s="135"/>
      <c r="AG36" s="135"/>
      <c r="AH36" s="135"/>
      <c r="AI36" s="135"/>
      <c r="AJ36" s="135"/>
      <c r="AK36" s="135"/>
    </row>
    <row r="37" spans="1:37" x14ac:dyDescent="0.25">
      <c r="A37" s="135">
        <v>35</v>
      </c>
      <c r="B37" s="140">
        <v>135.69999999999999</v>
      </c>
      <c r="C37" s="140">
        <v>-22.7</v>
      </c>
      <c r="D37" s="140">
        <v>13121</v>
      </c>
      <c r="E37" s="136">
        <f t="shared" si="0"/>
        <v>130.92429874985243</v>
      </c>
      <c r="F37" s="102">
        <f t="shared" si="1"/>
        <v>4.7757012501475629</v>
      </c>
      <c r="G37" s="138">
        <f t="shared" si="2"/>
        <v>3.5079339284174846</v>
      </c>
      <c r="H37" s="135">
        <f t="shared" si="3"/>
        <v>22.807322430660996</v>
      </c>
      <c r="I37" s="135">
        <f t="shared" si="5"/>
        <v>10.184375706816898</v>
      </c>
      <c r="K37" s="150">
        <v>1.1663743109162397</v>
      </c>
      <c r="L37" s="135">
        <f t="shared" si="6"/>
        <v>0.57627118644067798</v>
      </c>
      <c r="M37" s="135">
        <f t="shared" si="4"/>
        <v>0.19236331372250978</v>
      </c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</row>
    <row r="38" spans="1:37" x14ac:dyDescent="0.25">
      <c r="A38" s="135">
        <v>36</v>
      </c>
      <c r="B38" s="140">
        <v>136.13999999999999</v>
      </c>
      <c r="C38" s="140">
        <v>-26.4</v>
      </c>
      <c r="D38" s="140">
        <v>12745</v>
      </c>
      <c r="E38" s="136">
        <f t="shared" si="0"/>
        <v>134.97362568908375</v>
      </c>
      <c r="F38" s="102">
        <f t="shared" si="1"/>
        <v>1.1663743109162397</v>
      </c>
      <c r="G38" s="138">
        <f t="shared" si="2"/>
        <v>0.83223282976542245</v>
      </c>
      <c r="H38" s="135">
        <f t="shared" si="3"/>
        <v>1.3604290331653328</v>
      </c>
      <c r="I38" s="135">
        <f t="shared" si="5"/>
        <v>13.027240954260952</v>
      </c>
      <c r="K38" s="150">
        <v>1.3958507219912519</v>
      </c>
      <c r="L38" s="135">
        <f t="shared" si="6"/>
        <v>0.59322033898305082</v>
      </c>
      <c r="M38" s="135">
        <f t="shared" si="4"/>
        <v>0.23583678601109134</v>
      </c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5"/>
      <c r="AB38" s="135"/>
      <c r="AC38" s="135"/>
      <c r="AD38" s="135"/>
      <c r="AE38" s="135"/>
      <c r="AF38" s="135"/>
      <c r="AG38" s="135"/>
      <c r="AH38" s="135"/>
      <c r="AI38" s="135"/>
      <c r="AJ38" s="135"/>
      <c r="AK38" s="135"/>
    </row>
    <row r="39" spans="1:37" x14ac:dyDescent="0.25">
      <c r="A39" s="135">
        <v>37</v>
      </c>
      <c r="B39" s="140">
        <v>140.15</v>
      </c>
      <c r="C39" s="140">
        <v>-32.299999999999997</v>
      </c>
      <c r="D39" s="140">
        <v>12949</v>
      </c>
      <c r="E39" s="136">
        <f t="shared" si="0"/>
        <v>140.34352291039812</v>
      </c>
      <c r="F39" s="172">
        <f t="shared" si="1"/>
        <v>-0.19352291039811576</v>
      </c>
      <c r="G39" s="138">
        <f t="shared" si="2"/>
        <v>0.13814184481270309</v>
      </c>
      <c r="H39" s="135">
        <f t="shared" si="3"/>
        <v>3.745111684895714E-2</v>
      </c>
      <c r="I39" s="135">
        <f t="shared" si="5"/>
        <v>1.849320452538505</v>
      </c>
      <c r="K39" s="150">
        <v>1.7071455051466558</v>
      </c>
      <c r="L39" s="135">
        <f t="shared" si="6"/>
        <v>0.61016949152542377</v>
      </c>
      <c r="M39" s="135">
        <f t="shared" si="4"/>
        <v>0.27976081477122983</v>
      </c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</row>
    <row r="40" spans="1:37" x14ac:dyDescent="0.25">
      <c r="A40" s="135">
        <v>38</v>
      </c>
      <c r="B40" s="140">
        <v>140.09</v>
      </c>
      <c r="C40" s="140">
        <v>-25.6</v>
      </c>
      <c r="D40" s="140">
        <v>12626</v>
      </c>
      <c r="E40" s="136">
        <f t="shared" si="0"/>
        <v>134.36907552657723</v>
      </c>
      <c r="F40" s="102">
        <f t="shared" si="1"/>
        <v>5.7209244734227696</v>
      </c>
      <c r="G40" s="138">
        <f t="shared" si="2"/>
        <v>4.1128141433664771</v>
      </c>
      <c r="H40" s="135">
        <f t="shared" si="3"/>
        <v>32.728976830607593</v>
      </c>
      <c r="I40" s="135">
        <f t="shared" si="5"/>
        <v>34.980687855985714</v>
      </c>
      <c r="K40" s="150">
        <v>2.4529216300250027</v>
      </c>
      <c r="L40" s="135">
        <f t="shared" si="6"/>
        <v>0.6271186440677966</v>
      </c>
      <c r="M40" s="135">
        <f t="shared" si="4"/>
        <v>0.32423158413730258</v>
      </c>
      <c r="O40" s="135"/>
      <c r="P40" s="135"/>
      <c r="Q40" s="135"/>
      <c r="R40" s="135"/>
      <c r="S40" s="135"/>
      <c r="T40" s="135"/>
      <c r="U40" s="135"/>
      <c r="V40" s="135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</row>
    <row r="41" spans="1:37" x14ac:dyDescent="0.25">
      <c r="A41" s="135">
        <v>39</v>
      </c>
      <c r="B41" s="140">
        <v>139.1</v>
      </c>
      <c r="C41" s="140">
        <v>-24.2</v>
      </c>
      <c r="D41" s="140">
        <v>12426</v>
      </c>
      <c r="E41" s="136">
        <f t="shared" si="0"/>
        <v>133.2999514089181</v>
      </c>
      <c r="F41" s="102">
        <f t="shared" si="1"/>
        <v>5.8000485910818895</v>
      </c>
      <c r="G41" s="138">
        <f t="shared" si="2"/>
        <v>4.2182171571504652</v>
      </c>
      <c r="H41" s="135">
        <f t="shared" si="3"/>
        <v>33.640563658911013</v>
      </c>
      <c r="I41" s="135">
        <f t="shared" si="5"/>
        <v>6.2606259953342618E-3</v>
      </c>
      <c r="K41" s="150">
        <v>2.8970614390765945</v>
      </c>
      <c r="L41" s="135">
        <f t="shared" si="6"/>
        <v>0.64406779661016944</v>
      </c>
      <c r="M41" s="135">
        <f t="shared" si="4"/>
        <v>0.36935329360674291</v>
      </c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  <c r="AA41" s="135"/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</row>
    <row r="42" spans="1:37" x14ac:dyDescent="0.25">
      <c r="A42" s="135">
        <v>40</v>
      </c>
      <c r="B42" s="140">
        <v>137.5</v>
      </c>
      <c r="C42" s="140">
        <v>-23.4</v>
      </c>
      <c r="D42" s="140">
        <v>12344</v>
      </c>
      <c r="E42" s="136">
        <f t="shared" si="0"/>
        <v>132.64534435779456</v>
      </c>
      <c r="F42" s="102">
        <f t="shared" si="1"/>
        <v>4.8546556422054437</v>
      </c>
      <c r="G42" s="138">
        <f t="shared" si="2"/>
        <v>3.5664528667392328</v>
      </c>
      <c r="H42" s="135">
        <f t="shared" si="3"/>
        <v>23.567681404397149</v>
      </c>
      <c r="I42" s="135">
        <f t="shared" si="5"/>
        <v>0.89376782778530217</v>
      </c>
      <c r="K42" s="150">
        <v>2.965998801342792</v>
      </c>
      <c r="L42" s="135">
        <f t="shared" si="6"/>
        <v>0.66101694915254239</v>
      </c>
      <c r="M42" s="135">
        <f t="shared" si="4"/>
        <v>0.4152401608260714</v>
      </c>
      <c r="O42" s="135"/>
      <c r="P42" s="135"/>
      <c r="Q42" s="135"/>
      <c r="R42" s="135"/>
      <c r="S42" s="135"/>
      <c r="T42" s="135"/>
      <c r="U42" s="135"/>
      <c r="V42" s="135"/>
      <c r="W42" s="135"/>
      <c r="X42" s="135"/>
      <c r="Y42" s="135"/>
      <c r="Z42" s="135"/>
      <c r="AA42" s="135"/>
      <c r="AB42" s="135"/>
      <c r="AC42" s="135"/>
      <c r="AD42" s="135"/>
      <c r="AE42" s="135"/>
      <c r="AF42" s="135"/>
      <c r="AG42" s="135"/>
      <c r="AH42" s="135"/>
      <c r="AI42" s="135"/>
      <c r="AJ42" s="135"/>
      <c r="AK42" s="135"/>
    </row>
    <row r="43" spans="1:37" x14ac:dyDescent="0.25">
      <c r="A43" s="135">
        <v>41</v>
      </c>
      <c r="B43" s="140">
        <v>136.12</v>
      </c>
      <c r="C43" s="140">
        <v>-22.7</v>
      </c>
      <c r="D43" s="140">
        <v>12343</v>
      </c>
      <c r="E43" s="136">
        <f t="shared" si="0"/>
        <v>131.97684629969231</v>
      </c>
      <c r="F43" s="102">
        <f t="shared" si="1"/>
        <v>4.1431537003076926</v>
      </c>
      <c r="G43" s="138">
        <f t="shared" si="2"/>
        <v>3.064009540236424</v>
      </c>
      <c r="H43" s="135">
        <f t="shared" si="3"/>
        <v>17.165722584373324</v>
      </c>
      <c r="I43" s="135">
        <f t="shared" si="5"/>
        <v>0.50623501332427079</v>
      </c>
      <c r="K43" s="150">
        <v>3.272117652526191</v>
      </c>
      <c r="L43" s="135">
        <f t="shared" si="6"/>
        <v>0.67796610169491522</v>
      </c>
      <c r="M43" s="135">
        <f t="shared" si="4"/>
        <v>0.46201885864912062</v>
      </c>
      <c r="O43" s="135"/>
      <c r="P43" s="135" t="s">
        <v>634</v>
      </c>
      <c r="Q43" s="135"/>
      <c r="R43" s="135"/>
      <c r="S43" s="135"/>
      <c r="T43" s="135"/>
      <c r="U43" s="135"/>
      <c r="V43" s="135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</row>
    <row r="44" spans="1:37" x14ac:dyDescent="0.25">
      <c r="A44" s="135">
        <v>42</v>
      </c>
      <c r="B44" s="140">
        <v>135.22</v>
      </c>
      <c r="C44" s="140">
        <v>-23.6</v>
      </c>
      <c r="D44" s="140">
        <v>13001</v>
      </c>
      <c r="E44" s="136">
        <f t="shared" si="0"/>
        <v>131.94788234747381</v>
      </c>
      <c r="F44" s="102">
        <f t="shared" si="1"/>
        <v>3.272117652526191</v>
      </c>
      <c r="G44" s="138">
        <f t="shared" si="2"/>
        <v>2.4286481500231512</v>
      </c>
      <c r="H44" s="135">
        <f t="shared" si="3"/>
        <v>10.706753931973511</v>
      </c>
      <c r="I44" s="135">
        <f t="shared" si="5"/>
        <v>0.75870379653481823</v>
      </c>
      <c r="K44" s="150">
        <v>3.523794006892075</v>
      </c>
      <c r="L44" s="135">
        <f t="shared" si="6"/>
        <v>0.69491525423728817</v>
      </c>
      <c r="M44" s="135">
        <f t="shared" si="4"/>
        <v>0.50983153383249047</v>
      </c>
      <c r="O44" s="135"/>
      <c r="P44" s="135"/>
      <c r="Q44" s="135"/>
      <c r="R44" s="135"/>
      <c r="S44" s="135"/>
      <c r="T44" s="135"/>
      <c r="U44" s="135"/>
      <c r="V44" s="135"/>
      <c r="W44" s="135"/>
      <c r="X44" s="135"/>
      <c r="Y44" s="135"/>
      <c r="Z44" s="135"/>
      <c r="AA44" s="135"/>
      <c r="AB44" s="135"/>
      <c r="AC44" s="135"/>
      <c r="AD44" s="135"/>
      <c r="AE44" s="135"/>
      <c r="AF44" s="135"/>
      <c r="AG44" s="135"/>
      <c r="AH44" s="135"/>
      <c r="AI44" s="135"/>
      <c r="AJ44" s="135"/>
      <c r="AK44" s="135"/>
    </row>
    <row r="45" spans="1:37" x14ac:dyDescent="0.25">
      <c r="A45" s="135">
        <v>43</v>
      </c>
      <c r="B45" s="140">
        <v>134.72999999999999</v>
      </c>
      <c r="C45" s="140">
        <v>-24.1</v>
      </c>
      <c r="D45" s="140">
        <v>12329.99</v>
      </c>
      <c r="E45" s="136">
        <f t="shared" si="0"/>
        <v>133.33414927800874</v>
      </c>
      <c r="F45" s="102">
        <f t="shared" si="1"/>
        <v>1.3958507219912519</v>
      </c>
      <c r="G45" s="138">
        <f t="shared" si="2"/>
        <v>1.0386566872470064</v>
      </c>
      <c r="H45" s="135">
        <f t="shared" si="3"/>
        <v>1.9483992380834994</v>
      </c>
      <c r="I45" s="135">
        <f t="shared" si="5"/>
        <v>3.5203775946190019</v>
      </c>
      <c r="K45" s="150">
        <v>4.1431537003076926</v>
      </c>
      <c r="L45" s="135">
        <f t="shared" si="6"/>
        <v>0.71186440677966101</v>
      </c>
      <c r="M45" s="135">
        <f t="shared" si="4"/>
        <v>0.55883961079677569</v>
      </c>
      <c r="O45" s="135"/>
      <c r="P45" s="137">
        <f t="array" ref="P45:Q49">LINEST(F5:F61,F4:F60,1,1)</f>
        <v>0.66110641078310928</v>
      </c>
      <c r="Q45" s="137">
        <v>-1.3741576579890839E-2</v>
      </c>
      <c r="R45" s="135"/>
      <c r="S45" s="135"/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  <c r="AE45" s="135"/>
      <c r="AF45" s="135"/>
      <c r="AG45" s="135"/>
      <c r="AH45" s="135"/>
      <c r="AI45" s="135"/>
      <c r="AJ45" s="135"/>
      <c r="AK45" s="135"/>
    </row>
    <row r="46" spans="1:37" x14ac:dyDescent="0.25">
      <c r="A46" s="135">
        <v>44</v>
      </c>
      <c r="B46" s="140">
        <v>134.38999999999999</v>
      </c>
      <c r="C46" s="140">
        <v>-24.1</v>
      </c>
      <c r="D46" s="140">
        <v>12054</v>
      </c>
      <c r="E46" s="136">
        <f t="shared" si="0"/>
        <v>133.70753308042561</v>
      </c>
      <c r="F46" s="102">
        <f t="shared" si="1"/>
        <v>0.68246691957438088</v>
      </c>
      <c r="G46" s="138">
        <f t="shared" si="2"/>
        <v>0.5073726262540933</v>
      </c>
      <c r="H46" s="135">
        <f t="shared" si="3"/>
        <v>0.46576109631334445</v>
      </c>
      <c r="I46" s="135">
        <f t="shared" si="5"/>
        <v>0.50891644955075332</v>
      </c>
      <c r="K46" s="150">
        <v>4.3858601482526893</v>
      </c>
      <c r="L46" s="135">
        <f t="shared" si="6"/>
        <v>0.72881355932203384</v>
      </c>
      <c r="M46" s="135">
        <f t="shared" si="4"/>
        <v>0.60922866701399803</v>
      </c>
      <c r="O46" s="135"/>
      <c r="P46" s="137">
        <v>0.10113565761648879</v>
      </c>
      <c r="Q46" s="137">
        <v>0.5675549047838091</v>
      </c>
      <c r="R46" s="135"/>
      <c r="S46" s="135"/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</row>
    <row r="47" spans="1:37" x14ac:dyDescent="0.25">
      <c r="A47" s="135">
        <v>45</v>
      </c>
      <c r="B47" s="140">
        <v>134.51</v>
      </c>
      <c r="C47" s="140">
        <v>-25.3</v>
      </c>
      <c r="D47" s="140">
        <v>12242</v>
      </c>
      <c r="E47" s="136">
        <f t="shared" si="0"/>
        <v>134.6015058798107</v>
      </c>
      <c r="F47" s="172">
        <f t="shared" si="1"/>
        <v>-9.1505879810711122E-2</v>
      </c>
      <c r="G47" s="138">
        <f t="shared" si="2"/>
        <v>6.8054350595501342E-2</v>
      </c>
      <c r="H47" s="135">
        <f t="shared" si="3"/>
        <v>8.3733260399323096E-3</v>
      </c>
      <c r="I47" s="135">
        <f t="shared" si="5"/>
        <v>0.59903389418799591</v>
      </c>
      <c r="K47" s="150">
        <v>4.7757012501475629</v>
      </c>
      <c r="L47" s="135">
        <f t="shared" si="6"/>
        <v>0.74576271186440679</v>
      </c>
      <c r="M47" s="135">
        <f t="shared" si="4"/>
        <v>0.66121479220131485</v>
      </c>
      <c r="O47" s="135"/>
      <c r="P47" s="137">
        <v>0.43722570956507606</v>
      </c>
      <c r="Q47" s="137">
        <v>4.2849453789168814</v>
      </c>
      <c r="R47" s="135"/>
      <c r="S47" s="135"/>
      <c r="T47" s="135"/>
      <c r="U47" s="135"/>
      <c r="V47" s="135"/>
      <c r="W47" s="135"/>
      <c r="X47" s="135"/>
      <c r="Y47" s="135"/>
      <c r="Z47" s="135"/>
      <c r="AA47" s="135"/>
      <c r="AB47" s="135"/>
      <c r="AC47" s="135"/>
      <c r="AD47" s="135"/>
      <c r="AE47" s="135"/>
      <c r="AF47" s="135"/>
      <c r="AG47" s="135"/>
      <c r="AH47" s="135"/>
      <c r="AI47" s="135"/>
      <c r="AJ47" s="135"/>
      <c r="AK47" s="135"/>
    </row>
    <row r="48" spans="1:37" x14ac:dyDescent="0.25">
      <c r="A48" s="135">
        <v>46</v>
      </c>
      <c r="B48" s="140">
        <v>134.46</v>
      </c>
      <c r="C48" s="140">
        <v>-26.4</v>
      </c>
      <c r="D48" s="140">
        <v>12548</v>
      </c>
      <c r="E48" s="136">
        <f t="shared" si="0"/>
        <v>135.24014479874756</v>
      </c>
      <c r="F48" s="172">
        <f t="shared" si="1"/>
        <v>-0.78014479874755693</v>
      </c>
      <c r="G48" s="138">
        <f t="shared" si="2"/>
        <v>0.58102688519219248</v>
      </c>
      <c r="H48" s="135">
        <f t="shared" si="3"/>
        <v>0.60862590701286612</v>
      </c>
      <c r="I48" s="135">
        <f t="shared" si="5"/>
        <v>0.47422356067450772</v>
      </c>
      <c r="K48" s="150">
        <v>4.8546556422054437</v>
      </c>
      <c r="L48" s="135">
        <f t="shared" si="6"/>
        <v>0.76271186440677963</v>
      </c>
      <c r="M48" s="135">
        <f t="shared" si="4"/>
        <v>0.71505303754992222</v>
      </c>
      <c r="O48" s="135"/>
      <c r="P48" s="137">
        <v>42.730121888643545</v>
      </c>
      <c r="Q48" s="137">
        <v>55</v>
      </c>
      <c r="R48" s="135"/>
      <c r="S48" s="135"/>
      <c r="T48" s="135"/>
      <c r="U48" s="135"/>
      <c r="V48" s="135"/>
      <c r="W48" s="135"/>
      <c r="X48" s="135"/>
      <c r="Y48" s="135"/>
      <c r="Z48" s="135"/>
      <c r="AA48" s="135"/>
      <c r="AB48" s="135"/>
      <c r="AC48" s="135"/>
      <c r="AD48" s="135"/>
      <c r="AE48" s="135"/>
      <c r="AF48" s="135"/>
      <c r="AG48" s="135"/>
      <c r="AH48" s="135"/>
      <c r="AI48" s="135"/>
      <c r="AJ48" s="135"/>
      <c r="AK48" s="135"/>
    </row>
    <row r="49" spans="1:37" x14ac:dyDescent="0.25">
      <c r="A49" s="135">
        <v>47</v>
      </c>
      <c r="B49" s="140">
        <v>134.27000000000001</v>
      </c>
      <c r="C49" s="140">
        <v>-27.8</v>
      </c>
      <c r="D49" s="140">
        <v>13012</v>
      </c>
      <c r="E49" s="136">
        <f t="shared" si="0"/>
        <v>135.95210625167951</v>
      </c>
      <c r="F49" s="172">
        <f t="shared" si="1"/>
        <v>-1.6821062516794996</v>
      </c>
      <c r="G49" s="138">
        <f t="shared" si="2"/>
        <v>1.2578376218346665</v>
      </c>
      <c r="H49" s="135">
        <f t="shared" si="3"/>
        <v>2.8294814419392558</v>
      </c>
      <c r="I49" s="135">
        <f t="shared" si="5"/>
        <v>0.81353446257510098</v>
      </c>
      <c r="K49" s="150">
        <v>5.670819986281245</v>
      </c>
      <c r="L49" s="135">
        <f t="shared" si="6"/>
        <v>0.77966101694915257</v>
      </c>
      <c r="M49" s="135">
        <f t="shared" si="4"/>
        <v>0.77104886863964417</v>
      </c>
      <c r="O49" s="135"/>
      <c r="P49" s="137">
        <v>784.55738031762053</v>
      </c>
      <c r="Q49" s="137">
        <v>1009.8416295165623</v>
      </c>
      <c r="R49" s="135"/>
      <c r="S49" s="135"/>
      <c r="T49" s="135"/>
      <c r="U49" s="135"/>
      <c r="V49" s="135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</row>
    <row r="50" spans="1:37" x14ac:dyDescent="0.25">
      <c r="A50" s="135">
        <v>48</v>
      </c>
      <c r="B50" s="140">
        <v>133.72999999999999</v>
      </c>
      <c r="C50" s="140">
        <v>-29.2</v>
      </c>
      <c r="D50" s="140">
        <v>12856</v>
      </c>
      <c r="E50" s="136">
        <f t="shared" si="0"/>
        <v>137.50285881116767</v>
      </c>
      <c r="F50" s="172">
        <f t="shared" si="1"/>
        <v>-3.77285881116768</v>
      </c>
      <c r="G50" s="138">
        <f t="shared" si="2"/>
        <v>2.8580098561985308</v>
      </c>
      <c r="H50" s="135">
        <f t="shared" si="3"/>
        <v>14.2344636090056</v>
      </c>
      <c r="I50" s="135">
        <f t="shared" si="5"/>
        <v>4.371246265006377</v>
      </c>
      <c r="K50" s="150">
        <v>5.7209244734227696</v>
      </c>
      <c r="L50" s="135">
        <f t="shared" si="6"/>
        <v>0.79661016949152541</v>
      </c>
      <c r="M50" s="135">
        <f t="shared" si="4"/>
        <v>0.82957403698182763</v>
      </c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  <c r="AA50" s="135"/>
      <c r="AB50" s="135"/>
      <c r="AC50" s="135"/>
      <c r="AD50" s="135"/>
      <c r="AE50" s="135"/>
      <c r="AF50" s="135"/>
      <c r="AG50" s="135"/>
      <c r="AH50" s="135"/>
      <c r="AI50" s="135"/>
      <c r="AJ50" s="135"/>
      <c r="AK50" s="135"/>
    </row>
    <row r="51" spans="1:37" x14ac:dyDescent="0.25">
      <c r="A51" s="135">
        <v>49</v>
      </c>
      <c r="B51" s="140">
        <v>132.01</v>
      </c>
      <c r="C51" s="140">
        <v>-30.4</v>
      </c>
      <c r="D51" s="140">
        <v>12583</v>
      </c>
      <c r="E51" s="136">
        <f t="shared" si="0"/>
        <v>139.02051338494377</v>
      </c>
      <c r="F51" s="172">
        <f t="shared" si="1"/>
        <v>-7.0105133849437777</v>
      </c>
      <c r="G51" s="138">
        <f t="shared" si="2"/>
        <v>5.3683386055163318</v>
      </c>
      <c r="H51" s="135">
        <f t="shared" si="3"/>
        <v>49.147297920475864</v>
      </c>
      <c r="I51" s="135">
        <f t="shared" si="5"/>
        <v>10.482407139093285</v>
      </c>
      <c r="K51" s="150">
        <v>5.8000485910818895</v>
      </c>
      <c r="L51" s="135">
        <f t="shared" si="6"/>
        <v>0.81355932203389836</v>
      </c>
      <c r="M51" s="135">
        <f t="shared" si="4"/>
        <v>0.89108913003410994</v>
      </c>
    </row>
    <row r="52" spans="1:37" x14ac:dyDescent="0.25">
      <c r="A52" s="135">
        <v>50</v>
      </c>
      <c r="B52" s="140">
        <v>130.59</v>
      </c>
      <c r="C52" s="140">
        <v>-28.5</v>
      </c>
      <c r="D52" s="140">
        <v>12486</v>
      </c>
      <c r="E52" s="136">
        <f t="shared" si="0"/>
        <v>137.33357675035452</v>
      </c>
      <c r="F52" s="172">
        <f t="shared" si="1"/>
        <v>-6.7435767503545208</v>
      </c>
      <c r="G52" s="138">
        <f t="shared" si="2"/>
        <v>5.1762179539104398</v>
      </c>
      <c r="H52" s="135">
        <f t="shared" si="3"/>
        <v>45.475827387922038</v>
      </c>
      <c r="I52" s="135">
        <f t="shared" si="5"/>
        <v>7.1255166885838508E-2</v>
      </c>
      <c r="K52" s="150">
        <v>6.6276802410614266</v>
      </c>
      <c r="L52" s="135">
        <f t="shared" si="6"/>
        <v>0.83050847457627119</v>
      </c>
      <c r="M52" s="135">
        <f t="shared" si="4"/>
        <v>0.95617653892006238</v>
      </c>
    </row>
    <row r="53" spans="1:37" x14ac:dyDescent="0.25">
      <c r="A53" s="135">
        <v>51</v>
      </c>
      <c r="B53" s="140">
        <v>130.28</v>
      </c>
      <c r="C53" s="140">
        <v>-27.2</v>
      </c>
      <c r="D53" s="140">
        <v>12725</v>
      </c>
      <c r="E53" s="136">
        <f t="shared" si="0"/>
        <v>135.76622740612461</v>
      </c>
      <c r="F53" s="172">
        <f t="shared" si="1"/>
        <v>-5.4862274061246126</v>
      </c>
      <c r="G53" s="138">
        <f t="shared" si="2"/>
        <v>4.2476210948626605</v>
      </c>
      <c r="H53" s="135">
        <f t="shared" si="3"/>
        <v>30.098691151712796</v>
      </c>
      <c r="I53" s="135">
        <f t="shared" si="5"/>
        <v>1.5809273734353801</v>
      </c>
      <c r="K53" s="150">
        <v>6.7702208819069938</v>
      </c>
      <c r="L53" s="135">
        <f t="shared" si="6"/>
        <v>0.84745762711864403</v>
      </c>
      <c r="M53" s="135">
        <f t="shared" si="4"/>
        <v>1.0255902911278738</v>
      </c>
    </row>
    <row r="54" spans="1:37" x14ac:dyDescent="0.25">
      <c r="A54" s="135">
        <v>52</v>
      </c>
      <c r="B54" s="140">
        <v>129.16</v>
      </c>
      <c r="C54" s="140">
        <v>-25.8</v>
      </c>
      <c r="D54" s="140">
        <v>12998</v>
      </c>
      <c r="E54" s="136">
        <f t="shared" si="0"/>
        <v>134.05718684749601</v>
      </c>
      <c r="F54" s="172">
        <f t="shared" si="1"/>
        <v>-4.8971868474960161</v>
      </c>
      <c r="G54" s="138">
        <f t="shared" si="2"/>
        <v>3.79803540212193</v>
      </c>
      <c r="H54" s="135">
        <f t="shared" si="3"/>
        <v>23.98243901928797</v>
      </c>
      <c r="I54" s="135">
        <f t="shared" si="5"/>
        <v>0.34696877970948903</v>
      </c>
      <c r="K54" s="150">
        <v>6.8837872821824106</v>
      </c>
      <c r="L54" s="135">
        <f t="shared" si="6"/>
        <v>0.86440677966101698</v>
      </c>
      <c r="M54" s="135">
        <f t="shared" si="4"/>
        <v>1.1003344194590818</v>
      </c>
    </row>
    <row r="55" spans="1:37" x14ac:dyDescent="0.25">
      <c r="A55" s="135">
        <v>53</v>
      </c>
      <c r="B55" s="140">
        <v>128.94</v>
      </c>
      <c r="C55" s="140">
        <v>-22.1</v>
      </c>
      <c r="D55" s="140">
        <v>12764</v>
      </c>
      <c r="E55" s="136">
        <f t="shared" si="0"/>
        <v>130.83312212600549</v>
      </c>
      <c r="F55" s="172">
        <f t="shared" si="1"/>
        <v>-1.893122126005494</v>
      </c>
      <c r="G55" s="138">
        <f t="shared" si="2"/>
        <v>1.4641315746368861</v>
      </c>
      <c r="H55" s="135">
        <f t="shared" si="3"/>
        <v>3.5839113839715617</v>
      </c>
      <c r="I55" s="135">
        <f t="shared" si="5"/>
        <v>9.0244048509039274</v>
      </c>
      <c r="K55" s="150">
        <v>6.9266388086159623</v>
      </c>
      <c r="L55" s="135">
        <f t="shared" si="6"/>
        <v>0.88135593220338981</v>
      </c>
      <c r="M55" s="135">
        <f t="shared" si="4"/>
        <v>1.1817922703491182</v>
      </c>
    </row>
    <row r="56" spans="1:37" x14ac:dyDescent="0.25">
      <c r="A56" s="135">
        <v>54</v>
      </c>
      <c r="B56" s="140">
        <v>129.30000000000001</v>
      </c>
      <c r="C56" s="140">
        <v>-20.9</v>
      </c>
      <c r="D56" s="140">
        <v>12433</v>
      </c>
      <c r="E56" s="136">
        <f t="shared" si="0"/>
        <v>130.13261243668092</v>
      </c>
      <c r="F56" s="172">
        <f t="shared" si="1"/>
        <v>-0.83261243668090401</v>
      </c>
      <c r="G56" s="138">
        <f t="shared" si="2"/>
        <v>0.63451641265119951</v>
      </c>
      <c r="H56" s="135">
        <f t="shared" si="3"/>
        <v>0.69324346971571238</v>
      </c>
      <c r="I56" s="135">
        <f t="shared" si="5"/>
        <v>1.1246808011513385</v>
      </c>
      <c r="K56" s="150">
        <v>7.4748514397568044</v>
      </c>
      <c r="L56" s="135">
        <f t="shared" si="6"/>
        <v>0.89830508474576276</v>
      </c>
      <c r="M56" s="135">
        <f t="shared" si="4"/>
        <v>1.2719529676842083</v>
      </c>
    </row>
    <row r="57" spans="1:37" x14ac:dyDescent="0.25">
      <c r="A57" s="135">
        <v>55</v>
      </c>
      <c r="B57" s="140">
        <v>131.22</v>
      </c>
      <c r="C57" s="140">
        <v>-18.899999999999999</v>
      </c>
      <c r="D57" s="140">
        <v>12355.99</v>
      </c>
      <c r="E57" s="136">
        <f t="shared" si="0"/>
        <v>128.3229385609234</v>
      </c>
      <c r="F57" s="102">
        <f t="shared" si="1"/>
        <v>2.8970614390765945</v>
      </c>
      <c r="G57" s="138">
        <f t="shared" si="2"/>
        <v>2.1861314813436419</v>
      </c>
      <c r="H57" s="135">
        <f t="shared" si="3"/>
        <v>8.392964981784548</v>
      </c>
      <c r="I57" s="135">
        <f t="shared" si="5"/>
        <v>13.910467219507961</v>
      </c>
      <c r="K57" s="150">
        <v>7.5599968752289186</v>
      </c>
      <c r="L57" s="135">
        <f t="shared" si="6"/>
        <v>0.9152542372881356</v>
      </c>
      <c r="M57" s="135">
        <f t="shared" si="4"/>
        <v>1.3738394673770855</v>
      </c>
    </row>
    <row r="58" spans="1:37" x14ac:dyDescent="0.25">
      <c r="A58" s="135">
        <v>56</v>
      </c>
      <c r="B58" s="140">
        <v>132.52000000000001</v>
      </c>
      <c r="C58" s="140">
        <v>-19.399999999999999</v>
      </c>
      <c r="D58" s="140">
        <v>12212</v>
      </c>
      <c r="E58" s="136">
        <f t="shared" si="0"/>
        <v>128.99620599310794</v>
      </c>
      <c r="F58" s="102">
        <f t="shared" si="1"/>
        <v>3.523794006892075</v>
      </c>
      <c r="G58" s="138">
        <f t="shared" si="2"/>
        <v>2.6248000051337614</v>
      </c>
      <c r="H58" s="135">
        <f t="shared" si="3"/>
        <v>12.417124203008505</v>
      </c>
      <c r="I58" s="135">
        <f t="shared" si="5"/>
        <v>0.39279371156058585</v>
      </c>
      <c r="K58" s="150">
        <v>7.9669981192615751</v>
      </c>
      <c r="L58" s="135">
        <f t="shared" si="6"/>
        <v>0.93220338983050843</v>
      </c>
      <c r="M58" s="135">
        <f t="shared" si="4"/>
        <v>1.4924041783203592</v>
      </c>
    </row>
    <row r="59" spans="1:37" x14ac:dyDescent="0.25">
      <c r="A59" s="135">
        <v>57</v>
      </c>
      <c r="B59" s="140">
        <v>134.25</v>
      </c>
      <c r="C59" s="140">
        <v>-18.100000000000001</v>
      </c>
      <c r="D59" s="140">
        <v>12308</v>
      </c>
      <c r="E59" s="136">
        <f t="shared" si="0"/>
        <v>127.62231975893857</v>
      </c>
      <c r="F59" s="102">
        <f t="shared" si="1"/>
        <v>6.6276802410614266</v>
      </c>
      <c r="G59" s="138">
        <f t="shared" si="2"/>
        <v>4.8711452602244787</v>
      </c>
      <c r="H59" s="135">
        <f t="shared" si="3"/>
        <v>43.92614537775605</v>
      </c>
      <c r="I59" s="135">
        <f t="shared" si="5"/>
        <v>9.6341097546659995</v>
      </c>
      <c r="K59" s="150">
        <v>8.7454011408377568</v>
      </c>
      <c r="L59" s="135">
        <f t="shared" si="6"/>
        <v>0.94915254237288138</v>
      </c>
      <c r="M59" s="135">
        <f t="shared" si="4"/>
        <v>1.6366916466733989</v>
      </c>
    </row>
    <row r="60" spans="1:37" x14ac:dyDescent="0.25">
      <c r="A60" s="135">
        <v>58</v>
      </c>
      <c r="B60" s="140">
        <v>136.06</v>
      </c>
      <c r="C60" s="140">
        <v>-17.899999999999999</v>
      </c>
      <c r="D60" s="140">
        <v>12393.99</v>
      </c>
      <c r="E60" s="136">
        <f t="shared" si="0"/>
        <v>127.31459885916225</v>
      </c>
      <c r="F60" s="102">
        <f>B60-E60</f>
        <v>8.7454011408377568</v>
      </c>
      <c r="G60" s="138">
        <f t="shared" si="2"/>
        <v>0.12470039969083356</v>
      </c>
      <c r="H60" s="135">
        <f t="shared" si="3"/>
        <v>76.482041114166336</v>
      </c>
      <c r="I60" s="135">
        <f>(F60-F59)^2</f>
        <v>4.4847418093494698</v>
      </c>
      <c r="K60" s="150">
        <v>9.0916581125670461</v>
      </c>
      <c r="L60" s="135">
        <f t="shared" si="6"/>
        <v>0.96610169491525422</v>
      </c>
      <c r="M60" s="135">
        <f t="shared" si="4"/>
        <v>1.8263562979439059</v>
      </c>
    </row>
    <row r="61" spans="1:37" x14ac:dyDescent="0.25">
      <c r="A61" t="s">
        <v>76</v>
      </c>
      <c r="B61" s="150">
        <f>SUM(B3:B60)</f>
        <v>7013.130000000001</v>
      </c>
      <c r="C61" s="150">
        <f t="shared" ref="C61:I61" si="7">SUM(C3:C60)</f>
        <v>-829.99999999999989</v>
      </c>
      <c r="D61" s="150">
        <f t="shared" si="7"/>
        <v>845900.97</v>
      </c>
      <c r="E61" s="150">
        <f t="shared" si="7"/>
        <v>7013.1300000000019</v>
      </c>
      <c r="F61" s="150">
        <f>SUM(F3:F60)</f>
        <v>-5.1159076974727213E-13</v>
      </c>
      <c r="G61" s="150">
        <f t="shared" si="7"/>
        <v>219.88142454141314</v>
      </c>
      <c r="H61" s="150">
        <f t="shared" si="7"/>
        <v>1795.0814191825198</v>
      </c>
      <c r="I61" s="150">
        <f t="shared" si="7"/>
        <v>1140.3598523839617</v>
      </c>
      <c r="K61" s="150">
        <v>10.031821910907766</v>
      </c>
      <c r="L61" s="135">
        <f t="shared" si="6"/>
        <v>0.98305084745762716</v>
      </c>
      <c r="M61" s="135">
        <f t="shared" si="4"/>
        <v>2.1212793024540031</v>
      </c>
    </row>
    <row r="62" spans="1:37" x14ac:dyDescent="0.25">
      <c r="A62" t="s">
        <v>77</v>
      </c>
      <c r="B62" s="150">
        <f>AVERAGE(B3:B60)</f>
        <v>120.91603448275863</v>
      </c>
      <c r="C62" s="150">
        <f t="shared" ref="C62:I62" si="8">AVERAGE(C3:C60)</f>
        <v>-14.310344827586205</v>
      </c>
      <c r="D62" s="150">
        <f t="shared" si="8"/>
        <v>14584.49948275862</v>
      </c>
      <c r="E62" s="150">
        <f t="shared" si="8"/>
        <v>120.91603448275865</v>
      </c>
      <c r="F62" s="150">
        <f t="shared" si="8"/>
        <v>-8.8205305128840026E-15</v>
      </c>
      <c r="G62" s="150">
        <f t="shared" si="8"/>
        <v>3.7910590438174681</v>
      </c>
      <c r="H62" s="150">
        <f t="shared" si="8"/>
        <v>30.949679641077928</v>
      </c>
      <c r="I62" s="150">
        <f t="shared" si="8"/>
        <v>20.006313199718626</v>
      </c>
    </row>
  </sheetData>
  <sortState ref="K4:K61">
    <sortCondition ref="K4:K61"/>
  </sortState>
  <mergeCells count="1">
    <mergeCell ref="K2:M2"/>
  </mergeCells>
  <hyperlinks>
    <hyperlink ref="S23" location="'Y от Х5 и Х6'!F62" display="2) Значение ячейки E63=0, т.е. средняя величина остатков равна 0 и не зависит от Xi."/>
    <hyperlink ref="S26" location="'Y от Х5 и Х6'!Y27:AF46" display="5)Нанесенные на график проверки распределения на нормальность точки укладываются вдоль линии тренда,"/>
    <hyperlink ref="S25" location="'Y от Х5 и Х6'!T20" display="4) Коэффициент корреляции rɛiɛj  существенно отличен от 0, что говорит о наличии автокорреляции остатков."/>
    <hyperlink ref="S24" location="'Y от Х5 и Х6'!O28:X46" display="3) Наличие гомоскедастичности можно видеть на графике зависимости остатков ɛi от теоретических значений Ŷₓ. "/>
    <hyperlink ref="S22" location="'Y от Х5 и Х6'!O28:X46" display="1) Из графика зависимости случайных остатков ɛi от теоретического Ŷₓ видно, что остаткиимеют случайный характер.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6"/>
  <sheetViews>
    <sheetView zoomScaleNormal="100" workbookViewId="0">
      <selection activeCell="M6" sqref="M6"/>
    </sheetView>
  </sheetViews>
  <sheetFormatPr defaultRowHeight="15" x14ac:dyDescent="0.25"/>
  <cols>
    <col min="3" max="3" width="13.42578125" customWidth="1"/>
    <col min="10" max="10" width="14.28515625" customWidth="1"/>
    <col min="11" max="11" width="12.85546875" customWidth="1"/>
    <col min="12" max="12" width="15.140625" customWidth="1"/>
  </cols>
  <sheetData>
    <row r="1" spans="1:34" x14ac:dyDescent="0.25">
      <c r="A1" s="114"/>
      <c r="B1" s="119">
        <v>1</v>
      </c>
      <c r="C1" s="119">
        <v>2</v>
      </c>
      <c r="D1" s="119">
        <v>3</v>
      </c>
      <c r="E1" s="119">
        <v>4</v>
      </c>
      <c r="F1" s="119">
        <v>5</v>
      </c>
      <c r="G1" s="119">
        <v>6</v>
      </c>
      <c r="H1" s="119">
        <v>7</v>
      </c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</row>
    <row r="2" spans="1:34" ht="18" x14ac:dyDescent="0.25">
      <c r="A2" s="114"/>
      <c r="B2" s="117" t="s">
        <v>48</v>
      </c>
      <c r="C2" s="117" t="s">
        <v>812</v>
      </c>
      <c r="D2" s="67" t="s">
        <v>646</v>
      </c>
      <c r="E2" s="67" t="s">
        <v>576</v>
      </c>
      <c r="F2" s="117" t="s">
        <v>620</v>
      </c>
      <c r="G2" s="111" t="s">
        <v>653</v>
      </c>
      <c r="H2" s="111" t="s">
        <v>652</v>
      </c>
      <c r="I2" s="111"/>
      <c r="J2" s="207" t="s">
        <v>604</v>
      </c>
      <c r="K2" s="207"/>
      <c r="L2" s="207"/>
      <c r="M2" s="120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</row>
    <row r="3" spans="1:34" ht="75" x14ac:dyDescent="0.25">
      <c r="A3" s="114">
        <v>1</v>
      </c>
      <c r="B3" s="118">
        <v>102.32</v>
      </c>
      <c r="C3" s="118">
        <v>21675</v>
      </c>
      <c r="D3" s="115">
        <f t="shared" ref="D3:D34" si="0">$N$21*C3+$O$21</f>
        <v>95.719582160445484</v>
      </c>
      <c r="E3" s="110">
        <f>B3-D3</f>
        <v>6.6004178395545097</v>
      </c>
      <c r="F3" s="115">
        <f>ABS(E3/B3)*100</f>
        <v>6.4507602028484268</v>
      </c>
      <c r="G3" s="115">
        <f>E3*E3</f>
        <v>43.565515656709422</v>
      </c>
      <c r="H3" s="108">
        <f>(E4-E3)</f>
        <v>5.3463327307866848E-2</v>
      </c>
      <c r="I3" s="121"/>
      <c r="J3" s="132" t="s">
        <v>632</v>
      </c>
      <c r="K3" s="124" t="s">
        <v>608</v>
      </c>
      <c r="L3" s="124" t="s">
        <v>609</v>
      </c>
      <c r="M3" s="12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</row>
    <row r="4" spans="1:34" ht="18" x14ac:dyDescent="0.35">
      <c r="A4" s="114">
        <v>2</v>
      </c>
      <c r="B4" s="118">
        <v>102.21</v>
      </c>
      <c r="C4" s="118">
        <v>21721</v>
      </c>
      <c r="D4" s="115">
        <f t="shared" si="0"/>
        <v>95.556118833137617</v>
      </c>
      <c r="E4" s="110">
        <f t="shared" ref="E4:E60" si="1">B4-D4</f>
        <v>6.6538811668623765</v>
      </c>
      <c r="F4" s="115">
        <f t="shared" ref="F4:F60" si="2">ABS(E4/B4)*100</f>
        <v>6.5100099470329491</v>
      </c>
      <c r="G4" s="114">
        <f t="shared" ref="G4:G60" si="3">E4*E4</f>
        <v>44.274134582725821</v>
      </c>
      <c r="H4" s="121">
        <f t="shared" ref="H4:H59" si="4">(E5-E4)</f>
        <v>-4.3000465100044494</v>
      </c>
      <c r="I4" s="121"/>
      <c r="J4" s="113">
        <v>-18.436214489648378</v>
      </c>
      <c r="K4" s="114">
        <f>A3/59</f>
        <v>1.6949152542372881E-2</v>
      </c>
      <c r="L4" s="114">
        <f t="shared" ref="L4:L61" si="5">_xlfn.NORM.S.INV(K4)</f>
        <v>-2.1212793024540013</v>
      </c>
      <c r="M4" s="114"/>
      <c r="N4" s="114" t="s">
        <v>610</v>
      </c>
      <c r="O4" s="114">
        <f>N24</f>
        <v>63.29007474855996</v>
      </c>
      <c r="P4" s="120" t="s">
        <v>580</v>
      </c>
      <c r="Q4" s="114" t="s">
        <v>611</v>
      </c>
      <c r="R4" s="114">
        <f>_xlfn.F.INV.RT(0.05,1,56)</f>
        <v>4.0129733776501437</v>
      </c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</row>
    <row r="5" spans="1:34" ht="18" x14ac:dyDescent="0.35">
      <c r="A5" s="114">
        <v>3</v>
      </c>
      <c r="B5" s="118">
        <v>102.16</v>
      </c>
      <c r="C5" s="118">
        <v>20525</v>
      </c>
      <c r="D5" s="115">
        <f t="shared" si="0"/>
        <v>99.806165343142069</v>
      </c>
      <c r="E5" s="110">
        <f t="shared" si="1"/>
        <v>2.3538346568579271</v>
      </c>
      <c r="F5" s="115">
        <f t="shared" si="2"/>
        <v>2.3040668136823874</v>
      </c>
      <c r="G5" s="114">
        <f t="shared" si="3"/>
        <v>5.5405375918254753</v>
      </c>
      <c r="H5" s="121">
        <f t="shared" si="4"/>
        <v>-1.1376367733455623</v>
      </c>
      <c r="I5" s="121"/>
      <c r="J5" s="113">
        <v>-18.291319257324375</v>
      </c>
      <c r="K5" s="114">
        <f t="shared" ref="K5:K61" si="6">A4/59</f>
        <v>3.3898305084745763E-2</v>
      </c>
      <c r="L5" s="114">
        <f t="shared" si="5"/>
        <v>-1.8263562979439061</v>
      </c>
      <c r="M5" s="114"/>
      <c r="N5" s="114" t="s">
        <v>612</v>
      </c>
      <c r="O5" s="114">
        <f>O21/O22</f>
        <v>26.088416999020065</v>
      </c>
      <c r="P5" s="120" t="s">
        <v>580</v>
      </c>
      <c r="Q5" s="114" t="s">
        <v>614</v>
      </c>
      <c r="R5" s="114">
        <f>_xlfn.T.INV.2T(0.05,56)</f>
        <v>2.0032407188478727</v>
      </c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  <c r="AG5" s="114"/>
      <c r="AH5" s="114"/>
    </row>
    <row r="6" spans="1:34" ht="18" x14ac:dyDescent="0.35">
      <c r="A6" s="114">
        <v>4</v>
      </c>
      <c r="B6" s="118">
        <v>102.06</v>
      </c>
      <c r="C6" s="118">
        <v>20233</v>
      </c>
      <c r="D6" s="115">
        <f t="shared" si="0"/>
        <v>100.84380211648764</v>
      </c>
      <c r="E6" s="110">
        <f t="shared" si="1"/>
        <v>1.2161978835123648</v>
      </c>
      <c r="F6" s="115">
        <f t="shared" si="2"/>
        <v>1.1916498956617332</v>
      </c>
      <c r="G6" s="114">
        <f t="shared" si="3"/>
        <v>1.4791372918599557</v>
      </c>
      <c r="H6" s="121">
        <f t="shared" si="4"/>
        <v>-0.57606517809477964</v>
      </c>
      <c r="I6" s="121"/>
      <c r="J6" s="113">
        <v>-16.973883308718825</v>
      </c>
      <c r="K6" s="114">
        <f t="shared" si="6"/>
        <v>5.0847457627118647E-2</v>
      </c>
      <c r="L6" s="114">
        <f t="shared" si="5"/>
        <v>-1.6366916466733989</v>
      </c>
      <c r="M6" s="114"/>
      <c r="N6" s="114" t="s">
        <v>613</v>
      </c>
      <c r="O6" s="114">
        <f>N21/N22</f>
        <v>-7.9555059391945644</v>
      </c>
      <c r="P6" s="120" t="s">
        <v>580</v>
      </c>
      <c r="Q6" s="114" t="s">
        <v>614</v>
      </c>
      <c r="R6" s="114">
        <f>_xlfn.T.INV.2T(0.05,56)</f>
        <v>2.0032407188478727</v>
      </c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</row>
    <row r="7" spans="1:34" x14ac:dyDescent="0.25">
      <c r="A7" s="114">
        <v>5</v>
      </c>
      <c r="B7" s="118">
        <v>102.55</v>
      </c>
      <c r="C7" s="118">
        <v>19933</v>
      </c>
      <c r="D7" s="115">
        <f t="shared" si="0"/>
        <v>101.90986729458241</v>
      </c>
      <c r="E7" s="110">
        <f t="shared" si="1"/>
        <v>0.64013270541758516</v>
      </c>
      <c r="F7" s="115">
        <f t="shared" si="2"/>
        <v>0.62421521737453456</v>
      </c>
      <c r="G7" s="114">
        <f t="shared" si="3"/>
        <v>0.40976988054523683</v>
      </c>
      <c r="H7" s="121">
        <f t="shared" si="4"/>
        <v>-2.7449912092773445</v>
      </c>
      <c r="I7" s="121"/>
      <c r="J7" s="113">
        <v>-16.393743618484152</v>
      </c>
      <c r="K7" s="114">
        <f t="shared" si="6"/>
        <v>6.7796610169491525E-2</v>
      </c>
      <c r="L7" s="114">
        <f t="shared" si="5"/>
        <v>-1.492404178320359</v>
      </c>
      <c r="M7" s="114"/>
      <c r="N7" s="114" t="s">
        <v>686</v>
      </c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</row>
    <row r="8" spans="1:34" x14ac:dyDescent="0.25">
      <c r="A8" s="114">
        <v>6</v>
      </c>
      <c r="B8" s="118">
        <v>104.35</v>
      </c>
      <c r="C8" s="118">
        <v>18654</v>
      </c>
      <c r="D8" s="115">
        <f t="shared" si="0"/>
        <v>106.45485850385975</v>
      </c>
      <c r="E8" s="109">
        <f t="shared" si="1"/>
        <v>-2.1048585038597594</v>
      </c>
      <c r="F8" s="115">
        <f t="shared" si="2"/>
        <v>2.0171140429897072</v>
      </c>
      <c r="G8" s="114">
        <f t="shared" si="3"/>
        <v>4.4304293212707444</v>
      </c>
      <c r="H8" s="121">
        <f t="shared" si="4"/>
        <v>1.340171735959558</v>
      </c>
      <c r="I8" s="121"/>
      <c r="J8" s="113">
        <v>-14.680251202395823</v>
      </c>
      <c r="K8" s="114">
        <f t="shared" si="6"/>
        <v>8.4745762711864403E-2</v>
      </c>
      <c r="L8" s="114">
        <f t="shared" si="5"/>
        <v>-1.3738394673770855</v>
      </c>
      <c r="M8" s="114"/>
      <c r="N8" s="114" t="s">
        <v>687</v>
      </c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</row>
    <row r="9" spans="1:34" ht="18" x14ac:dyDescent="0.35">
      <c r="A9" s="114">
        <v>7</v>
      </c>
      <c r="B9" s="118">
        <v>107.57</v>
      </c>
      <c r="C9" s="118">
        <v>18125</v>
      </c>
      <c r="D9" s="115">
        <f t="shared" si="0"/>
        <v>108.33468676790019</v>
      </c>
      <c r="E9" s="109">
        <f t="shared" si="1"/>
        <v>-0.7646867679002014</v>
      </c>
      <c r="F9" s="115">
        <f t="shared" si="2"/>
        <v>0.71087363382002555</v>
      </c>
      <c r="G9" s="114">
        <f t="shared" si="3"/>
        <v>0.58474585300165649</v>
      </c>
      <c r="H9" s="121">
        <f t="shared" si="4"/>
        <v>4.7489086099585762</v>
      </c>
      <c r="I9" s="121"/>
      <c r="J9" s="113">
        <v>-13.93806842231298</v>
      </c>
      <c r="K9" s="114">
        <f t="shared" si="6"/>
        <v>0.10169491525423729</v>
      </c>
      <c r="L9" s="114">
        <f t="shared" si="5"/>
        <v>-1.2719529676842081</v>
      </c>
      <c r="M9" s="114"/>
      <c r="N9" s="68" t="s">
        <v>617</v>
      </c>
      <c r="O9" s="114">
        <f>N23</f>
        <v>0.53055608257403641</v>
      </c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</row>
    <row r="10" spans="1:34" x14ac:dyDescent="0.25">
      <c r="A10" s="114">
        <v>8</v>
      </c>
      <c r="B10" s="118">
        <v>111.96</v>
      </c>
      <c r="C10" s="118">
        <v>18226</v>
      </c>
      <c r="D10" s="115">
        <f t="shared" si="0"/>
        <v>107.97577815794162</v>
      </c>
      <c r="E10" s="110">
        <f t="shared" si="1"/>
        <v>3.9842218420583748</v>
      </c>
      <c r="F10" s="115">
        <f t="shared" si="2"/>
        <v>3.5586118632175556</v>
      </c>
      <c r="G10" s="114">
        <f t="shared" si="3"/>
        <v>15.874023686735029</v>
      </c>
      <c r="H10" s="121">
        <f t="shared" si="4"/>
        <v>4.2339231543488012</v>
      </c>
      <c r="I10" s="121"/>
      <c r="J10" s="113">
        <v>-13.716266913541702</v>
      </c>
      <c r="K10" s="114">
        <f t="shared" si="6"/>
        <v>0.11864406779661017</v>
      </c>
      <c r="L10" s="114">
        <f t="shared" si="5"/>
        <v>-1.1817922703491182</v>
      </c>
      <c r="M10" s="114"/>
      <c r="N10" s="114" t="s">
        <v>702</v>
      </c>
      <c r="O10" s="114"/>
      <c r="P10" s="66"/>
      <c r="Q10" s="66"/>
      <c r="R10" s="66"/>
      <c r="S10" s="66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</row>
    <row r="11" spans="1:34" x14ac:dyDescent="0.25">
      <c r="A11" s="114">
        <v>9</v>
      </c>
      <c r="B11" s="118">
        <v>115.27</v>
      </c>
      <c r="C11" s="118">
        <v>18486</v>
      </c>
      <c r="D11" s="115">
        <f t="shared" si="0"/>
        <v>107.05185500359282</v>
      </c>
      <c r="E11" s="110">
        <f t="shared" si="1"/>
        <v>8.218144996407176</v>
      </c>
      <c r="F11" s="115">
        <f t="shared" si="2"/>
        <v>7.1294742746657205</v>
      </c>
      <c r="G11" s="114">
        <f t="shared" si="3"/>
        <v>67.537907181972301</v>
      </c>
      <c r="H11" s="121">
        <f t="shared" si="4"/>
        <v>1.8715715952508134</v>
      </c>
      <c r="I11" s="121"/>
      <c r="J11" s="113">
        <v>-12.904593427448674</v>
      </c>
      <c r="K11" s="114">
        <f t="shared" si="6"/>
        <v>0.13559322033898305</v>
      </c>
      <c r="L11" s="114">
        <f t="shared" si="5"/>
        <v>-1.1003344194590818</v>
      </c>
      <c r="M11" s="114"/>
      <c r="N11" s="114" t="s">
        <v>618</v>
      </c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</row>
    <row r="12" spans="1:34" x14ac:dyDescent="0.25">
      <c r="A12" s="114">
        <v>10</v>
      </c>
      <c r="B12" s="118">
        <v>117.17</v>
      </c>
      <c r="C12" s="118">
        <v>18478</v>
      </c>
      <c r="D12" s="115">
        <f t="shared" si="0"/>
        <v>107.08028340834201</v>
      </c>
      <c r="E12" s="110">
        <f t="shared" si="1"/>
        <v>10.089716591657989</v>
      </c>
      <c r="F12" s="115">
        <f t="shared" si="2"/>
        <v>8.6111774273773065</v>
      </c>
      <c r="G12" s="114">
        <f t="shared" si="3"/>
        <v>101.80238089997852</v>
      </c>
      <c r="H12" s="121">
        <f t="shared" si="4"/>
        <v>-2.7901774896271405</v>
      </c>
      <c r="I12" s="121"/>
      <c r="J12" s="113">
        <v>-12.87616797964391</v>
      </c>
      <c r="K12" s="114">
        <f t="shared" si="6"/>
        <v>0.15254237288135594</v>
      </c>
      <c r="L12" s="114">
        <f t="shared" si="5"/>
        <v>-1.0255902911278738</v>
      </c>
      <c r="M12" s="114"/>
      <c r="N12" s="114" t="s">
        <v>621</v>
      </c>
      <c r="O12" s="121">
        <f>F62</f>
        <v>6.3598466959095941</v>
      </c>
      <c r="P12" s="120" t="s">
        <v>579</v>
      </c>
      <c r="Q12" s="114">
        <v>10</v>
      </c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</row>
    <row r="13" spans="1:34" x14ac:dyDescent="0.25">
      <c r="A13" s="114">
        <v>11</v>
      </c>
      <c r="B13" s="118">
        <v>117.61</v>
      </c>
      <c r="C13" s="118">
        <v>17569</v>
      </c>
      <c r="D13" s="115">
        <f t="shared" si="0"/>
        <v>110.31046089796915</v>
      </c>
      <c r="E13" s="110">
        <f t="shared" si="1"/>
        <v>7.2995391020308489</v>
      </c>
      <c r="F13" s="115">
        <f t="shared" si="2"/>
        <v>6.2065633041670338</v>
      </c>
      <c r="G13" s="114">
        <f t="shared" si="3"/>
        <v>53.283271102077329</v>
      </c>
      <c r="H13" s="121">
        <f t="shared" si="4"/>
        <v>-1.5333323476851746</v>
      </c>
      <c r="I13" s="121"/>
      <c r="J13" s="113">
        <v>-12.747759953063166</v>
      </c>
      <c r="K13" s="114">
        <f t="shared" si="6"/>
        <v>0.16949152542372881</v>
      </c>
      <c r="L13" s="114">
        <f t="shared" si="5"/>
        <v>-0.95617653892006238</v>
      </c>
      <c r="M13" s="114"/>
      <c r="N13" s="114" t="s">
        <v>622</v>
      </c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</row>
    <row r="14" spans="1:34" x14ac:dyDescent="0.25">
      <c r="A14" s="114">
        <v>12</v>
      </c>
      <c r="B14" s="118">
        <v>117.26</v>
      </c>
      <c r="C14" s="118">
        <v>17236</v>
      </c>
      <c r="D14" s="115">
        <f t="shared" si="0"/>
        <v>111.49379324565433</v>
      </c>
      <c r="E14" s="110">
        <f t="shared" si="1"/>
        <v>5.7662067543456743</v>
      </c>
      <c r="F14" s="115">
        <f t="shared" si="2"/>
        <v>4.9174541653979826</v>
      </c>
      <c r="G14" s="114">
        <f t="shared" si="3"/>
        <v>33.249140333861675</v>
      </c>
      <c r="H14" s="121">
        <f t="shared" si="4"/>
        <v>-4.4289464093510418</v>
      </c>
      <c r="I14" s="121"/>
      <c r="J14" s="113">
        <v>-12.128880431885037</v>
      </c>
      <c r="K14" s="114">
        <f t="shared" si="6"/>
        <v>0.1864406779661017</v>
      </c>
      <c r="L14" s="114">
        <f t="shared" si="5"/>
        <v>-0.89108913003410894</v>
      </c>
      <c r="M14" s="114"/>
      <c r="N14" s="114"/>
      <c r="O14" s="103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</row>
    <row r="15" spans="1:34" x14ac:dyDescent="0.25">
      <c r="A15" s="114">
        <v>13</v>
      </c>
      <c r="B15" s="118">
        <v>115.88</v>
      </c>
      <c r="C15" s="118">
        <v>16378</v>
      </c>
      <c r="D15" s="115">
        <f t="shared" si="0"/>
        <v>114.54273965500536</v>
      </c>
      <c r="E15" s="110">
        <f t="shared" si="1"/>
        <v>1.3372603449946325</v>
      </c>
      <c r="F15" s="115">
        <f t="shared" si="2"/>
        <v>1.154004439933235</v>
      </c>
      <c r="G15" s="114">
        <f t="shared" si="3"/>
        <v>1.7882652302951636</v>
      </c>
      <c r="H15" s="121">
        <f t="shared" si="4"/>
        <v>-3.4752444579106907</v>
      </c>
      <c r="I15" s="121"/>
      <c r="J15" s="113">
        <v>-10.453537040076554</v>
      </c>
      <c r="K15" s="114">
        <f t="shared" si="6"/>
        <v>0.20338983050847459</v>
      </c>
      <c r="L15" s="114">
        <f t="shared" si="5"/>
        <v>-0.82957403698182763</v>
      </c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</row>
    <row r="16" spans="1:34" x14ac:dyDescent="0.25">
      <c r="A16" s="114">
        <v>14</v>
      </c>
      <c r="B16" s="118">
        <v>113.35</v>
      </c>
      <c r="C16" s="118">
        <v>16112</v>
      </c>
      <c r="D16" s="115">
        <f t="shared" si="0"/>
        <v>115.48798411291605</v>
      </c>
      <c r="E16" s="109">
        <f t="shared" si="1"/>
        <v>-2.1379841129160582</v>
      </c>
      <c r="F16" s="115">
        <f t="shared" si="2"/>
        <v>1.886179190927268</v>
      </c>
      <c r="G16" s="114">
        <f t="shared" si="3"/>
        <v>4.5709760670814639</v>
      </c>
      <c r="H16" s="121">
        <f t="shared" si="4"/>
        <v>-4.770858519576521</v>
      </c>
      <c r="I16" s="121"/>
      <c r="J16" s="113">
        <v>-10.379581840002871</v>
      </c>
      <c r="K16" s="114">
        <f t="shared" si="6"/>
        <v>0.22033898305084745</v>
      </c>
      <c r="L16" s="114">
        <f t="shared" si="5"/>
        <v>-0.77104886863964417</v>
      </c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</row>
    <row r="17" spans="1:34" x14ac:dyDescent="0.25">
      <c r="A17" s="114">
        <v>15</v>
      </c>
      <c r="B17" s="118">
        <v>111.39</v>
      </c>
      <c r="C17" s="118">
        <v>15321</v>
      </c>
      <c r="D17" s="115">
        <f t="shared" si="0"/>
        <v>118.29884263249258</v>
      </c>
      <c r="E17" s="109">
        <f t="shared" si="1"/>
        <v>-6.9088426324925791</v>
      </c>
      <c r="F17" s="115">
        <f t="shared" si="2"/>
        <v>6.2023903694160865</v>
      </c>
      <c r="G17" s="114">
        <f t="shared" si="3"/>
        <v>47.732106520546992</v>
      </c>
      <c r="H17" s="121">
        <f t="shared" si="4"/>
        <v>-3.4707392075102916</v>
      </c>
      <c r="I17" s="121"/>
      <c r="J17" s="113">
        <v>-9.8471400576191002</v>
      </c>
      <c r="K17" s="114">
        <f t="shared" si="6"/>
        <v>0.23728813559322035</v>
      </c>
      <c r="L17" s="114">
        <f t="shared" si="5"/>
        <v>-0.71505303754992222</v>
      </c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</row>
    <row r="18" spans="1:34" x14ac:dyDescent="0.25">
      <c r="A18" s="114">
        <v>16</v>
      </c>
      <c r="B18" s="118">
        <v>109.76</v>
      </c>
      <c r="C18" s="118">
        <v>14803</v>
      </c>
      <c r="D18" s="115">
        <f t="shared" si="0"/>
        <v>120.13958184000288</v>
      </c>
      <c r="E18" s="109">
        <f t="shared" si="1"/>
        <v>-10.379581840002871</v>
      </c>
      <c r="F18" s="115">
        <f t="shared" si="2"/>
        <v>9.4566161078743356</v>
      </c>
      <c r="G18" s="114">
        <f t="shared" si="3"/>
        <v>107.73571917331738</v>
      </c>
      <c r="H18" s="121">
        <f t="shared" si="4"/>
        <v>0.5324417823837706</v>
      </c>
      <c r="I18" s="121"/>
      <c r="J18" s="113">
        <v>-8.3989764088383936</v>
      </c>
      <c r="K18" s="114">
        <f t="shared" si="6"/>
        <v>0.25423728813559321</v>
      </c>
      <c r="L18" s="114">
        <f t="shared" si="5"/>
        <v>-0.66121479220131485</v>
      </c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</row>
    <row r="19" spans="1:34" x14ac:dyDescent="0.25">
      <c r="A19" s="114">
        <v>17</v>
      </c>
      <c r="B19" s="118">
        <v>109.5</v>
      </c>
      <c r="C19" s="118">
        <v>15026</v>
      </c>
      <c r="D19" s="115">
        <f t="shared" si="0"/>
        <v>119.3471400576191</v>
      </c>
      <c r="E19" s="109">
        <f t="shared" si="1"/>
        <v>-9.8471400576191002</v>
      </c>
      <c r="F19" s="115">
        <f t="shared" si="2"/>
        <v>8.9928219704284018</v>
      </c>
      <c r="G19" s="114">
        <f t="shared" si="3"/>
        <v>96.9661673143667</v>
      </c>
      <c r="H19" s="121">
        <f t="shared" si="4"/>
        <v>-2.2817403742659366</v>
      </c>
      <c r="I19" s="121"/>
      <c r="J19" s="113">
        <v>-6.9088426324925791</v>
      </c>
      <c r="K19" s="114">
        <f t="shared" si="6"/>
        <v>0.2711864406779661</v>
      </c>
      <c r="L19" s="114">
        <f t="shared" si="5"/>
        <v>-0.60922866701399825</v>
      </c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</row>
    <row r="20" spans="1:34" ht="18" x14ac:dyDescent="0.35">
      <c r="A20" s="114">
        <v>18</v>
      </c>
      <c r="B20" s="118">
        <v>108.86</v>
      </c>
      <c r="C20" s="118">
        <v>14564</v>
      </c>
      <c r="D20" s="115">
        <f t="shared" si="0"/>
        <v>120.98888043188504</v>
      </c>
      <c r="E20" s="109">
        <f t="shared" si="1"/>
        <v>-12.128880431885037</v>
      </c>
      <c r="F20" s="115">
        <f t="shared" si="2"/>
        <v>11.141723711083076</v>
      </c>
      <c r="G20" s="114">
        <f t="shared" si="3"/>
        <v>147.10974053096376</v>
      </c>
      <c r="H20" s="121">
        <f t="shared" si="4"/>
        <v>-1.8091879904279438</v>
      </c>
      <c r="I20" s="121"/>
      <c r="J20" s="113">
        <v>-3.0000677988798401</v>
      </c>
      <c r="K20" s="114">
        <f t="shared" si="6"/>
        <v>0.28813559322033899</v>
      </c>
      <c r="L20" s="114">
        <f t="shared" si="5"/>
        <v>-0.55883961079677569</v>
      </c>
      <c r="M20" s="114"/>
      <c r="N20" s="114" t="s">
        <v>566</v>
      </c>
      <c r="O20" s="114" t="s">
        <v>567</v>
      </c>
      <c r="P20" s="114"/>
      <c r="Q20" s="114" t="s">
        <v>605</v>
      </c>
      <c r="R20" s="114">
        <f>CORREL(E4:E60,E5:E61)</f>
        <v>0.95104102252145739</v>
      </c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</row>
    <row r="21" spans="1:34" x14ac:dyDescent="0.25">
      <c r="A21" s="114">
        <v>19</v>
      </c>
      <c r="B21" s="118">
        <v>108.49</v>
      </c>
      <c r="C21" s="118">
        <v>14159</v>
      </c>
      <c r="D21" s="115">
        <f t="shared" si="0"/>
        <v>122.42806842231298</v>
      </c>
      <c r="E21" s="109">
        <f t="shared" si="1"/>
        <v>-13.93806842231298</v>
      </c>
      <c r="F21" s="115">
        <f t="shared" si="2"/>
        <v>12.847330097071602</v>
      </c>
      <c r="G21" s="114">
        <f t="shared" si="3"/>
        <v>194.26975134507825</v>
      </c>
      <c r="H21" s="121">
        <f t="shared" si="4"/>
        <v>0.22180150877127858</v>
      </c>
      <c r="I21" s="121"/>
      <c r="J21" s="113">
        <v>-2.1379841129160582</v>
      </c>
      <c r="K21" s="114">
        <f t="shared" si="6"/>
        <v>0.30508474576271188</v>
      </c>
      <c r="L21" s="114">
        <f t="shared" si="5"/>
        <v>-0.50983153383249025</v>
      </c>
      <c r="M21" s="114"/>
      <c r="N21" s="116">
        <f t="array" ref="N21:O25">LINEST(B3:B60,C3:C60,1,1)</f>
        <v>-3.5535505936492148E-3</v>
      </c>
      <c r="O21" s="116">
        <v>172.74279127779221</v>
      </c>
      <c r="P21" s="114"/>
      <c r="Q21" s="114" t="s">
        <v>602</v>
      </c>
      <c r="R21" s="114"/>
      <c r="S21" s="114"/>
      <c r="T21" s="66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</row>
    <row r="22" spans="1:34" x14ac:dyDescent="0.25">
      <c r="A22" s="114">
        <v>20</v>
      </c>
      <c r="B22" s="118">
        <v>108.36</v>
      </c>
      <c r="C22" s="118">
        <v>14258</v>
      </c>
      <c r="D22" s="115">
        <f t="shared" si="0"/>
        <v>122.0762669135417</v>
      </c>
      <c r="E22" s="109">
        <f t="shared" si="1"/>
        <v>-13.716266913541702</v>
      </c>
      <c r="F22" s="115">
        <f t="shared" si="2"/>
        <v>12.658053630068016</v>
      </c>
      <c r="G22" s="114">
        <f t="shared" si="3"/>
        <v>188.1359780435188</v>
      </c>
      <c r="H22" s="121">
        <f t="shared" si="4"/>
        <v>3.2627298734651475</v>
      </c>
      <c r="I22" s="121"/>
      <c r="J22" s="113">
        <v>-2.1048585038597594</v>
      </c>
      <c r="K22" s="114">
        <f t="shared" si="6"/>
        <v>0.32203389830508472</v>
      </c>
      <c r="L22" s="114">
        <f t="shared" si="5"/>
        <v>-0.46201885864912079</v>
      </c>
      <c r="M22" s="114"/>
      <c r="N22" s="116">
        <v>4.4667813974493562E-4</v>
      </c>
      <c r="O22" s="116">
        <v>6.6214362981196127</v>
      </c>
      <c r="P22" s="114"/>
      <c r="Q22" s="125" t="s">
        <v>649</v>
      </c>
      <c r="R22" s="114"/>
      <c r="S22" s="114"/>
      <c r="T22" s="66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</row>
    <row r="23" spans="1:34" x14ac:dyDescent="0.25">
      <c r="A23" s="114">
        <v>21</v>
      </c>
      <c r="B23" s="118">
        <v>108.19</v>
      </c>
      <c r="C23" s="118">
        <v>15224</v>
      </c>
      <c r="D23" s="115">
        <f t="shared" si="0"/>
        <v>118.64353704007655</v>
      </c>
      <c r="E23" s="109">
        <f t="shared" si="1"/>
        <v>-10.453537040076554</v>
      </c>
      <c r="F23" s="115">
        <f t="shared" si="2"/>
        <v>9.6622026435683104</v>
      </c>
      <c r="G23" s="114">
        <f t="shared" si="3"/>
        <v>109.27643664825248</v>
      </c>
      <c r="H23" s="121">
        <f t="shared" si="4"/>
        <v>-2.4226309395673553</v>
      </c>
      <c r="I23" s="121"/>
      <c r="J23" s="113">
        <v>-0.7646867679002014</v>
      </c>
      <c r="K23" s="114">
        <f t="shared" si="6"/>
        <v>0.33898305084745761</v>
      </c>
      <c r="L23" s="114">
        <f t="shared" si="5"/>
        <v>-0.4152401608260714</v>
      </c>
      <c r="M23" s="114"/>
      <c r="N23" s="116">
        <v>0.53055608257403641</v>
      </c>
      <c r="O23" s="116">
        <v>9.0230164155374428</v>
      </c>
      <c r="P23" s="114"/>
      <c r="Q23" s="125" t="s">
        <v>633</v>
      </c>
      <c r="R23" s="114"/>
      <c r="S23" s="114"/>
      <c r="T23" s="66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</row>
    <row r="24" spans="1:34" x14ac:dyDescent="0.25">
      <c r="A24" s="114">
        <v>22</v>
      </c>
      <c r="B24" s="118">
        <v>107.8</v>
      </c>
      <c r="C24" s="118">
        <v>14652</v>
      </c>
      <c r="D24" s="115">
        <f t="shared" si="0"/>
        <v>120.67616797964391</v>
      </c>
      <c r="E24" s="109">
        <f t="shared" si="1"/>
        <v>-12.87616797964391</v>
      </c>
      <c r="F24" s="115">
        <f t="shared" si="2"/>
        <v>11.944497198185445</v>
      </c>
      <c r="G24" s="114">
        <f t="shared" si="3"/>
        <v>165.79570184000713</v>
      </c>
      <c r="H24" s="121">
        <f t="shared" si="4"/>
        <v>0.12840802658074324</v>
      </c>
      <c r="I24" s="121"/>
      <c r="J24" s="113">
        <v>0.64013270541758516</v>
      </c>
      <c r="K24" s="114">
        <f t="shared" si="6"/>
        <v>0.3559322033898305</v>
      </c>
      <c r="L24" s="114">
        <f t="shared" si="5"/>
        <v>-0.36935329360674307</v>
      </c>
      <c r="M24" s="114"/>
      <c r="N24" s="116">
        <v>63.29007474855996</v>
      </c>
      <c r="O24" s="116">
        <v>56</v>
      </c>
      <c r="P24" s="114"/>
      <c r="Q24" s="69" t="s">
        <v>630</v>
      </c>
      <c r="R24" s="130"/>
      <c r="S24" s="114"/>
      <c r="T24" s="66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</row>
    <row r="25" spans="1:34" x14ac:dyDescent="0.25">
      <c r="A25" s="114">
        <v>23</v>
      </c>
      <c r="B25" s="118">
        <v>107.47</v>
      </c>
      <c r="C25" s="118">
        <v>14781</v>
      </c>
      <c r="D25" s="115">
        <f t="shared" si="0"/>
        <v>120.21775995306317</v>
      </c>
      <c r="E25" s="109">
        <f t="shared" si="1"/>
        <v>-12.747759953063166</v>
      </c>
      <c r="F25" s="115">
        <f t="shared" si="2"/>
        <v>11.86169159120049</v>
      </c>
      <c r="G25" s="114">
        <f t="shared" si="3"/>
        <v>162.50538382092103</v>
      </c>
      <c r="H25" s="121">
        <f t="shared" si="4"/>
        <v>-1.9324912493326565</v>
      </c>
      <c r="I25" s="121"/>
      <c r="J25" s="113">
        <v>0.73850325304849207</v>
      </c>
      <c r="K25" s="114">
        <f t="shared" si="6"/>
        <v>0.3728813559322034</v>
      </c>
      <c r="L25" s="114">
        <f t="shared" si="5"/>
        <v>-0.32423158413730258</v>
      </c>
      <c r="M25" s="114"/>
      <c r="N25" s="116">
        <v>5152.7503747677765</v>
      </c>
      <c r="O25" s="116">
        <v>4559.2302131632568</v>
      </c>
      <c r="P25" s="114"/>
      <c r="Q25" s="125" t="s">
        <v>629</v>
      </c>
      <c r="R25" s="114"/>
      <c r="S25" s="114"/>
      <c r="T25" s="66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</row>
    <row r="26" spans="1:34" ht="18" x14ac:dyDescent="0.35">
      <c r="A26" s="114">
        <v>24</v>
      </c>
      <c r="B26" s="118">
        <v>107.03</v>
      </c>
      <c r="C26" s="118">
        <v>14361</v>
      </c>
      <c r="D26" s="115">
        <f t="shared" si="0"/>
        <v>121.71025120239582</v>
      </c>
      <c r="E26" s="109">
        <f t="shared" si="1"/>
        <v>-14.680251202395823</v>
      </c>
      <c r="F26" s="115">
        <f t="shared" si="2"/>
        <v>13.71601532504515</v>
      </c>
      <c r="G26" s="114">
        <f t="shared" si="3"/>
        <v>215.509775365444</v>
      </c>
      <c r="H26" s="121">
        <f t="shared" si="4"/>
        <v>-1.7134924160883287</v>
      </c>
      <c r="I26" s="121"/>
      <c r="J26" s="113">
        <v>1.2161978835123648</v>
      </c>
      <c r="K26" s="114">
        <f t="shared" si="6"/>
        <v>0.38983050847457629</v>
      </c>
      <c r="L26" s="114">
        <f t="shared" si="5"/>
        <v>-0.27976081477122972</v>
      </c>
      <c r="M26" s="114"/>
      <c r="N26" s="131" t="s">
        <v>703</v>
      </c>
      <c r="O26" s="131"/>
      <c r="P26" s="114"/>
      <c r="Q26" s="69" t="s">
        <v>606</v>
      </c>
      <c r="R26" s="130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</row>
    <row r="27" spans="1:34" x14ac:dyDescent="0.25">
      <c r="A27" s="114">
        <v>25</v>
      </c>
      <c r="B27" s="118">
        <v>106.61</v>
      </c>
      <c r="C27" s="118">
        <v>13997</v>
      </c>
      <c r="D27" s="115">
        <f t="shared" si="0"/>
        <v>123.00374361848415</v>
      </c>
      <c r="E27" s="109">
        <f t="shared" si="1"/>
        <v>-16.393743618484152</v>
      </c>
      <c r="F27" s="115">
        <f t="shared" si="2"/>
        <v>15.377303834991233</v>
      </c>
      <c r="G27" s="114">
        <f t="shared" si="3"/>
        <v>268.75482982858983</v>
      </c>
      <c r="H27" s="121">
        <f t="shared" si="4"/>
        <v>-0.58013969023467382</v>
      </c>
      <c r="I27" s="121"/>
      <c r="J27" s="113">
        <v>1.3372603449946325</v>
      </c>
      <c r="K27" s="114">
        <f t="shared" si="6"/>
        <v>0.40677966101694918</v>
      </c>
      <c r="L27" s="114">
        <f t="shared" si="5"/>
        <v>-0.23583678601109134</v>
      </c>
      <c r="M27" s="114"/>
      <c r="N27" s="114"/>
      <c r="O27" s="114"/>
      <c r="P27" s="114"/>
      <c r="Q27" s="114" t="s">
        <v>607</v>
      </c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</row>
    <row r="28" spans="1:34" x14ac:dyDescent="0.25">
      <c r="A28" s="114">
        <v>26</v>
      </c>
      <c r="B28" s="118">
        <v>106.57</v>
      </c>
      <c r="C28" s="118">
        <v>13845</v>
      </c>
      <c r="D28" s="115">
        <f t="shared" si="0"/>
        <v>123.54388330871882</v>
      </c>
      <c r="E28" s="109">
        <f t="shared" si="1"/>
        <v>-16.973883308718825</v>
      </c>
      <c r="F28" s="115">
        <f t="shared" si="2"/>
        <v>15.927449853353501</v>
      </c>
      <c r="G28" s="114">
        <f t="shared" si="3"/>
        <v>288.11271457800353</v>
      </c>
      <c r="H28" s="121">
        <f t="shared" si="4"/>
        <v>-1.4623311809295529</v>
      </c>
      <c r="I28" s="121"/>
      <c r="J28" s="113">
        <v>1.5547284995463713</v>
      </c>
      <c r="K28" s="114">
        <f t="shared" si="6"/>
        <v>0.42372881355932202</v>
      </c>
      <c r="L28" s="114">
        <f t="shared" si="5"/>
        <v>-0.19236331372250978</v>
      </c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</row>
    <row r="29" spans="1:34" x14ac:dyDescent="0.25">
      <c r="A29" s="114">
        <v>27</v>
      </c>
      <c r="B29" s="118">
        <v>106.49</v>
      </c>
      <c r="C29" s="118">
        <v>13456</v>
      </c>
      <c r="D29" s="115">
        <f t="shared" si="0"/>
        <v>124.92621448964837</v>
      </c>
      <c r="E29" s="109">
        <f t="shared" si="1"/>
        <v>-18.436214489648378</v>
      </c>
      <c r="F29" s="115">
        <f t="shared" si="2"/>
        <v>17.31262511939936</v>
      </c>
      <c r="G29" s="114">
        <f t="shared" si="3"/>
        <v>339.89400470832084</v>
      </c>
      <c r="H29" s="121">
        <f t="shared" si="4"/>
        <v>0.14489523232400359</v>
      </c>
      <c r="I29" s="121"/>
      <c r="J29" s="113">
        <v>2.0433460614791272</v>
      </c>
      <c r="K29" s="114">
        <f t="shared" si="6"/>
        <v>0.44067796610169491</v>
      </c>
      <c r="L29" s="114">
        <f t="shared" si="5"/>
        <v>-0.14925055165580312</v>
      </c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</row>
    <row r="30" spans="1:34" x14ac:dyDescent="0.25">
      <c r="A30" s="114">
        <v>28</v>
      </c>
      <c r="B30" s="118">
        <v>107.04</v>
      </c>
      <c r="C30" s="118">
        <v>13342</v>
      </c>
      <c r="D30" s="115">
        <f t="shared" si="0"/>
        <v>125.33131925732438</v>
      </c>
      <c r="E30" s="109">
        <f t="shared" si="1"/>
        <v>-18.291319257324375</v>
      </c>
      <c r="F30" s="115">
        <f t="shared" si="2"/>
        <v>17.08830274413712</v>
      </c>
      <c r="G30" s="114">
        <f t="shared" si="3"/>
        <v>334.5723601733655</v>
      </c>
      <c r="H30" s="121">
        <f t="shared" si="4"/>
        <v>5.3867258298757008</v>
      </c>
      <c r="I30" s="121"/>
      <c r="J30" s="113">
        <v>2.2168414345119061</v>
      </c>
      <c r="K30" s="114">
        <f t="shared" si="6"/>
        <v>0.4576271186440678</v>
      </c>
      <c r="L30" s="114">
        <f t="shared" si="5"/>
        <v>-0.1064135569156504</v>
      </c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</row>
    <row r="31" spans="1:34" x14ac:dyDescent="0.25">
      <c r="A31" s="114">
        <v>29</v>
      </c>
      <c r="B31" s="118">
        <v>111.35</v>
      </c>
      <c r="C31" s="118">
        <v>13645</v>
      </c>
      <c r="D31" s="115">
        <f t="shared" si="0"/>
        <v>124.25459342744867</v>
      </c>
      <c r="E31" s="109">
        <f t="shared" si="1"/>
        <v>-12.904593427448674</v>
      </c>
      <c r="F31" s="115">
        <f t="shared" si="2"/>
        <v>11.589217267578514</v>
      </c>
      <c r="G31" s="114">
        <f t="shared" si="3"/>
        <v>166.52853152775151</v>
      </c>
      <c r="H31" s="121">
        <f t="shared" si="4"/>
        <v>4.5056170186102804</v>
      </c>
      <c r="I31" s="121"/>
      <c r="J31" s="113">
        <v>2.3538346568579271</v>
      </c>
      <c r="K31" s="114">
        <f t="shared" si="6"/>
        <v>0.47457627118644069</v>
      </c>
      <c r="L31" s="114">
        <f t="shared" si="5"/>
        <v>-6.377103455763064E-2</v>
      </c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</row>
    <row r="32" spans="1:34" x14ac:dyDescent="0.25">
      <c r="A32" s="114">
        <v>30</v>
      </c>
      <c r="B32" s="118">
        <v>117.54</v>
      </c>
      <c r="C32" s="118">
        <v>13171</v>
      </c>
      <c r="D32" s="115">
        <f t="shared" si="0"/>
        <v>125.9389764088384</v>
      </c>
      <c r="E32" s="109">
        <f t="shared" si="1"/>
        <v>-8.3989764088383936</v>
      </c>
      <c r="F32" s="115">
        <f t="shared" si="2"/>
        <v>7.1456324730631211</v>
      </c>
      <c r="G32" s="114">
        <f t="shared" si="3"/>
        <v>70.542804716223884</v>
      </c>
      <c r="H32" s="121">
        <f t="shared" si="4"/>
        <v>5.3989086099585535</v>
      </c>
      <c r="I32" s="121"/>
      <c r="J32" s="113">
        <v>2.3848443218315367</v>
      </c>
      <c r="K32" s="114">
        <f t="shared" si="6"/>
        <v>0.49152542372881358</v>
      </c>
      <c r="L32" s="114">
        <f t="shared" si="5"/>
        <v>-2.1244210365719055E-2</v>
      </c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</row>
    <row r="33" spans="1:34" x14ac:dyDescent="0.25">
      <c r="A33" s="114">
        <v>31</v>
      </c>
      <c r="B33" s="118">
        <v>122.58</v>
      </c>
      <c r="C33" s="118">
        <v>13272</v>
      </c>
      <c r="D33" s="115">
        <f t="shared" si="0"/>
        <v>125.58006779887984</v>
      </c>
      <c r="E33" s="109">
        <f t="shared" si="1"/>
        <v>-3.0000677988798401</v>
      </c>
      <c r="F33" s="115">
        <f t="shared" si="2"/>
        <v>2.4474366119104585</v>
      </c>
      <c r="G33" s="114">
        <f t="shared" si="3"/>
        <v>9.0004067978757281</v>
      </c>
      <c r="H33" s="121">
        <f t="shared" si="4"/>
        <v>5.0434138603589673</v>
      </c>
      <c r="I33" s="121"/>
      <c r="J33" s="113">
        <v>2.6062593384602906</v>
      </c>
      <c r="K33" s="114">
        <f t="shared" si="6"/>
        <v>0.50847457627118642</v>
      </c>
      <c r="L33" s="114">
        <f t="shared" si="5"/>
        <v>2.1244210365719055E-2</v>
      </c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</row>
    <row r="34" spans="1:34" x14ac:dyDescent="0.25">
      <c r="A34" s="114">
        <v>32</v>
      </c>
      <c r="B34" s="118">
        <v>128.16</v>
      </c>
      <c r="C34" s="118">
        <v>13121</v>
      </c>
      <c r="D34" s="115">
        <f t="shared" si="0"/>
        <v>126.11665393852087</v>
      </c>
      <c r="E34" s="110">
        <f t="shared" si="1"/>
        <v>2.0433460614791272</v>
      </c>
      <c r="F34" s="115">
        <f t="shared" si="2"/>
        <v>1.5943711465973214</v>
      </c>
      <c r="G34" s="114">
        <f t="shared" si="3"/>
        <v>4.1752631269622613</v>
      </c>
      <c r="H34" s="121">
        <f t="shared" si="4"/>
        <v>4.1420925567971096</v>
      </c>
      <c r="I34" s="121"/>
      <c r="J34" s="113">
        <v>2.7561400263940499</v>
      </c>
      <c r="K34" s="114">
        <f t="shared" si="6"/>
        <v>0.52542372881355937</v>
      </c>
      <c r="L34" s="114">
        <f t="shared" si="5"/>
        <v>6.3771034557630793E-2</v>
      </c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</row>
    <row r="35" spans="1:34" x14ac:dyDescent="0.25">
      <c r="A35" s="114">
        <v>33</v>
      </c>
      <c r="B35" s="118">
        <v>132.86000000000001</v>
      </c>
      <c r="C35" s="118">
        <v>12964</v>
      </c>
      <c r="D35" s="115">
        <f t="shared" ref="D35:D60" si="7">$N$21*C35+$O$21</f>
        <v>126.67456138172378</v>
      </c>
      <c r="E35" s="110">
        <f t="shared" si="1"/>
        <v>6.1854386182762369</v>
      </c>
      <c r="F35" s="115">
        <f t="shared" si="2"/>
        <v>4.6556063663075697</v>
      </c>
      <c r="G35" s="114">
        <f t="shared" si="3"/>
        <v>38.259650900463043</v>
      </c>
      <c r="H35" s="121">
        <f t="shared" si="4"/>
        <v>1.235576262273355</v>
      </c>
      <c r="I35" s="121"/>
      <c r="J35" s="113">
        <v>3.1731685718520168</v>
      </c>
      <c r="K35" s="114">
        <f t="shared" si="6"/>
        <v>0.5423728813559322</v>
      </c>
      <c r="L35" s="114">
        <f t="shared" si="5"/>
        <v>0.1064135569156504</v>
      </c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</row>
    <row r="36" spans="1:34" x14ac:dyDescent="0.25">
      <c r="A36" s="114">
        <v>34</v>
      </c>
      <c r="B36" s="118">
        <v>134.91999999999999</v>
      </c>
      <c r="C36" s="118">
        <v>12732</v>
      </c>
      <c r="D36" s="115">
        <f t="shared" si="7"/>
        <v>127.4989851194504</v>
      </c>
      <c r="E36" s="110">
        <f t="shared" si="1"/>
        <v>7.4210148805495919</v>
      </c>
      <c r="F36" s="115">
        <f t="shared" si="2"/>
        <v>5.5003075011485265</v>
      </c>
      <c r="G36" s="114">
        <f t="shared" si="3"/>
        <v>55.071461857338477</v>
      </c>
      <c r="H36" s="121">
        <f t="shared" si="4"/>
        <v>2.1623311809295274</v>
      </c>
      <c r="I36" s="121"/>
      <c r="J36" s="113">
        <v>3.981535842095866</v>
      </c>
      <c r="K36" s="114">
        <f t="shared" si="6"/>
        <v>0.55932203389830504</v>
      </c>
      <c r="L36" s="114">
        <f t="shared" si="5"/>
        <v>0.14925055165580298</v>
      </c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</row>
    <row r="37" spans="1:34" x14ac:dyDescent="0.25">
      <c r="A37" s="114">
        <v>35</v>
      </c>
      <c r="B37" s="118">
        <v>135.69999999999999</v>
      </c>
      <c r="C37" s="118">
        <v>13121</v>
      </c>
      <c r="D37" s="115">
        <f t="shared" si="7"/>
        <v>126.11665393852087</v>
      </c>
      <c r="E37" s="110">
        <f t="shared" si="1"/>
        <v>9.5833460614791193</v>
      </c>
      <c r="F37" s="115">
        <f t="shared" si="2"/>
        <v>7.0621562722764333</v>
      </c>
      <c r="G37" s="114">
        <f t="shared" si="3"/>
        <v>91.840521734067352</v>
      </c>
      <c r="H37" s="121">
        <f t="shared" si="4"/>
        <v>-0.89613502321209637</v>
      </c>
      <c r="I37" s="121"/>
      <c r="J37" s="113">
        <v>3.9842218420583748</v>
      </c>
      <c r="K37" s="114">
        <f t="shared" si="6"/>
        <v>0.57627118644067798</v>
      </c>
      <c r="L37" s="114">
        <f t="shared" si="5"/>
        <v>0.19236331372250978</v>
      </c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</row>
    <row r="38" spans="1:34" x14ac:dyDescent="0.25">
      <c r="A38" s="114">
        <v>36</v>
      </c>
      <c r="B38" s="118">
        <v>136.13999999999999</v>
      </c>
      <c r="C38" s="118">
        <v>12745</v>
      </c>
      <c r="D38" s="115">
        <f t="shared" si="7"/>
        <v>127.45278896173296</v>
      </c>
      <c r="E38" s="110">
        <f t="shared" si="1"/>
        <v>8.6872110382670229</v>
      </c>
      <c r="F38" s="115">
        <f t="shared" si="2"/>
        <v>6.3810864097745137</v>
      </c>
      <c r="G38" s="114">
        <f t="shared" si="3"/>
        <v>75.467635623388404</v>
      </c>
      <c r="H38" s="121">
        <f t="shared" si="4"/>
        <v>4.734924321104458</v>
      </c>
      <c r="I38" s="121"/>
      <c r="J38" s="113">
        <v>4.4817075780554205</v>
      </c>
      <c r="K38" s="114">
        <f t="shared" si="6"/>
        <v>0.59322033898305082</v>
      </c>
      <c r="L38" s="114">
        <f t="shared" si="5"/>
        <v>0.23583678601109134</v>
      </c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</row>
    <row r="39" spans="1:34" x14ac:dyDescent="0.25">
      <c r="A39" s="114">
        <v>37</v>
      </c>
      <c r="B39" s="118">
        <v>140.15</v>
      </c>
      <c r="C39" s="118">
        <v>12949</v>
      </c>
      <c r="D39" s="115">
        <f t="shared" si="7"/>
        <v>126.72786464062852</v>
      </c>
      <c r="E39" s="110">
        <f t="shared" si="1"/>
        <v>13.422135359371481</v>
      </c>
      <c r="F39" s="115">
        <f t="shared" si="2"/>
        <v>9.5769784940217484</v>
      </c>
      <c r="G39" s="114">
        <f t="shared" si="3"/>
        <v>180.15371760529018</v>
      </c>
      <c r="H39" s="121">
        <f t="shared" si="4"/>
        <v>-1.2077968417486886</v>
      </c>
      <c r="I39" s="121"/>
      <c r="J39" s="113">
        <v>5.244309428842314</v>
      </c>
      <c r="K39" s="114">
        <f t="shared" si="6"/>
        <v>0.61016949152542377</v>
      </c>
      <c r="L39" s="114">
        <f t="shared" si="5"/>
        <v>0.27976081477122983</v>
      </c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</row>
    <row r="40" spans="1:34" x14ac:dyDescent="0.25">
      <c r="A40" s="114">
        <v>38</v>
      </c>
      <c r="B40" s="118">
        <v>140.09</v>
      </c>
      <c r="C40" s="118">
        <v>12626</v>
      </c>
      <c r="D40" s="115">
        <f t="shared" si="7"/>
        <v>127.87566148237721</v>
      </c>
      <c r="E40" s="110">
        <f t="shared" si="1"/>
        <v>12.214338517622792</v>
      </c>
      <c r="F40" s="115">
        <f t="shared" si="2"/>
        <v>8.7189224909863601</v>
      </c>
      <c r="G40" s="114">
        <f t="shared" si="3"/>
        <v>149.19006542308375</v>
      </c>
      <c r="H40" s="121">
        <f t="shared" si="4"/>
        <v>-1.7007101187298588</v>
      </c>
      <c r="I40" s="121"/>
      <c r="J40" s="113">
        <v>5.269775089661465</v>
      </c>
      <c r="K40" s="114">
        <f t="shared" si="6"/>
        <v>0.6271186440677966</v>
      </c>
      <c r="L40" s="114">
        <f t="shared" si="5"/>
        <v>0.32423158413730258</v>
      </c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</row>
    <row r="41" spans="1:34" x14ac:dyDescent="0.25">
      <c r="A41" s="114">
        <v>39</v>
      </c>
      <c r="B41" s="118">
        <v>139.1</v>
      </c>
      <c r="C41" s="118">
        <v>12426</v>
      </c>
      <c r="D41" s="115">
        <f t="shared" si="7"/>
        <v>128.58637160110706</v>
      </c>
      <c r="E41" s="110">
        <f t="shared" si="1"/>
        <v>10.513628398892934</v>
      </c>
      <c r="F41" s="115">
        <f t="shared" si="2"/>
        <v>7.5583237950344611</v>
      </c>
      <c r="G41" s="114">
        <f t="shared" si="3"/>
        <v>110.53638211000799</v>
      </c>
      <c r="H41" s="121">
        <f t="shared" si="4"/>
        <v>-1.8913911486792472</v>
      </c>
      <c r="I41" s="121"/>
      <c r="J41" s="113">
        <v>5.7662067543456743</v>
      </c>
      <c r="K41" s="114">
        <f t="shared" si="6"/>
        <v>0.64406779661016944</v>
      </c>
      <c r="L41" s="114">
        <f t="shared" si="5"/>
        <v>0.36935329360674291</v>
      </c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</row>
    <row r="42" spans="1:34" x14ac:dyDescent="0.25">
      <c r="A42" s="114">
        <v>40</v>
      </c>
      <c r="B42" s="118">
        <v>137.5</v>
      </c>
      <c r="C42" s="118">
        <v>12344</v>
      </c>
      <c r="D42" s="115">
        <f t="shared" si="7"/>
        <v>128.87776274978631</v>
      </c>
      <c r="E42" s="110">
        <f t="shared" si="1"/>
        <v>8.6222372502136864</v>
      </c>
      <c r="F42" s="115">
        <f t="shared" si="2"/>
        <v>6.2707180001554077</v>
      </c>
      <c r="G42" s="114">
        <f t="shared" si="3"/>
        <v>74.342975198972468</v>
      </c>
      <c r="H42" s="121">
        <f t="shared" si="4"/>
        <v>-1.3835535505936321</v>
      </c>
      <c r="I42" s="121"/>
      <c r="J42" s="113">
        <v>5.8024520063966634</v>
      </c>
      <c r="K42" s="114">
        <f t="shared" si="6"/>
        <v>0.66101694915254239</v>
      </c>
      <c r="L42" s="114">
        <f t="shared" si="5"/>
        <v>0.4152401608260714</v>
      </c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</row>
    <row r="43" spans="1:34" x14ac:dyDescent="0.25">
      <c r="A43" s="114">
        <v>41</v>
      </c>
      <c r="B43" s="118">
        <v>136.12</v>
      </c>
      <c r="C43" s="118">
        <v>12343</v>
      </c>
      <c r="D43" s="115">
        <f t="shared" si="7"/>
        <v>128.88131630037995</v>
      </c>
      <c r="E43" s="110">
        <f t="shared" si="1"/>
        <v>7.2386836996200543</v>
      </c>
      <c r="F43" s="115">
        <f t="shared" si="2"/>
        <v>5.3178693062151439</v>
      </c>
      <c r="G43" s="114">
        <f t="shared" si="3"/>
        <v>52.398541703145078</v>
      </c>
      <c r="H43" s="121">
        <f t="shared" si="4"/>
        <v>1.4382362906211767</v>
      </c>
      <c r="I43" s="121"/>
      <c r="J43" s="113">
        <v>6.1854386182762369</v>
      </c>
      <c r="K43" s="114">
        <f t="shared" si="6"/>
        <v>0.67796610169491522</v>
      </c>
      <c r="L43" s="114">
        <f t="shared" si="5"/>
        <v>0.46201885864912062</v>
      </c>
      <c r="M43" s="114"/>
      <c r="N43" s="114"/>
      <c r="O43" s="114" t="s">
        <v>634</v>
      </c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</row>
    <row r="44" spans="1:34" x14ac:dyDescent="0.25">
      <c r="A44" s="114">
        <v>42</v>
      </c>
      <c r="B44" s="118">
        <v>135.22</v>
      </c>
      <c r="C44" s="118">
        <v>13001</v>
      </c>
      <c r="D44" s="115">
        <f t="shared" si="7"/>
        <v>126.54308000975877</v>
      </c>
      <c r="E44" s="110">
        <f t="shared" si="1"/>
        <v>8.6769199902412311</v>
      </c>
      <c r="F44" s="115">
        <f t="shared" si="2"/>
        <v>6.41689098523978</v>
      </c>
      <c r="G44" s="114">
        <f t="shared" si="3"/>
        <v>75.288940517047891</v>
      </c>
      <c r="H44" s="121">
        <f t="shared" si="4"/>
        <v>-2.8744679838445677</v>
      </c>
      <c r="I44" s="121"/>
      <c r="J44" s="113">
        <v>6.3071615713181473</v>
      </c>
      <c r="K44" s="114">
        <f t="shared" si="6"/>
        <v>0.69491525423728817</v>
      </c>
      <c r="L44" s="114">
        <f t="shared" si="5"/>
        <v>0.50983153383249047</v>
      </c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</row>
    <row r="45" spans="1:34" x14ac:dyDescent="0.25">
      <c r="A45" s="114">
        <v>43</v>
      </c>
      <c r="B45" s="118">
        <v>134.72999999999999</v>
      </c>
      <c r="C45" s="118">
        <v>12329.99</v>
      </c>
      <c r="D45" s="115">
        <f t="shared" si="7"/>
        <v>128.92754799360333</v>
      </c>
      <c r="E45" s="110">
        <f t="shared" si="1"/>
        <v>5.8024520063966634</v>
      </c>
      <c r="F45" s="115">
        <f t="shared" si="2"/>
        <v>4.3067260494297219</v>
      </c>
      <c r="G45" s="114">
        <f t="shared" si="3"/>
        <v>33.668449286536664</v>
      </c>
      <c r="H45" s="121">
        <f t="shared" si="4"/>
        <v>-1.3207444283412428</v>
      </c>
      <c r="I45" s="121"/>
      <c r="J45" s="113">
        <v>6.6004178395545097</v>
      </c>
      <c r="K45" s="114">
        <f t="shared" si="6"/>
        <v>0.71186440677966101</v>
      </c>
      <c r="L45" s="114">
        <f t="shared" si="5"/>
        <v>0.55883961079677569</v>
      </c>
      <c r="M45" s="114"/>
      <c r="N45" s="114"/>
      <c r="O45" s="116">
        <f t="array" ref="O45:P49">LINEST(E5:E61,E4:E60,1,1)</f>
        <v>0.94612112542462767</v>
      </c>
      <c r="P45" s="116">
        <v>-0.12297375880326659</v>
      </c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</row>
    <row r="46" spans="1:34" x14ac:dyDescent="0.25">
      <c r="A46" s="114">
        <v>44</v>
      </c>
      <c r="B46" s="118">
        <v>134.38999999999999</v>
      </c>
      <c r="C46" s="118">
        <v>12054</v>
      </c>
      <c r="D46" s="115">
        <f t="shared" si="7"/>
        <v>129.90829242194457</v>
      </c>
      <c r="E46" s="110">
        <f t="shared" si="1"/>
        <v>4.4817075780554205</v>
      </c>
      <c r="F46" s="115">
        <f t="shared" si="2"/>
        <v>3.3348519815874846</v>
      </c>
      <c r="G46" s="114">
        <f t="shared" si="3"/>
        <v>20.085702815199383</v>
      </c>
      <c r="H46" s="121">
        <f t="shared" si="4"/>
        <v>0.78806751160604449</v>
      </c>
      <c r="I46" s="121"/>
      <c r="J46" s="113">
        <v>6.6538811668623765</v>
      </c>
      <c r="K46" s="114">
        <f t="shared" si="6"/>
        <v>0.72881355932203384</v>
      </c>
      <c r="L46" s="114">
        <f t="shared" si="5"/>
        <v>0.60922866701399803</v>
      </c>
      <c r="M46" s="114"/>
      <c r="N46" s="114"/>
      <c r="O46" s="116">
        <v>4.145868420334789E-2</v>
      </c>
      <c r="P46" s="116">
        <v>0.36901067511524421</v>
      </c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</row>
    <row r="47" spans="1:34" x14ac:dyDescent="0.25">
      <c r="A47" s="114">
        <v>45</v>
      </c>
      <c r="B47" s="118">
        <v>134.51</v>
      </c>
      <c r="C47" s="118">
        <v>12242</v>
      </c>
      <c r="D47" s="115">
        <f t="shared" si="7"/>
        <v>129.24022491033853</v>
      </c>
      <c r="E47" s="110">
        <f t="shared" si="1"/>
        <v>5.269775089661465</v>
      </c>
      <c r="F47" s="115">
        <f t="shared" si="2"/>
        <v>3.9177571107437852</v>
      </c>
      <c r="G47" s="114">
        <f t="shared" si="3"/>
        <v>27.770529495616501</v>
      </c>
      <c r="H47" s="121">
        <f t="shared" si="4"/>
        <v>1.0373864816566822</v>
      </c>
      <c r="I47" s="121"/>
      <c r="J47" s="113">
        <v>6.6716551541620959</v>
      </c>
      <c r="K47" s="114">
        <f t="shared" si="6"/>
        <v>0.74576271186440679</v>
      </c>
      <c r="L47" s="114">
        <f t="shared" si="5"/>
        <v>0.66121479220131485</v>
      </c>
      <c r="M47" s="114"/>
      <c r="N47" s="114"/>
      <c r="O47" s="116">
        <v>0.90447902651865897</v>
      </c>
      <c r="P47" s="116">
        <v>2.7857337197452741</v>
      </c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</row>
    <row r="48" spans="1:34" x14ac:dyDescent="0.25">
      <c r="A48" s="114">
        <v>46</v>
      </c>
      <c r="B48" s="118">
        <v>134.46</v>
      </c>
      <c r="C48" s="118">
        <v>12548</v>
      </c>
      <c r="D48" s="115">
        <f t="shared" si="7"/>
        <v>128.15283842868186</v>
      </c>
      <c r="E48" s="110">
        <f t="shared" si="1"/>
        <v>6.3071615713181473</v>
      </c>
      <c r="F48" s="115">
        <f t="shared" si="2"/>
        <v>4.6907344721985318</v>
      </c>
      <c r="G48" s="114">
        <f t="shared" si="3"/>
        <v>39.780287086712399</v>
      </c>
      <c r="H48" s="121">
        <f t="shared" si="4"/>
        <v>1.4588474754532399</v>
      </c>
      <c r="I48" s="121"/>
      <c r="J48" s="113">
        <v>7.2386836996200543</v>
      </c>
      <c r="K48" s="114">
        <f t="shared" si="6"/>
        <v>0.76271186440677963</v>
      </c>
      <c r="L48" s="114">
        <f t="shared" si="5"/>
        <v>0.71505303754992222</v>
      </c>
      <c r="M48" s="114"/>
      <c r="N48" s="114"/>
      <c r="O48" s="116">
        <v>520.78977679434649</v>
      </c>
      <c r="P48" s="116">
        <v>55</v>
      </c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</row>
    <row r="49" spans="1:34" x14ac:dyDescent="0.25">
      <c r="A49" s="114">
        <v>47</v>
      </c>
      <c r="B49" s="118">
        <v>134.27000000000001</v>
      </c>
      <c r="C49" s="118">
        <v>13012</v>
      </c>
      <c r="D49" s="115">
        <f t="shared" si="7"/>
        <v>126.50399095322862</v>
      </c>
      <c r="E49" s="110">
        <f t="shared" si="1"/>
        <v>7.7660090467713871</v>
      </c>
      <c r="F49" s="115">
        <f t="shared" si="2"/>
        <v>5.7838750627626325</v>
      </c>
      <c r="G49" s="114">
        <f t="shared" si="3"/>
        <v>60.310896514535031</v>
      </c>
      <c r="H49" s="121">
        <f t="shared" si="4"/>
        <v>-1.0943538926092913</v>
      </c>
      <c r="I49" s="121"/>
      <c r="J49" s="113">
        <v>7.2995391020308489</v>
      </c>
      <c r="K49" s="114">
        <f t="shared" si="6"/>
        <v>0.77966101694915257</v>
      </c>
      <c r="L49" s="114">
        <f t="shared" si="5"/>
        <v>0.77104886863964417</v>
      </c>
      <c r="M49" s="114"/>
      <c r="N49" s="114"/>
      <c r="O49" s="116">
        <v>4041.4913404261333</v>
      </c>
      <c r="P49" s="116">
        <v>426.8171796529212</v>
      </c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</row>
    <row r="50" spans="1:34" x14ac:dyDescent="0.25">
      <c r="A50" s="114">
        <v>48</v>
      </c>
      <c r="B50" s="118">
        <v>133.72999999999999</v>
      </c>
      <c r="C50" s="118">
        <v>12856</v>
      </c>
      <c r="D50" s="115">
        <f t="shared" si="7"/>
        <v>127.05834484583789</v>
      </c>
      <c r="E50" s="110">
        <f t="shared" si="1"/>
        <v>6.6716551541620959</v>
      </c>
      <c r="F50" s="115">
        <f t="shared" si="2"/>
        <v>4.9888993899365106</v>
      </c>
      <c r="G50" s="114">
        <f t="shared" si="3"/>
        <v>44.510982496057657</v>
      </c>
      <c r="H50" s="121">
        <f t="shared" si="4"/>
        <v>-2.6901193120662299</v>
      </c>
      <c r="I50" s="121"/>
      <c r="J50" s="113">
        <v>7.3598792443902425</v>
      </c>
      <c r="K50" s="114">
        <f t="shared" si="6"/>
        <v>0.79661016949152541</v>
      </c>
      <c r="L50" s="114">
        <f t="shared" si="5"/>
        <v>0.82957403698182763</v>
      </c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</row>
    <row r="51" spans="1:34" x14ac:dyDescent="0.25">
      <c r="A51" s="114">
        <v>49</v>
      </c>
      <c r="B51" s="118">
        <v>132.01</v>
      </c>
      <c r="C51" s="118">
        <v>12583</v>
      </c>
      <c r="D51" s="115">
        <f t="shared" si="7"/>
        <v>128.02846415790412</v>
      </c>
      <c r="E51" s="110">
        <f t="shared" si="1"/>
        <v>3.981535842095866</v>
      </c>
      <c r="F51" s="115">
        <f t="shared" si="2"/>
        <v>3.0160865404862252</v>
      </c>
      <c r="G51" s="114">
        <f t="shared" si="3"/>
        <v>15.852627661894036</v>
      </c>
      <c r="H51" s="121">
        <f t="shared" si="4"/>
        <v>-1.7646944075839599</v>
      </c>
      <c r="I51" s="121"/>
      <c r="J51" s="113">
        <v>7.4210148805495919</v>
      </c>
      <c r="K51" s="114">
        <f t="shared" si="6"/>
        <v>0.81355932203389836</v>
      </c>
      <c r="L51" s="114">
        <f t="shared" si="5"/>
        <v>0.89108913003410994</v>
      </c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</row>
    <row r="52" spans="1:34" x14ac:dyDescent="0.25">
      <c r="A52" s="114">
        <v>50</v>
      </c>
      <c r="B52" s="118">
        <v>130.59</v>
      </c>
      <c r="C52" s="118">
        <v>12486</v>
      </c>
      <c r="D52" s="115">
        <f t="shared" si="7"/>
        <v>128.3731585654881</v>
      </c>
      <c r="E52" s="110">
        <f t="shared" si="1"/>
        <v>2.2168414345119061</v>
      </c>
      <c r="F52" s="115">
        <f t="shared" si="2"/>
        <v>1.6975583387027384</v>
      </c>
      <c r="G52" s="114">
        <f t="shared" si="3"/>
        <v>4.9143859457688057</v>
      </c>
      <c r="H52" s="121">
        <f t="shared" si="4"/>
        <v>0.5392985918821438</v>
      </c>
      <c r="I52" s="121"/>
      <c r="J52" s="113">
        <v>7.7660090467713871</v>
      </c>
      <c r="K52" s="114">
        <f t="shared" si="6"/>
        <v>0.83050847457627119</v>
      </c>
      <c r="L52" s="114">
        <f t="shared" si="5"/>
        <v>0.95617653892006238</v>
      </c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</row>
    <row r="53" spans="1:34" x14ac:dyDescent="0.25">
      <c r="A53" s="114">
        <v>51</v>
      </c>
      <c r="B53" s="118">
        <v>130.28</v>
      </c>
      <c r="C53" s="118">
        <v>12725</v>
      </c>
      <c r="D53" s="115">
        <f t="shared" si="7"/>
        <v>127.52385997360595</v>
      </c>
      <c r="E53" s="110">
        <f t="shared" si="1"/>
        <v>2.7561400263940499</v>
      </c>
      <c r="F53" s="115">
        <f t="shared" si="2"/>
        <v>2.1155511409226664</v>
      </c>
      <c r="G53" s="114">
        <f t="shared" si="3"/>
        <v>7.5963078450913937</v>
      </c>
      <c r="H53" s="121">
        <f t="shared" si="4"/>
        <v>-0.1498806879337593</v>
      </c>
      <c r="I53" s="121"/>
      <c r="J53" s="113">
        <v>8.218144996407176</v>
      </c>
      <c r="K53" s="114">
        <f t="shared" si="6"/>
        <v>0.84745762711864403</v>
      </c>
      <c r="L53" s="114">
        <f t="shared" si="5"/>
        <v>1.0255902911278738</v>
      </c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</row>
    <row r="54" spans="1:34" x14ac:dyDescent="0.25">
      <c r="A54" s="114">
        <v>52</v>
      </c>
      <c r="B54" s="118">
        <v>129.16</v>
      </c>
      <c r="C54" s="118">
        <v>12998</v>
      </c>
      <c r="D54" s="115">
        <f t="shared" si="7"/>
        <v>126.55374066153971</v>
      </c>
      <c r="E54" s="110">
        <f t="shared" si="1"/>
        <v>2.6062593384602906</v>
      </c>
      <c r="F54" s="115">
        <f t="shared" si="2"/>
        <v>2.0178533125273233</v>
      </c>
      <c r="G54" s="114">
        <f t="shared" si="3"/>
        <v>6.7925877393114718</v>
      </c>
      <c r="H54" s="121">
        <f t="shared" si="4"/>
        <v>-1.0515308389139193</v>
      </c>
      <c r="I54" s="121"/>
      <c r="J54" s="113">
        <v>8.6222372502136864</v>
      </c>
      <c r="K54" s="114">
        <f t="shared" si="6"/>
        <v>0.86440677966101698</v>
      </c>
      <c r="L54" s="114">
        <f t="shared" si="5"/>
        <v>1.1003344194590818</v>
      </c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</row>
    <row r="55" spans="1:34" x14ac:dyDescent="0.25">
      <c r="A55" s="114">
        <v>53</v>
      </c>
      <c r="B55" s="118">
        <v>128.94</v>
      </c>
      <c r="C55" s="118">
        <v>12764</v>
      </c>
      <c r="D55" s="115">
        <f t="shared" si="7"/>
        <v>127.38527150045363</v>
      </c>
      <c r="E55" s="110">
        <f t="shared" si="1"/>
        <v>1.5547284995463713</v>
      </c>
      <c r="F55" s="115">
        <f t="shared" si="2"/>
        <v>1.2057767175014511</v>
      </c>
      <c r="G55" s="114">
        <f t="shared" si="3"/>
        <v>2.4171807073017111</v>
      </c>
      <c r="H55" s="121">
        <f t="shared" si="4"/>
        <v>-0.8162252464978792</v>
      </c>
      <c r="I55" s="121"/>
      <c r="J55" s="113">
        <v>8.6769199902412311</v>
      </c>
      <c r="K55" s="114">
        <f t="shared" si="6"/>
        <v>0.88135593220338981</v>
      </c>
      <c r="L55" s="114">
        <f t="shared" si="5"/>
        <v>1.1817922703491182</v>
      </c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</row>
    <row r="56" spans="1:34" x14ac:dyDescent="0.25">
      <c r="A56" s="114">
        <v>54</v>
      </c>
      <c r="B56" s="118">
        <v>129.30000000000001</v>
      </c>
      <c r="C56" s="118">
        <v>12433</v>
      </c>
      <c r="D56" s="115">
        <f t="shared" si="7"/>
        <v>128.56149674695152</v>
      </c>
      <c r="E56" s="110">
        <f t="shared" si="1"/>
        <v>0.73850325304849207</v>
      </c>
      <c r="F56" s="115">
        <f t="shared" si="2"/>
        <v>0.57115487474748028</v>
      </c>
      <c r="G56" s="114">
        <f t="shared" si="3"/>
        <v>0.54538705476320515</v>
      </c>
      <c r="H56" s="121">
        <f t="shared" si="4"/>
        <v>1.6463410687830446</v>
      </c>
      <c r="I56" s="121"/>
      <c r="J56" s="113">
        <v>8.6872110382670229</v>
      </c>
      <c r="K56" s="114">
        <f t="shared" si="6"/>
        <v>0.89830508474576276</v>
      </c>
      <c r="L56" s="114">
        <f t="shared" si="5"/>
        <v>1.2719529676842083</v>
      </c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</row>
    <row r="57" spans="1:34" x14ac:dyDescent="0.25">
      <c r="A57" s="114">
        <v>55</v>
      </c>
      <c r="B57" s="118">
        <v>131.22</v>
      </c>
      <c r="C57" s="118">
        <v>12355.99</v>
      </c>
      <c r="D57" s="115">
        <f t="shared" si="7"/>
        <v>128.83515567816846</v>
      </c>
      <c r="E57" s="110">
        <f t="shared" si="1"/>
        <v>2.3848443218315367</v>
      </c>
      <c r="F57" s="115">
        <f t="shared" si="2"/>
        <v>1.8174396599844056</v>
      </c>
      <c r="G57" s="114">
        <f t="shared" si="3"/>
        <v>5.6874824393721219</v>
      </c>
      <c r="H57" s="121">
        <f t="shared" si="4"/>
        <v>0.78832425002048012</v>
      </c>
      <c r="I57" s="121"/>
      <c r="J57" s="113">
        <v>9.5833460614791193</v>
      </c>
      <c r="K57" s="114">
        <f t="shared" si="6"/>
        <v>0.9152542372881356</v>
      </c>
      <c r="L57" s="114">
        <f t="shared" si="5"/>
        <v>1.3738394673770855</v>
      </c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</row>
    <row r="58" spans="1:34" x14ac:dyDescent="0.25">
      <c r="A58" s="114">
        <v>56</v>
      </c>
      <c r="B58" s="118">
        <v>132.52000000000001</v>
      </c>
      <c r="C58" s="118">
        <v>12212</v>
      </c>
      <c r="D58" s="115">
        <f t="shared" si="7"/>
        <v>129.34683142814799</v>
      </c>
      <c r="E58" s="110">
        <f t="shared" si="1"/>
        <v>3.1731685718520168</v>
      </c>
      <c r="F58" s="115">
        <f t="shared" si="2"/>
        <v>2.3944827738092487</v>
      </c>
      <c r="G58" s="114">
        <f t="shared" si="3"/>
        <v>10.068998785389368</v>
      </c>
      <c r="H58" s="121">
        <f t="shared" si="4"/>
        <v>2.0711408569902972</v>
      </c>
      <c r="I58" s="121"/>
      <c r="J58" s="113">
        <v>10.089716591657989</v>
      </c>
      <c r="K58" s="114">
        <f t="shared" si="6"/>
        <v>0.93220338983050843</v>
      </c>
      <c r="L58" s="114">
        <f t="shared" si="5"/>
        <v>1.4924041783203592</v>
      </c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</row>
    <row r="59" spans="1:34" x14ac:dyDescent="0.25">
      <c r="A59" s="114">
        <v>57</v>
      </c>
      <c r="B59" s="118">
        <v>134.25</v>
      </c>
      <c r="C59" s="118">
        <v>12308</v>
      </c>
      <c r="D59" s="115">
        <f t="shared" si="7"/>
        <v>129.00569057115769</v>
      </c>
      <c r="E59" s="110">
        <f t="shared" si="1"/>
        <v>5.244309428842314</v>
      </c>
      <c r="F59" s="115">
        <f t="shared" si="2"/>
        <v>3.9063757384300288</v>
      </c>
      <c r="G59" s="114">
        <f t="shared" si="3"/>
        <v>27.502781385444397</v>
      </c>
      <c r="H59" s="121">
        <f t="shared" si="4"/>
        <v>2.1155698155479286</v>
      </c>
      <c r="I59" s="121"/>
      <c r="J59" s="113">
        <v>10.513628398892934</v>
      </c>
      <c r="K59" s="114">
        <f t="shared" si="6"/>
        <v>0.94915254237288138</v>
      </c>
      <c r="L59" s="114">
        <f t="shared" si="5"/>
        <v>1.6366916466733989</v>
      </c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</row>
    <row r="60" spans="1:34" x14ac:dyDescent="0.25">
      <c r="A60" s="114">
        <v>58</v>
      </c>
      <c r="B60" s="118">
        <v>136.06</v>
      </c>
      <c r="C60" s="118">
        <v>12393.99</v>
      </c>
      <c r="D60" s="115">
        <f t="shared" si="7"/>
        <v>128.70012075560976</v>
      </c>
      <c r="E60" s="110">
        <f t="shared" si="1"/>
        <v>7.3598792443902425</v>
      </c>
      <c r="F60" s="115">
        <f t="shared" si="2"/>
        <v>5.4092894637588138</v>
      </c>
      <c r="G60" s="114">
        <f t="shared" si="3"/>
        <v>54.167822492006287</v>
      </c>
      <c r="H60" s="121"/>
      <c r="I60" s="121"/>
      <c r="J60" s="113">
        <v>12.214338517622792</v>
      </c>
      <c r="K60" s="114">
        <f t="shared" si="6"/>
        <v>0.96610169491525422</v>
      </c>
      <c r="L60" s="114">
        <f t="shared" si="5"/>
        <v>1.8263562979439059</v>
      </c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</row>
    <row r="61" spans="1:34" x14ac:dyDescent="0.25">
      <c r="A61" s="114" t="s">
        <v>76</v>
      </c>
      <c r="B61" s="121">
        <f t="shared" ref="B61:H61" si="8">SUM(B3:B60)</f>
        <v>7013.130000000001</v>
      </c>
      <c r="C61" s="121">
        <f t="shared" si="8"/>
        <v>845900.97</v>
      </c>
      <c r="D61" s="121">
        <f t="shared" si="8"/>
        <v>7013.130000000001</v>
      </c>
      <c r="E61" s="121">
        <f t="shared" si="8"/>
        <v>-1.3784529073745944E-12</v>
      </c>
      <c r="F61" s="121">
        <f t="shared" si="8"/>
        <v>368.87110836275644</v>
      </c>
      <c r="G61" s="121">
        <f t="shared" si="8"/>
        <v>4559.230213163255</v>
      </c>
      <c r="H61" s="121">
        <f t="shared" si="8"/>
        <v>0.75946140483573288</v>
      </c>
      <c r="I61" s="121"/>
      <c r="J61" s="113">
        <v>13.422135359371481</v>
      </c>
      <c r="K61" s="114">
        <f t="shared" si="6"/>
        <v>0.98305084745762716</v>
      </c>
      <c r="L61" s="114">
        <f t="shared" si="5"/>
        <v>2.1212793024540031</v>
      </c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</row>
    <row r="62" spans="1:34" x14ac:dyDescent="0.25">
      <c r="A62" s="114" t="s">
        <v>77</v>
      </c>
      <c r="B62" s="121">
        <f t="shared" ref="B62:H62" si="9">AVERAGE(B3:B60)</f>
        <v>120.91603448275863</v>
      </c>
      <c r="C62" s="121">
        <f t="shared" si="9"/>
        <v>14584.49948275862</v>
      </c>
      <c r="D62" s="121">
        <f t="shared" si="9"/>
        <v>120.91603448275863</v>
      </c>
      <c r="E62" s="121">
        <f t="shared" si="9"/>
        <v>-2.3766429437493005E-14</v>
      </c>
      <c r="F62" s="121">
        <f t="shared" si="9"/>
        <v>6.3598466959095941</v>
      </c>
      <c r="G62" s="121">
        <f t="shared" si="9"/>
        <v>78.607417468331988</v>
      </c>
      <c r="H62" s="121">
        <f t="shared" si="9"/>
        <v>1.3323884295363735E-2</v>
      </c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</row>
    <row r="63" spans="1:34" x14ac:dyDescent="0.25">
      <c r="A63" s="114"/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</row>
    <row r="64" spans="1:34" x14ac:dyDescent="0.25">
      <c r="A64" s="114"/>
      <c r="B64" s="114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</row>
    <row r="65" spans="1:34" x14ac:dyDescent="0.25">
      <c r="A65" s="114"/>
      <c r="B65" s="114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</row>
    <row r="66" spans="1:34" x14ac:dyDescent="0.25">
      <c r="A66" s="114"/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</row>
  </sheetData>
  <sortState ref="J4:J61">
    <sortCondition ref="J4:J61"/>
  </sortState>
  <mergeCells count="1">
    <mergeCell ref="J2:L2"/>
  </mergeCells>
  <hyperlinks>
    <hyperlink ref="Q23" location="'Y от Х6'!E62" display="2) Значение ячейки E63=0, т.е. средняя величина остатков равна 0 и не зависит от Xi."/>
    <hyperlink ref="Q26" location="'Y от Х6'!U27:AD46" display="5)Нанесенные на график проверки распределения на нормальность точки укладываются вдоль линии тренда,"/>
    <hyperlink ref="Q25" location="'Y от Х6'!R20" display="4) Коэффициент корреляции rɛiɛj  существенно отличен от 0, что говорит о наличии автокорреляции остатков."/>
    <hyperlink ref="Q24" location="'Y от Х6'!N28:W46" display="3) Наличие гомоскедастичности можно видеть на графике зависимости остатков ɛi от теоретических значений Ŷₓ. "/>
    <hyperlink ref="Q22" location="'Y от Х6'!N28:W46" display="1) Из графика зависимости случайных остатков ɛi от теоретического Ŷₓ видно, что остаткиимеют случайный характер.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2"/>
  <sheetViews>
    <sheetView zoomScaleNormal="100" workbookViewId="0">
      <selection activeCell="I2" sqref="I2"/>
    </sheetView>
  </sheetViews>
  <sheetFormatPr defaultRowHeight="15" x14ac:dyDescent="0.25"/>
  <cols>
    <col min="4" max="4" width="9.140625" customWidth="1"/>
    <col min="10" max="10" width="14.7109375" customWidth="1"/>
    <col min="11" max="11" width="13.7109375" customWidth="1"/>
    <col min="12" max="12" width="15.85546875" customWidth="1"/>
  </cols>
  <sheetData>
    <row r="1" spans="1:36" x14ac:dyDescent="0.25">
      <c r="A1" s="114"/>
      <c r="B1" s="119">
        <v>1</v>
      </c>
      <c r="C1" s="119">
        <v>2</v>
      </c>
      <c r="D1" s="119">
        <v>3</v>
      </c>
      <c r="E1" s="119">
        <v>4</v>
      </c>
      <c r="F1" s="119">
        <v>5</v>
      </c>
      <c r="G1" s="119">
        <v>6</v>
      </c>
      <c r="H1" s="119">
        <v>7</v>
      </c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</row>
    <row r="2" spans="1:36" ht="18" x14ac:dyDescent="0.25">
      <c r="A2" s="114"/>
      <c r="B2" s="117" t="s">
        <v>48</v>
      </c>
      <c r="C2" s="117" t="s">
        <v>694</v>
      </c>
      <c r="D2" s="67" t="s">
        <v>646</v>
      </c>
      <c r="E2" s="67" t="s">
        <v>576</v>
      </c>
      <c r="F2" s="117" t="s">
        <v>620</v>
      </c>
      <c r="G2" s="111" t="s">
        <v>653</v>
      </c>
      <c r="H2" s="111" t="s">
        <v>652</v>
      </c>
      <c r="I2" s="111"/>
      <c r="J2" s="207" t="s">
        <v>604</v>
      </c>
      <c r="K2" s="207"/>
      <c r="L2" s="207"/>
      <c r="M2" s="120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</row>
    <row r="3" spans="1:36" ht="60" x14ac:dyDescent="0.25">
      <c r="A3" s="114">
        <v>1</v>
      </c>
      <c r="B3" s="118">
        <v>102.32</v>
      </c>
      <c r="C3" s="11">
        <v>-5</v>
      </c>
      <c r="D3" s="115">
        <f t="shared" ref="D3:D34" si="0">$N$21*C3+$O$21</f>
        <v>109.7233532571552</v>
      </c>
      <c r="E3" s="109">
        <f>B3-D3</f>
        <v>-7.403353257155203</v>
      </c>
      <c r="F3" s="115">
        <f>ABS(E3/B3)*100</f>
        <v>7.2354898916684949</v>
      </c>
      <c r="G3" s="115">
        <f>E3*E3</f>
        <v>54.809639450230556</v>
      </c>
      <c r="H3" s="108">
        <f>(E4-E3)</f>
        <v>1.0921768723796248</v>
      </c>
      <c r="I3" s="121"/>
      <c r="J3" s="132" t="s">
        <v>632</v>
      </c>
      <c r="K3" s="124" t="s">
        <v>608</v>
      </c>
      <c r="L3" s="124" t="s">
        <v>609</v>
      </c>
      <c r="M3" s="12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  <c r="AJ3" s="114"/>
    </row>
    <row r="4" spans="1:36" ht="18" x14ac:dyDescent="0.35">
      <c r="A4" s="114">
        <v>2</v>
      </c>
      <c r="B4" s="118">
        <v>102.21</v>
      </c>
      <c r="C4" s="118">
        <v>-4</v>
      </c>
      <c r="D4" s="115">
        <f t="shared" si="0"/>
        <v>108.52117638477557</v>
      </c>
      <c r="E4" s="109">
        <f t="shared" ref="E4:E60" si="1">B4-D4</f>
        <v>-6.3111763847755782</v>
      </c>
      <c r="F4" s="115">
        <f t="shared" ref="F4:F60" si="2">ABS(E4/B4)*100</f>
        <v>6.1747151793127664</v>
      </c>
      <c r="G4" s="114">
        <f t="shared" ref="G4:G60" si="3">E4*E4</f>
        <v>39.83094735974894</v>
      </c>
      <c r="H4" s="121">
        <f t="shared" ref="H4:H59" si="4">(E5-E4)</f>
        <v>-1.2521768723796214</v>
      </c>
      <c r="I4" s="121"/>
      <c r="J4" s="113">
        <v>-10.326414491432971</v>
      </c>
      <c r="K4" s="114">
        <f>A3/59</f>
        <v>1.6949152542372881E-2</v>
      </c>
      <c r="L4" s="114">
        <f t="shared" ref="L4:L61" si="5">_xlfn.NORM.S.INV(K4)</f>
        <v>-2.1212793024540013</v>
      </c>
      <c r="M4" s="114"/>
      <c r="N4" s="114" t="s">
        <v>610</v>
      </c>
      <c r="O4" s="114">
        <f>N24</f>
        <v>187.82411928560362</v>
      </c>
      <c r="P4" s="120" t="s">
        <v>580</v>
      </c>
      <c r="Q4" s="114" t="s">
        <v>611</v>
      </c>
      <c r="R4" s="114">
        <f>_xlfn.F.INV.RT(0.05,1,56)</f>
        <v>4.0129733776501437</v>
      </c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</row>
    <row r="5" spans="1:36" ht="18" x14ac:dyDescent="0.35">
      <c r="A5" s="114">
        <v>3</v>
      </c>
      <c r="B5" s="118">
        <v>102.16</v>
      </c>
      <c r="C5" s="118">
        <v>-5</v>
      </c>
      <c r="D5" s="115">
        <f t="shared" si="0"/>
        <v>109.7233532571552</v>
      </c>
      <c r="E5" s="109">
        <f t="shared" si="1"/>
        <v>-7.5633532571551996</v>
      </c>
      <c r="F5" s="115">
        <f t="shared" si="2"/>
        <v>7.4034389752889593</v>
      </c>
      <c r="G5" s="114">
        <f t="shared" si="3"/>
        <v>57.204312492520167</v>
      </c>
      <c r="H5" s="121">
        <f t="shared" si="4"/>
        <v>1.1021768723796299</v>
      </c>
      <c r="I5" s="121"/>
      <c r="J5" s="113">
        <v>-9.1364144914329728</v>
      </c>
      <c r="K5" s="114">
        <f t="shared" ref="K5:K61" si="6">A4/59</f>
        <v>3.3898305084745763E-2</v>
      </c>
      <c r="L5" s="114">
        <f t="shared" si="5"/>
        <v>-1.8263562979439061</v>
      </c>
      <c r="M5" s="114"/>
      <c r="N5" s="114" t="s">
        <v>612</v>
      </c>
      <c r="O5" s="114">
        <f>O21/O22</f>
        <v>68.95037072388287</v>
      </c>
      <c r="P5" s="120" t="s">
        <v>580</v>
      </c>
      <c r="Q5" s="114" t="s">
        <v>614</v>
      </c>
      <c r="R5" s="114">
        <f>_xlfn.T.INV.2T(0.05,56)</f>
        <v>2.0032407188478727</v>
      </c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  <c r="AG5" s="114"/>
      <c r="AH5" s="114"/>
      <c r="AI5" s="114"/>
      <c r="AJ5" s="114"/>
    </row>
    <row r="6" spans="1:36" ht="18" x14ac:dyDescent="0.35">
      <c r="A6" s="114">
        <v>4</v>
      </c>
      <c r="B6" s="118">
        <v>102.06</v>
      </c>
      <c r="C6" s="118">
        <v>-4</v>
      </c>
      <c r="D6" s="115">
        <f t="shared" si="0"/>
        <v>108.52117638477557</v>
      </c>
      <c r="E6" s="109">
        <f t="shared" si="1"/>
        <v>-6.4611763847755697</v>
      </c>
      <c r="F6" s="115">
        <f t="shared" si="2"/>
        <v>6.3307626736974028</v>
      </c>
      <c r="G6" s="114">
        <f t="shared" si="3"/>
        <v>41.746800275181499</v>
      </c>
      <c r="H6" s="121">
        <f t="shared" si="4"/>
        <v>-1.9143537447592678</v>
      </c>
      <c r="I6" s="121"/>
      <c r="J6" s="113">
        <v>-8.3755301295348374</v>
      </c>
      <c r="K6" s="114">
        <f t="shared" si="6"/>
        <v>5.0847457627118647E-2</v>
      </c>
      <c r="L6" s="114">
        <f t="shared" si="5"/>
        <v>-1.6366916466733989</v>
      </c>
      <c r="M6" s="114"/>
      <c r="N6" s="114" t="s">
        <v>613</v>
      </c>
      <c r="O6" s="114">
        <f>N21/N22</f>
        <v>-13.704893990308852</v>
      </c>
      <c r="P6" s="120" t="s">
        <v>580</v>
      </c>
      <c r="Q6" s="114" t="s">
        <v>614</v>
      </c>
      <c r="R6" s="114">
        <f>_xlfn.T.INV.2T(0.05,56)</f>
        <v>2.0032407188478727</v>
      </c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</row>
    <row r="7" spans="1:36" x14ac:dyDescent="0.25">
      <c r="A7" s="114">
        <v>5</v>
      </c>
      <c r="B7" s="118">
        <v>102.55</v>
      </c>
      <c r="C7" s="118">
        <v>-6</v>
      </c>
      <c r="D7" s="115">
        <f t="shared" si="0"/>
        <v>110.92553012953483</v>
      </c>
      <c r="E7" s="109">
        <f t="shared" si="1"/>
        <v>-8.3755301295348374</v>
      </c>
      <c r="F7" s="115">
        <f t="shared" si="2"/>
        <v>8.1672648752168087</v>
      </c>
      <c r="G7" s="114">
        <f t="shared" si="3"/>
        <v>70.14950495074585</v>
      </c>
      <c r="H7" s="121">
        <f t="shared" si="4"/>
        <v>3.0021768723796356</v>
      </c>
      <c r="I7" s="121"/>
      <c r="J7" s="113">
        <v>-8.2642376190533469</v>
      </c>
      <c r="K7" s="114">
        <f t="shared" si="6"/>
        <v>6.7796610169491525E-2</v>
      </c>
      <c r="L7" s="114">
        <f t="shared" si="5"/>
        <v>-1.492404178320359</v>
      </c>
      <c r="M7" s="114"/>
      <c r="N7" s="114" t="s">
        <v>686</v>
      </c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</row>
    <row r="8" spans="1:36" x14ac:dyDescent="0.25">
      <c r="A8" s="114">
        <v>6</v>
      </c>
      <c r="B8" s="118">
        <v>104.35</v>
      </c>
      <c r="C8" s="118">
        <v>-5</v>
      </c>
      <c r="D8" s="115">
        <f t="shared" si="0"/>
        <v>109.7233532571552</v>
      </c>
      <c r="E8" s="109">
        <f t="shared" si="1"/>
        <v>-5.3733532571552018</v>
      </c>
      <c r="F8" s="115">
        <f t="shared" si="2"/>
        <v>5.1493562598516549</v>
      </c>
      <c r="G8" s="114">
        <f t="shared" si="3"/>
        <v>28.872925226180417</v>
      </c>
      <c r="H8" s="121">
        <f t="shared" si="4"/>
        <v>2.0178231276203604</v>
      </c>
      <c r="I8" s="121"/>
      <c r="J8" s="113">
        <v>-8.2486458155977687</v>
      </c>
      <c r="K8" s="114">
        <f t="shared" si="6"/>
        <v>8.4745762711864403E-2</v>
      </c>
      <c r="L8" s="114">
        <f t="shared" si="5"/>
        <v>-1.3738394673770855</v>
      </c>
      <c r="M8" s="114"/>
      <c r="N8" s="114" t="s">
        <v>687</v>
      </c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  <c r="AJ8" s="114"/>
    </row>
    <row r="9" spans="1:36" ht="18" x14ac:dyDescent="0.35">
      <c r="A9" s="114">
        <v>7</v>
      </c>
      <c r="B9" s="118">
        <v>107.57</v>
      </c>
      <c r="C9" s="118">
        <v>-6</v>
      </c>
      <c r="D9" s="115">
        <f t="shared" si="0"/>
        <v>110.92553012953483</v>
      </c>
      <c r="E9" s="109">
        <f t="shared" si="1"/>
        <v>-3.3555301295348414</v>
      </c>
      <c r="F9" s="115">
        <f t="shared" si="2"/>
        <v>3.1193921442175716</v>
      </c>
      <c r="G9" s="114">
        <f t="shared" si="3"/>
        <v>11.25958245021611</v>
      </c>
      <c r="H9" s="121">
        <f t="shared" si="4"/>
        <v>3.1878231276203763</v>
      </c>
      <c r="I9" s="121"/>
      <c r="J9" s="113">
        <v>-7.5633532571551996</v>
      </c>
      <c r="K9" s="114">
        <f t="shared" si="6"/>
        <v>0.10169491525423729</v>
      </c>
      <c r="L9" s="114">
        <f t="shared" si="5"/>
        <v>-1.2719529676842081</v>
      </c>
      <c r="M9" s="114"/>
      <c r="N9" s="68" t="s">
        <v>617</v>
      </c>
      <c r="O9" s="114">
        <f>N23</f>
        <v>0.77032624924852355</v>
      </c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</row>
    <row r="10" spans="1:36" x14ac:dyDescent="0.25">
      <c r="A10" s="114">
        <v>8</v>
      </c>
      <c r="B10" s="118">
        <v>111.96</v>
      </c>
      <c r="C10" s="118">
        <v>-7</v>
      </c>
      <c r="D10" s="115">
        <f t="shared" si="0"/>
        <v>112.12770700191446</v>
      </c>
      <c r="E10" s="109">
        <f t="shared" si="1"/>
        <v>-0.16770700191446508</v>
      </c>
      <c r="F10" s="115">
        <f t="shared" si="2"/>
        <v>0.14979189167065476</v>
      </c>
      <c r="G10" s="114">
        <f t="shared" si="3"/>
        <v>2.8125638491138395E-2</v>
      </c>
      <c r="H10" s="121">
        <f t="shared" si="4"/>
        <v>2.107823127620378</v>
      </c>
      <c r="I10" s="121"/>
      <c r="J10" s="113">
        <v>-7.403353257155203</v>
      </c>
      <c r="K10" s="114">
        <f t="shared" si="6"/>
        <v>0.11864406779661017</v>
      </c>
      <c r="L10" s="114">
        <f t="shared" si="5"/>
        <v>-1.1817922703491182</v>
      </c>
      <c r="M10" s="114"/>
      <c r="N10" s="114" t="s">
        <v>695</v>
      </c>
      <c r="O10" s="114"/>
      <c r="P10" s="66"/>
      <c r="Q10" s="66"/>
      <c r="R10" s="66"/>
      <c r="S10" s="66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</row>
    <row r="11" spans="1:36" x14ac:dyDescent="0.25">
      <c r="A11" s="114">
        <v>9</v>
      </c>
      <c r="B11" s="118">
        <v>115.27</v>
      </c>
      <c r="C11" s="118">
        <v>-8</v>
      </c>
      <c r="D11" s="115">
        <f t="shared" si="0"/>
        <v>113.32988387429408</v>
      </c>
      <c r="E11" s="110">
        <f t="shared" si="1"/>
        <v>1.940116125705913</v>
      </c>
      <c r="F11" s="115">
        <f t="shared" si="2"/>
        <v>1.6831058607668197</v>
      </c>
      <c r="G11" s="114">
        <f t="shared" si="3"/>
        <v>3.7640505812241218</v>
      </c>
      <c r="H11" s="121">
        <f t="shared" si="4"/>
        <v>1.9000000000000057</v>
      </c>
      <c r="I11" s="121"/>
      <c r="J11" s="113">
        <v>-7.3845097580764616</v>
      </c>
      <c r="K11" s="114">
        <f t="shared" si="6"/>
        <v>0.13559322033898305</v>
      </c>
      <c r="L11" s="114">
        <f t="shared" si="5"/>
        <v>-1.1003344194590818</v>
      </c>
      <c r="M11" s="114"/>
      <c r="N11" s="114" t="s">
        <v>618</v>
      </c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</row>
    <row r="12" spans="1:36" x14ac:dyDescent="0.25">
      <c r="A12" s="114">
        <v>10</v>
      </c>
      <c r="B12" s="118">
        <v>117.17</v>
      </c>
      <c r="C12" s="118">
        <v>-8</v>
      </c>
      <c r="D12" s="115">
        <f t="shared" si="0"/>
        <v>113.32988387429408</v>
      </c>
      <c r="E12" s="110">
        <f t="shared" si="1"/>
        <v>3.8401161257059186</v>
      </c>
      <c r="F12" s="115">
        <f t="shared" si="2"/>
        <v>3.277388517287632</v>
      </c>
      <c r="G12" s="114">
        <f t="shared" si="3"/>
        <v>14.746491858906635</v>
      </c>
      <c r="H12" s="121">
        <f t="shared" si="4"/>
        <v>0.43999999999999773</v>
      </c>
      <c r="I12" s="121"/>
      <c r="J12" s="113">
        <v>-6.7598838742940899</v>
      </c>
      <c r="K12" s="114">
        <f t="shared" si="6"/>
        <v>0.15254237288135594</v>
      </c>
      <c r="L12" s="114">
        <f t="shared" si="5"/>
        <v>-1.0255902911278738</v>
      </c>
      <c r="M12" s="114"/>
      <c r="N12" s="114" t="s">
        <v>621</v>
      </c>
      <c r="O12" s="121">
        <f>F62</f>
        <v>4.4318962640868369</v>
      </c>
      <c r="P12" s="120" t="s">
        <v>579</v>
      </c>
      <c r="Q12" s="114">
        <v>10</v>
      </c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</row>
    <row r="13" spans="1:36" x14ac:dyDescent="0.25">
      <c r="A13" s="114">
        <v>11</v>
      </c>
      <c r="B13" s="118">
        <v>117.61</v>
      </c>
      <c r="C13" s="118">
        <v>-8</v>
      </c>
      <c r="D13" s="115">
        <f t="shared" si="0"/>
        <v>113.32988387429408</v>
      </c>
      <c r="E13" s="110">
        <f t="shared" si="1"/>
        <v>4.2801161257059164</v>
      </c>
      <c r="F13" s="115">
        <f t="shared" si="2"/>
        <v>3.6392450690467788</v>
      </c>
      <c r="G13" s="114">
        <f t="shared" si="3"/>
        <v>18.319394049527823</v>
      </c>
      <c r="H13" s="121">
        <f t="shared" si="4"/>
        <v>0.85217687237962991</v>
      </c>
      <c r="I13" s="121"/>
      <c r="J13" s="113">
        <v>-6.4611763847755697</v>
      </c>
      <c r="K13" s="114">
        <f t="shared" si="6"/>
        <v>0.16949152542372881</v>
      </c>
      <c r="L13" s="114">
        <f t="shared" si="5"/>
        <v>-0.95617653892006238</v>
      </c>
      <c r="M13" s="114"/>
      <c r="N13" s="114" t="s">
        <v>622</v>
      </c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</row>
    <row r="14" spans="1:36" x14ac:dyDescent="0.25">
      <c r="A14" s="114">
        <v>12</v>
      </c>
      <c r="B14" s="118">
        <v>117.26</v>
      </c>
      <c r="C14" s="118">
        <v>-7</v>
      </c>
      <c r="D14" s="115">
        <f t="shared" si="0"/>
        <v>112.12770700191446</v>
      </c>
      <c r="E14" s="110">
        <f t="shared" si="1"/>
        <v>5.1322929980855463</v>
      </c>
      <c r="F14" s="115">
        <f t="shared" si="2"/>
        <v>4.3768488811918349</v>
      </c>
      <c r="G14" s="114">
        <f t="shared" si="3"/>
        <v>26.340431418197927</v>
      </c>
      <c r="H14" s="121">
        <f t="shared" si="4"/>
        <v>-1.3800000000000097</v>
      </c>
      <c r="I14" s="121"/>
      <c r="J14" s="113">
        <v>-6.3420607466737238</v>
      </c>
      <c r="K14" s="114">
        <f t="shared" si="6"/>
        <v>0.1864406779661017</v>
      </c>
      <c r="L14" s="114">
        <f t="shared" si="5"/>
        <v>-0.89108913003410894</v>
      </c>
      <c r="M14" s="114"/>
      <c r="N14" s="114"/>
      <c r="O14" s="103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</row>
    <row r="15" spans="1:36" x14ac:dyDescent="0.25">
      <c r="A15" s="114">
        <v>13</v>
      </c>
      <c r="B15" s="118">
        <v>115.88</v>
      </c>
      <c r="C15" s="118">
        <v>-7</v>
      </c>
      <c r="D15" s="115">
        <f t="shared" si="0"/>
        <v>112.12770700191446</v>
      </c>
      <c r="E15" s="110">
        <f t="shared" si="1"/>
        <v>3.7522929980855366</v>
      </c>
      <c r="F15" s="115">
        <f t="shared" si="2"/>
        <v>3.2380850863699835</v>
      </c>
      <c r="G15" s="114">
        <f t="shared" si="3"/>
        <v>14.079702743481745</v>
      </c>
      <c r="H15" s="121">
        <f t="shared" si="4"/>
        <v>-1.3278231276203769</v>
      </c>
      <c r="I15" s="121"/>
      <c r="J15" s="113">
        <v>-6.3111763847755782</v>
      </c>
      <c r="K15" s="114">
        <f t="shared" si="6"/>
        <v>0.20338983050847459</v>
      </c>
      <c r="L15" s="114">
        <f t="shared" si="5"/>
        <v>-0.82957403698182763</v>
      </c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</row>
    <row r="16" spans="1:36" x14ac:dyDescent="0.25">
      <c r="A16" s="114">
        <v>14</v>
      </c>
      <c r="B16" s="118">
        <v>113.35</v>
      </c>
      <c r="C16" s="118">
        <v>-6</v>
      </c>
      <c r="D16" s="115">
        <f t="shared" si="0"/>
        <v>110.92553012953483</v>
      </c>
      <c r="E16" s="110">
        <f t="shared" si="1"/>
        <v>2.4244698704651597</v>
      </c>
      <c r="F16" s="115">
        <f t="shared" si="2"/>
        <v>2.1389235734143446</v>
      </c>
      <c r="G16" s="114">
        <f t="shared" si="3"/>
        <v>5.8780541527933483</v>
      </c>
      <c r="H16" s="121">
        <f t="shared" si="4"/>
        <v>-0.75782312762035531</v>
      </c>
      <c r="I16" s="121"/>
      <c r="J16" s="113">
        <v>-6.1720607466737221</v>
      </c>
      <c r="K16" s="114">
        <f t="shared" si="6"/>
        <v>0.22033898305084745</v>
      </c>
      <c r="L16" s="114">
        <f t="shared" si="5"/>
        <v>-0.77104886863964417</v>
      </c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</row>
    <row r="17" spans="1:36" x14ac:dyDescent="0.25">
      <c r="A17" s="114">
        <v>15</v>
      </c>
      <c r="B17" s="118">
        <v>111.39</v>
      </c>
      <c r="C17" s="118">
        <v>-5</v>
      </c>
      <c r="D17" s="115">
        <f t="shared" si="0"/>
        <v>109.7233532571552</v>
      </c>
      <c r="E17" s="110">
        <f t="shared" si="1"/>
        <v>1.6666467428448044</v>
      </c>
      <c r="F17" s="115">
        <f t="shared" si="2"/>
        <v>1.4962265399450618</v>
      </c>
      <c r="G17" s="114">
        <f t="shared" si="3"/>
        <v>2.7777113654351955</v>
      </c>
      <c r="H17" s="121">
        <f t="shared" si="4"/>
        <v>-2.8321768723796339</v>
      </c>
      <c r="I17" s="121"/>
      <c r="J17" s="113">
        <v>-6.1316798239829495</v>
      </c>
      <c r="K17" s="114">
        <f t="shared" si="6"/>
        <v>0.23728813559322035</v>
      </c>
      <c r="L17" s="114">
        <f t="shared" si="5"/>
        <v>-0.71505303754992222</v>
      </c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</row>
    <row r="18" spans="1:36" x14ac:dyDescent="0.25">
      <c r="A18" s="114">
        <v>16</v>
      </c>
      <c r="B18" s="118">
        <v>109.76</v>
      </c>
      <c r="C18" s="118">
        <v>-6</v>
      </c>
      <c r="D18" s="115">
        <f t="shared" si="0"/>
        <v>110.92553012953483</v>
      </c>
      <c r="E18" s="109">
        <f t="shared" si="1"/>
        <v>-1.1655301295348295</v>
      </c>
      <c r="F18" s="115">
        <f t="shared" si="2"/>
        <v>1.0618896952759016</v>
      </c>
      <c r="G18" s="114">
        <f t="shared" si="3"/>
        <v>1.3584604828534763</v>
      </c>
      <c r="H18" s="121">
        <f t="shared" si="4"/>
        <v>-2.6643537447592536</v>
      </c>
      <c r="I18" s="121"/>
      <c r="J18" s="113">
        <v>-5.6377070019144639</v>
      </c>
      <c r="K18" s="114">
        <f t="shared" si="6"/>
        <v>0.25423728813559321</v>
      </c>
      <c r="L18" s="114">
        <f t="shared" si="5"/>
        <v>-0.66121479220131485</v>
      </c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</row>
    <row r="19" spans="1:36" x14ac:dyDescent="0.25">
      <c r="A19" s="114">
        <v>17</v>
      </c>
      <c r="B19" s="118">
        <v>109.5</v>
      </c>
      <c r="C19" s="118">
        <v>-8</v>
      </c>
      <c r="D19" s="115">
        <f t="shared" si="0"/>
        <v>113.32988387429408</v>
      </c>
      <c r="E19" s="109">
        <f t="shared" si="1"/>
        <v>-3.8298838742940831</v>
      </c>
      <c r="F19" s="115">
        <f t="shared" si="2"/>
        <v>3.4976108441041855</v>
      </c>
      <c r="G19" s="114">
        <f t="shared" si="3"/>
        <v>14.668010490577856</v>
      </c>
      <c r="H19" s="121">
        <f t="shared" si="4"/>
        <v>1.7643537447592479</v>
      </c>
      <c r="I19" s="121"/>
      <c r="J19" s="113">
        <v>-5.5686322026514574</v>
      </c>
      <c r="K19" s="114">
        <f t="shared" si="6"/>
        <v>0.2711864406779661</v>
      </c>
      <c r="L19" s="114">
        <f t="shared" si="5"/>
        <v>-0.60922866701399825</v>
      </c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</row>
    <row r="20" spans="1:36" ht="18" x14ac:dyDescent="0.35">
      <c r="A20" s="114">
        <v>18</v>
      </c>
      <c r="B20" s="118">
        <v>108.86</v>
      </c>
      <c r="C20" s="118">
        <v>-6</v>
      </c>
      <c r="D20" s="115">
        <f t="shared" si="0"/>
        <v>110.92553012953483</v>
      </c>
      <c r="E20" s="109">
        <f t="shared" si="1"/>
        <v>-2.0655301295348352</v>
      </c>
      <c r="F20" s="115">
        <f t="shared" si="2"/>
        <v>1.8974188219133155</v>
      </c>
      <c r="G20" s="114">
        <f t="shared" si="3"/>
        <v>4.2664147160161932</v>
      </c>
      <c r="H20" s="121">
        <f t="shared" si="4"/>
        <v>-1.5721768723796288</v>
      </c>
      <c r="I20" s="121"/>
      <c r="J20" s="113">
        <v>-5.3733532571552018</v>
      </c>
      <c r="K20" s="114">
        <f t="shared" si="6"/>
        <v>0.28813559322033899</v>
      </c>
      <c r="L20" s="114">
        <f t="shared" si="5"/>
        <v>-0.55883961079677569</v>
      </c>
      <c r="M20" s="114"/>
      <c r="N20" s="114" t="s">
        <v>566</v>
      </c>
      <c r="O20" s="114" t="s">
        <v>567</v>
      </c>
      <c r="P20" s="114"/>
      <c r="Q20" s="114" t="s">
        <v>605</v>
      </c>
      <c r="R20" s="114">
        <f>CORREL(E4:E60,E5:E61)</f>
        <v>0.57709371443145885</v>
      </c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</row>
    <row r="21" spans="1:36" x14ac:dyDescent="0.25">
      <c r="A21" s="114">
        <v>19</v>
      </c>
      <c r="B21" s="118">
        <v>108.49</v>
      </c>
      <c r="C21" s="118">
        <v>-7</v>
      </c>
      <c r="D21" s="115">
        <f t="shared" si="0"/>
        <v>112.12770700191446</v>
      </c>
      <c r="E21" s="109">
        <f t="shared" si="1"/>
        <v>-3.6377070019144639</v>
      </c>
      <c r="F21" s="115">
        <f t="shared" si="2"/>
        <v>3.3530343828135902</v>
      </c>
      <c r="G21" s="114">
        <f t="shared" si="3"/>
        <v>13.232912231777517</v>
      </c>
      <c r="H21" s="121">
        <f t="shared" si="4"/>
        <v>-2.5343537447592581</v>
      </c>
      <c r="I21" s="121"/>
      <c r="J21" s="113">
        <v>-5.0860335687422094</v>
      </c>
      <c r="K21" s="114">
        <f t="shared" si="6"/>
        <v>0.30508474576271188</v>
      </c>
      <c r="L21" s="114">
        <f t="shared" si="5"/>
        <v>-0.50983153383249025</v>
      </c>
      <c r="M21" s="114"/>
      <c r="N21" s="116">
        <f t="array" ref="N21:O25">LINEST(B3:B60,C3:C60,1,1)</f>
        <v>-1.2021768723796282</v>
      </c>
      <c r="O21" s="116">
        <v>103.71246889525706</v>
      </c>
      <c r="P21" s="114"/>
      <c r="Q21" s="114" t="s">
        <v>602</v>
      </c>
      <c r="R21" s="114"/>
      <c r="S21" s="114"/>
      <c r="T21" s="66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</row>
    <row r="22" spans="1:36" x14ac:dyDescent="0.25">
      <c r="A22" s="114">
        <v>20</v>
      </c>
      <c r="B22" s="118">
        <v>108.36</v>
      </c>
      <c r="C22" s="118">
        <v>-9</v>
      </c>
      <c r="D22" s="115">
        <f t="shared" si="0"/>
        <v>114.53206074667372</v>
      </c>
      <c r="E22" s="109">
        <f t="shared" si="1"/>
        <v>-6.1720607466737221</v>
      </c>
      <c r="F22" s="115">
        <f t="shared" si="2"/>
        <v>5.6958847791378018</v>
      </c>
      <c r="G22" s="114">
        <f t="shared" si="3"/>
        <v>38.094333860630584</v>
      </c>
      <c r="H22" s="121">
        <f t="shared" si="4"/>
        <v>-0.17000000000000171</v>
      </c>
      <c r="I22" s="121"/>
      <c r="J22" s="113">
        <v>-3.8855301295348283</v>
      </c>
      <c r="K22" s="114">
        <f t="shared" si="6"/>
        <v>0.32203389830508472</v>
      </c>
      <c r="L22" s="114">
        <f t="shared" si="5"/>
        <v>-0.46201885864912079</v>
      </c>
      <c r="M22" s="114"/>
      <c r="N22" s="116">
        <v>8.7718801271262956E-2</v>
      </c>
      <c r="O22" s="116">
        <v>1.5041611496271967</v>
      </c>
      <c r="P22" s="114"/>
      <c r="Q22" s="125" t="s">
        <v>649</v>
      </c>
      <c r="R22" s="114"/>
      <c r="S22" s="114"/>
      <c r="T22" s="66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</row>
    <row r="23" spans="1:36" x14ac:dyDescent="0.25">
      <c r="A23" s="114">
        <v>21</v>
      </c>
      <c r="B23" s="118">
        <v>108.19</v>
      </c>
      <c r="C23" s="118">
        <v>-9</v>
      </c>
      <c r="D23" s="115">
        <f t="shared" si="0"/>
        <v>114.53206074667372</v>
      </c>
      <c r="E23" s="109">
        <f t="shared" si="1"/>
        <v>-6.3420607466737238</v>
      </c>
      <c r="F23" s="115">
        <f t="shared" si="2"/>
        <v>5.8619657516163448</v>
      </c>
      <c r="G23" s="114">
        <f t="shared" si="3"/>
        <v>40.221734514499673</v>
      </c>
      <c r="H23" s="121">
        <f t="shared" si="4"/>
        <v>-2.794353744759249</v>
      </c>
      <c r="I23" s="121"/>
      <c r="J23" s="113">
        <v>-3.8298838742940831</v>
      </c>
      <c r="K23" s="114">
        <f t="shared" si="6"/>
        <v>0.33898305084745761</v>
      </c>
      <c r="L23" s="114">
        <f t="shared" si="5"/>
        <v>-0.4152401608260714</v>
      </c>
      <c r="M23" s="114"/>
      <c r="N23" s="116">
        <v>0.77032624924852355</v>
      </c>
      <c r="O23" s="116">
        <v>6.3112527181552736</v>
      </c>
      <c r="P23" s="114"/>
      <c r="Q23" s="125" t="s">
        <v>633</v>
      </c>
      <c r="R23" s="114"/>
      <c r="S23" s="114"/>
      <c r="T23" s="66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</row>
    <row r="24" spans="1:36" x14ac:dyDescent="0.25">
      <c r="A24" s="114">
        <v>22</v>
      </c>
      <c r="B24" s="118">
        <v>107.8</v>
      </c>
      <c r="C24" s="118">
        <v>-11</v>
      </c>
      <c r="D24" s="115">
        <f t="shared" si="0"/>
        <v>116.93641449143297</v>
      </c>
      <c r="E24" s="109">
        <f t="shared" si="1"/>
        <v>-9.1364144914329728</v>
      </c>
      <c r="F24" s="115">
        <f t="shared" si="2"/>
        <v>8.4753381182124059</v>
      </c>
      <c r="G24" s="114">
        <f t="shared" si="3"/>
        <v>83.474069759266428</v>
      </c>
      <c r="H24" s="121">
        <f t="shared" si="4"/>
        <v>0.87217687237962593</v>
      </c>
      <c r="I24" s="121"/>
      <c r="J24" s="113">
        <v>-3.6377070019144639</v>
      </c>
      <c r="K24" s="114">
        <f t="shared" si="6"/>
        <v>0.3559322033898305</v>
      </c>
      <c r="L24" s="114">
        <f t="shared" si="5"/>
        <v>-0.36935329360674307</v>
      </c>
      <c r="M24" s="114"/>
      <c r="N24" s="116">
        <v>187.82411928560362</v>
      </c>
      <c r="O24" s="116">
        <v>56</v>
      </c>
      <c r="P24" s="114"/>
      <c r="Q24" s="69" t="s">
        <v>630</v>
      </c>
      <c r="R24" s="130"/>
      <c r="S24" s="114"/>
      <c r="T24" s="66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</row>
    <row r="25" spans="1:36" x14ac:dyDescent="0.25">
      <c r="A25" s="114">
        <v>23</v>
      </c>
      <c r="B25" s="118">
        <v>107.47</v>
      </c>
      <c r="C25" s="118">
        <v>-10</v>
      </c>
      <c r="D25" s="115">
        <f t="shared" si="0"/>
        <v>115.73423761905335</v>
      </c>
      <c r="E25" s="109">
        <f t="shared" si="1"/>
        <v>-8.2642376190533469</v>
      </c>
      <c r="F25" s="115">
        <f t="shared" si="2"/>
        <v>7.6898088946248695</v>
      </c>
      <c r="G25" s="114">
        <f t="shared" si="3"/>
        <v>68.297623424176535</v>
      </c>
      <c r="H25" s="121">
        <f t="shared" si="4"/>
        <v>24.805714319972196</v>
      </c>
      <c r="I25" s="121"/>
      <c r="J25" s="113">
        <v>-3.3555301295348414</v>
      </c>
      <c r="K25" s="114">
        <f t="shared" si="6"/>
        <v>0.3728813559322034</v>
      </c>
      <c r="L25" s="114">
        <f t="shared" si="5"/>
        <v>-0.32423158413730258</v>
      </c>
      <c r="M25" s="114"/>
      <c r="N25" s="116">
        <v>7481.3935790753831</v>
      </c>
      <c r="O25" s="116">
        <v>2230.5870088556503</v>
      </c>
      <c r="P25" s="114"/>
      <c r="Q25" s="125" t="s">
        <v>629</v>
      </c>
      <c r="R25" s="114"/>
      <c r="S25" s="114"/>
      <c r="T25" s="66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</row>
    <row r="26" spans="1:36" ht="18" x14ac:dyDescent="0.35">
      <c r="A26" s="114">
        <v>24</v>
      </c>
      <c r="B26" s="118">
        <v>107.03</v>
      </c>
      <c r="C26" s="118">
        <v>11</v>
      </c>
      <c r="D26" s="115">
        <f t="shared" si="0"/>
        <v>90.488523299081152</v>
      </c>
      <c r="E26" s="110">
        <f t="shared" si="1"/>
        <v>16.541476700918849</v>
      </c>
      <c r="F26" s="115">
        <f t="shared" si="2"/>
        <v>15.454990844547181</v>
      </c>
      <c r="G26" s="114">
        <f t="shared" si="3"/>
        <v>273.62045144704115</v>
      </c>
      <c r="H26" s="121">
        <f t="shared" si="4"/>
        <v>-26.86789119235182</v>
      </c>
      <c r="I26" s="121"/>
      <c r="J26" s="113">
        <v>-2.8629859474107207</v>
      </c>
      <c r="K26" s="114">
        <f t="shared" si="6"/>
        <v>0.38983050847457629</v>
      </c>
      <c r="L26" s="114">
        <f t="shared" si="5"/>
        <v>-0.27976081477122972</v>
      </c>
      <c r="M26" s="114"/>
      <c r="N26" s="131" t="s">
        <v>696</v>
      </c>
      <c r="O26" s="131"/>
      <c r="P26" s="114"/>
      <c r="Q26" s="69" t="s">
        <v>606</v>
      </c>
      <c r="R26" s="130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</row>
    <row r="27" spans="1:36" x14ac:dyDescent="0.25">
      <c r="A27" s="114">
        <v>25</v>
      </c>
      <c r="B27" s="118">
        <v>106.61</v>
      </c>
      <c r="C27" s="118">
        <v>-11</v>
      </c>
      <c r="D27" s="115">
        <f t="shared" si="0"/>
        <v>116.93641449143297</v>
      </c>
      <c r="E27" s="109">
        <f t="shared" si="1"/>
        <v>-10.326414491432971</v>
      </c>
      <c r="F27" s="115">
        <f t="shared" si="2"/>
        <v>9.6861593578772816</v>
      </c>
      <c r="G27" s="114">
        <f t="shared" si="3"/>
        <v>106.63483624887685</v>
      </c>
      <c r="H27" s="121">
        <f t="shared" si="4"/>
        <v>3.5665306171388806</v>
      </c>
      <c r="I27" s="121"/>
      <c r="J27" s="113">
        <v>-2.3927818731190484</v>
      </c>
      <c r="K27" s="114">
        <f t="shared" si="6"/>
        <v>0.40677966101694918</v>
      </c>
      <c r="L27" s="114">
        <f t="shared" si="5"/>
        <v>-0.23583678601109134</v>
      </c>
      <c r="M27" s="114"/>
      <c r="N27" s="114"/>
      <c r="O27" s="114"/>
      <c r="P27" s="114"/>
      <c r="Q27" s="114" t="s">
        <v>607</v>
      </c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</row>
    <row r="28" spans="1:36" x14ac:dyDescent="0.25">
      <c r="A28" s="114">
        <v>26</v>
      </c>
      <c r="B28" s="118">
        <v>106.57</v>
      </c>
      <c r="C28" s="118">
        <v>-8</v>
      </c>
      <c r="D28" s="115">
        <f t="shared" si="0"/>
        <v>113.32988387429408</v>
      </c>
      <c r="E28" s="109">
        <f t="shared" si="1"/>
        <v>-6.7598838742940899</v>
      </c>
      <c r="F28" s="115">
        <f t="shared" si="2"/>
        <v>6.3431396024153983</v>
      </c>
      <c r="G28" s="114">
        <f t="shared" si="3"/>
        <v>45.696029993941274</v>
      </c>
      <c r="H28" s="121">
        <f t="shared" si="4"/>
        <v>1.1221768723796259</v>
      </c>
      <c r="I28" s="121"/>
      <c r="J28" s="113">
        <v>-2.0655301295348352</v>
      </c>
      <c r="K28" s="114">
        <f t="shared" si="6"/>
        <v>0.42372881355932202</v>
      </c>
      <c r="L28" s="114">
        <f t="shared" si="5"/>
        <v>-0.19236331372250978</v>
      </c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</row>
    <row r="29" spans="1:36" x14ac:dyDescent="0.25">
      <c r="A29" s="114">
        <v>27</v>
      </c>
      <c r="B29" s="118">
        <v>106.49</v>
      </c>
      <c r="C29" s="118">
        <v>-7</v>
      </c>
      <c r="D29" s="115">
        <f t="shared" si="0"/>
        <v>112.12770700191446</v>
      </c>
      <c r="E29" s="109">
        <f t="shared" si="1"/>
        <v>-5.6377070019144639</v>
      </c>
      <c r="F29" s="115">
        <f t="shared" si="2"/>
        <v>5.2941186983890169</v>
      </c>
      <c r="G29" s="114">
        <f t="shared" si="3"/>
        <v>31.783740239435375</v>
      </c>
      <c r="H29" s="121">
        <f t="shared" si="4"/>
        <v>1.7521768723796356</v>
      </c>
      <c r="I29" s="121"/>
      <c r="J29" s="113">
        <v>-1.3405777748468495</v>
      </c>
      <c r="K29" s="114">
        <f t="shared" si="6"/>
        <v>0.44067796610169491</v>
      </c>
      <c r="L29" s="114">
        <f t="shared" si="5"/>
        <v>-0.14925055165580312</v>
      </c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</row>
    <row r="30" spans="1:36" x14ac:dyDescent="0.25">
      <c r="A30" s="114">
        <v>28</v>
      </c>
      <c r="B30" s="118">
        <v>107.04</v>
      </c>
      <c r="C30" s="118">
        <v>-6</v>
      </c>
      <c r="D30" s="115">
        <f t="shared" si="0"/>
        <v>110.92553012953483</v>
      </c>
      <c r="E30" s="109">
        <f t="shared" si="1"/>
        <v>-3.8855301295348283</v>
      </c>
      <c r="F30" s="115">
        <f t="shared" si="2"/>
        <v>3.6299795679510729</v>
      </c>
      <c r="G30" s="114">
        <f t="shared" si="3"/>
        <v>15.09734438752294</v>
      </c>
      <c r="H30" s="121">
        <f t="shared" si="4"/>
        <v>4.3099999999999881</v>
      </c>
      <c r="I30" s="121"/>
      <c r="J30" s="113">
        <v>-1.1655301295348295</v>
      </c>
      <c r="K30" s="114">
        <f t="shared" si="6"/>
        <v>0.4576271186440678</v>
      </c>
      <c r="L30" s="114">
        <f t="shared" si="5"/>
        <v>-0.1064135569156504</v>
      </c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</row>
    <row r="31" spans="1:36" x14ac:dyDescent="0.25">
      <c r="A31" s="114">
        <v>29</v>
      </c>
      <c r="B31" s="118">
        <v>111.35</v>
      </c>
      <c r="C31" s="118">
        <v>-6</v>
      </c>
      <c r="D31" s="115">
        <f t="shared" si="0"/>
        <v>110.92553012953483</v>
      </c>
      <c r="E31" s="110">
        <f t="shared" si="1"/>
        <v>0.42446987046515972</v>
      </c>
      <c r="F31" s="115">
        <f t="shared" si="2"/>
        <v>0.38120329633153099</v>
      </c>
      <c r="G31" s="114">
        <f t="shared" si="3"/>
        <v>0.18017467093270947</v>
      </c>
      <c r="H31" s="121">
        <f t="shared" si="4"/>
        <v>4.9878231276203877</v>
      </c>
      <c r="I31" s="121"/>
      <c r="J31" s="113">
        <v>-0.98993832607922627</v>
      </c>
      <c r="K31" s="114">
        <f t="shared" si="6"/>
        <v>0.47457627118644069</v>
      </c>
      <c r="L31" s="114">
        <f t="shared" si="5"/>
        <v>-6.377103455763064E-2</v>
      </c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</row>
    <row r="32" spans="1:36" x14ac:dyDescent="0.25">
      <c r="A32" s="114">
        <v>30</v>
      </c>
      <c r="B32" s="118">
        <v>117.54</v>
      </c>
      <c r="C32" s="118">
        <v>-7</v>
      </c>
      <c r="D32" s="115">
        <f t="shared" si="0"/>
        <v>112.12770700191446</v>
      </c>
      <c r="E32" s="110">
        <f t="shared" si="1"/>
        <v>5.4122929980855474</v>
      </c>
      <c r="F32" s="115">
        <f t="shared" si="2"/>
        <v>4.6046392701085139</v>
      </c>
      <c r="G32" s="114">
        <f t="shared" si="3"/>
        <v>29.292915497125843</v>
      </c>
      <c r="H32" s="121">
        <f t="shared" si="4"/>
        <v>5.039999999999992</v>
      </c>
      <c r="I32" s="121"/>
      <c r="J32" s="113">
        <v>-0.16770700191446508</v>
      </c>
      <c r="K32" s="114">
        <f t="shared" si="6"/>
        <v>0.49152542372881358</v>
      </c>
      <c r="L32" s="114">
        <f t="shared" si="5"/>
        <v>-2.1244210365719055E-2</v>
      </c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</row>
    <row r="33" spans="1:36" x14ac:dyDescent="0.25">
      <c r="A33" s="114">
        <v>31</v>
      </c>
      <c r="B33" s="118">
        <v>122.58</v>
      </c>
      <c r="C33" s="118">
        <v>-7</v>
      </c>
      <c r="D33" s="115">
        <f t="shared" si="0"/>
        <v>112.12770700191446</v>
      </c>
      <c r="E33" s="110">
        <f t="shared" si="1"/>
        <v>10.452292998085539</v>
      </c>
      <c r="F33" s="115">
        <f t="shared" si="2"/>
        <v>8.5269154822038988</v>
      </c>
      <c r="G33" s="114">
        <f t="shared" si="3"/>
        <v>109.25042891782799</v>
      </c>
      <c r="H33" s="121">
        <f t="shared" si="4"/>
        <v>-0.43088436189813706</v>
      </c>
      <c r="I33" s="121"/>
      <c r="J33" s="113">
        <v>0.3824562335383348</v>
      </c>
      <c r="K33" s="114">
        <f t="shared" si="6"/>
        <v>0.50847457627118642</v>
      </c>
      <c r="L33" s="114">
        <f t="shared" si="5"/>
        <v>2.1244210365719055E-2</v>
      </c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</row>
    <row r="34" spans="1:36" x14ac:dyDescent="0.25">
      <c r="A34" s="114">
        <v>32</v>
      </c>
      <c r="B34" s="118">
        <v>128.16</v>
      </c>
      <c r="C34" s="118">
        <v>-12</v>
      </c>
      <c r="D34" s="115">
        <f t="shared" si="0"/>
        <v>118.13859136381259</v>
      </c>
      <c r="E34" s="110">
        <f t="shared" si="1"/>
        <v>10.021408636187402</v>
      </c>
      <c r="F34" s="115">
        <f t="shared" si="2"/>
        <v>7.8194511830426059</v>
      </c>
      <c r="G34" s="114">
        <f t="shared" si="3"/>
        <v>100.42863105345145</v>
      </c>
      <c r="H34" s="121">
        <f t="shared" si="4"/>
        <v>1.0934693828611302</v>
      </c>
      <c r="I34" s="121"/>
      <c r="J34" s="113">
        <v>0.42446987046515972</v>
      </c>
      <c r="K34" s="114">
        <f t="shared" si="6"/>
        <v>0.52542372881355937</v>
      </c>
      <c r="L34" s="114">
        <f t="shared" si="5"/>
        <v>6.3771034557630793E-2</v>
      </c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</row>
    <row r="35" spans="1:36" x14ac:dyDescent="0.25">
      <c r="A35" s="114">
        <v>33</v>
      </c>
      <c r="B35" s="118">
        <v>132.86000000000001</v>
      </c>
      <c r="C35" s="118">
        <v>-15</v>
      </c>
      <c r="D35" s="115">
        <f t="shared" ref="D35:D60" si="7">$N$21*C35+$O$21</f>
        <v>121.74512198095148</v>
      </c>
      <c r="E35" s="110">
        <f t="shared" si="1"/>
        <v>11.114878019048533</v>
      </c>
      <c r="F35" s="115">
        <f t="shared" si="2"/>
        <v>8.3658573077288363</v>
      </c>
      <c r="G35" s="114">
        <f t="shared" si="3"/>
        <v>123.54051337832823</v>
      </c>
      <c r="H35" s="121">
        <f t="shared" si="4"/>
        <v>-1.546530617138913</v>
      </c>
      <c r="I35" s="121"/>
      <c r="J35" s="113">
        <v>0.46203447200872461</v>
      </c>
      <c r="K35" s="114">
        <f t="shared" si="6"/>
        <v>0.5423728813559322</v>
      </c>
      <c r="L35" s="114">
        <f t="shared" si="5"/>
        <v>0.1064135569156504</v>
      </c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</row>
    <row r="36" spans="1:36" x14ac:dyDescent="0.25">
      <c r="A36" s="114">
        <v>34</v>
      </c>
      <c r="B36" s="118">
        <v>134.91999999999999</v>
      </c>
      <c r="C36" s="118">
        <v>-18</v>
      </c>
      <c r="D36" s="115">
        <f t="shared" si="7"/>
        <v>125.35165259809037</v>
      </c>
      <c r="E36" s="110">
        <f t="shared" si="1"/>
        <v>9.5683474019096195</v>
      </c>
      <c r="F36" s="115">
        <f t="shared" si="2"/>
        <v>7.0918673302028017</v>
      </c>
      <c r="G36" s="114">
        <f t="shared" si="3"/>
        <v>91.553272003630568</v>
      </c>
      <c r="H36" s="121">
        <f t="shared" si="4"/>
        <v>-4.8702313001842583</v>
      </c>
      <c r="I36" s="121"/>
      <c r="J36" s="113">
        <v>0.69006167392075213</v>
      </c>
      <c r="K36" s="114">
        <f t="shared" si="6"/>
        <v>0.55932203389830504</v>
      </c>
      <c r="L36" s="114">
        <f t="shared" si="5"/>
        <v>0.14925055165580298</v>
      </c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  <c r="AJ36" s="114"/>
    </row>
    <row r="37" spans="1:36" x14ac:dyDescent="0.25">
      <c r="A37" s="114">
        <v>35</v>
      </c>
      <c r="B37" s="118">
        <v>135.69999999999999</v>
      </c>
      <c r="C37" s="118">
        <v>-22.7</v>
      </c>
      <c r="D37" s="115">
        <f t="shared" si="7"/>
        <v>131.00188389827463</v>
      </c>
      <c r="E37" s="110">
        <f t="shared" si="1"/>
        <v>4.6981161017253612</v>
      </c>
      <c r="F37" s="115">
        <f t="shared" si="2"/>
        <v>3.4621341943444079</v>
      </c>
      <c r="G37" s="114">
        <f t="shared" si="3"/>
        <v>22.072294905291105</v>
      </c>
      <c r="H37" s="121">
        <f t="shared" si="4"/>
        <v>-4.0080544278046091</v>
      </c>
      <c r="I37" s="121"/>
      <c r="J37" s="113">
        <v>1.6666467428448044</v>
      </c>
      <c r="K37" s="114">
        <f t="shared" si="6"/>
        <v>0.57627118644067798</v>
      </c>
      <c r="L37" s="114">
        <f t="shared" si="5"/>
        <v>0.19236331372250978</v>
      </c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</row>
    <row r="38" spans="1:36" x14ac:dyDescent="0.25">
      <c r="A38" s="114">
        <v>36</v>
      </c>
      <c r="B38" s="118">
        <v>136.13999999999999</v>
      </c>
      <c r="C38" s="118">
        <v>-26.4</v>
      </c>
      <c r="D38" s="115">
        <f t="shared" si="7"/>
        <v>135.44993832607923</v>
      </c>
      <c r="E38" s="110">
        <f t="shared" si="1"/>
        <v>0.69006167392075213</v>
      </c>
      <c r="F38" s="115">
        <f t="shared" si="2"/>
        <v>0.50687650501010151</v>
      </c>
      <c r="G38" s="114">
        <f t="shared" si="3"/>
        <v>0.47618511381431045</v>
      </c>
      <c r="H38" s="121">
        <f t="shared" si="4"/>
        <v>-3.0828435470398006</v>
      </c>
      <c r="I38" s="121"/>
      <c r="J38" s="113">
        <v>1.7050684803938907</v>
      </c>
      <c r="K38" s="114">
        <f t="shared" si="6"/>
        <v>0.59322033898305082</v>
      </c>
      <c r="L38" s="114">
        <f t="shared" si="5"/>
        <v>0.23583678601109134</v>
      </c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</row>
    <row r="39" spans="1:36" x14ac:dyDescent="0.25">
      <c r="A39" s="114">
        <v>37</v>
      </c>
      <c r="B39" s="118">
        <v>140.15</v>
      </c>
      <c r="C39" s="118">
        <v>-32.299999999999997</v>
      </c>
      <c r="D39" s="115">
        <f t="shared" si="7"/>
        <v>142.54278187311905</v>
      </c>
      <c r="E39" s="109">
        <f t="shared" si="1"/>
        <v>-2.3927818731190484</v>
      </c>
      <c r="F39" s="115">
        <f t="shared" si="2"/>
        <v>1.7073006586650361</v>
      </c>
      <c r="G39" s="114">
        <f t="shared" si="3"/>
        <v>5.7254050923271018</v>
      </c>
      <c r="H39" s="121">
        <f t="shared" si="4"/>
        <v>7.9945850449435056</v>
      </c>
      <c r="I39" s="121"/>
      <c r="J39" s="113">
        <v>1.940116125705913</v>
      </c>
      <c r="K39" s="114">
        <f t="shared" si="6"/>
        <v>0.61016949152542377</v>
      </c>
      <c r="L39" s="114">
        <f t="shared" si="5"/>
        <v>0.27976081477122983</v>
      </c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</row>
    <row r="40" spans="1:36" x14ac:dyDescent="0.25">
      <c r="A40" s="114">
        <v>38</v>
      </c>
      <c r="B40" s="118">
        <v>140.09</v>
      </c>
      <c r="C40" s="118">
        <v>-25.6</v>
      </c>
      <c r="D40" s="115">
        <f t="shared" si="7"/>
        <v>134.48819682817555</v>
      </c>
      <c r="E40" s="110">
        <f t="shared" si="1"/>
        <v>5.6018031718244572</v>
      </c>
      <c r="F40" s="115">
        <f t="shared" si="2"/>
        <v>3.9987173758472818</v>
      </c>
      <c r="G40" s="114">
        <f t="shared" si="3"/>
        <v>31.380198775862549</v>
      </c>
      <c r="H40" s="121">
        <f t="shared" si="4"/>
        <v>0.69304762133145914</v>
      </c>
      <c r="I40" s="121"/>
      <c r="J40" s="113">
        <v>2.0450684803938941</v>
      </c>
      <c r="K40" s="114">
        <f t="shared" si="6"/>
        <v>0.6271186440677966</v>
      </c>
      <c r="L40" s="114">
        <f t="shared" si="5"/>
        <v>0.32423158413730258</v>
      </c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  <c r="AJ40" s="114"/>
    </row>
    <row r="41" spans="1:36" x14ac:dyDescent="0.25">
      <c r="A41" s="114">
        <v>39</v>
      </c>
      <c r="B41" s="118">
        <v>139.1</v>
      </c>
      <c r="C41" s="118">
        <v>-24.2</v>
      </c>
      <c r="D41" s="115">
        <f t="shared" si="7"/>
        <v>132.80514920684408</v>
      </c>
      <c r="E41" s="110">
        <f t="shared" si="1"/>
        <v>6.2948507931559163</v>
      </c>
      <c r="F41" s="115">
        <f t="shared" si="2"/>
        <v>4.5254139418806014</v>
      </c>
      <c r="G41" s="114">
        <f t="shared" si="3"/>
        <v>39.625146508095668</v>
      </c>
      <c r="H41" s="121">
        <f t="shared" si="4"/>
        <v>-0.63825850209627788</v>
      </c>
      <c r="I41" s="121"/>
      <c r="J41" s="113">
        <v>2.4244698704651597</v>
      </c>
      <c r="K41" s="114">
        <f t="shared" si="6"/>
        <v>0.64406779661016944</v>
      </c>
      <c r="L41" s="114">
        <f t="shared" si="5"/>
        <v>0.36935329360674291</v>
      </c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  <c r="AJ41" s="114"/>
    </row>
    <row r="42" spans="1:36" x14ac:dyDescent="0.25">
      <c r="A42" s="114">
        <v>40</v>
      </c>
      <c r="B42" s="118">
        <v>137.5</v>
      </c>
      <c r="C42" s="118">
        <v>-23.4</v>
      </c>
      <c r="D42" s="115">
        <f t="shared" si="7"/>
        <v>131.84340770894036</v>
      </c>
      <c r="E42" s="110">
        <f t="shared" si="1"/>
        <v>5.6565922910596385</v>
      </c>
      <c r="F42" s="115">
        <f t="shared" si="2"/>
        <v>4.1138853025888285</v>
      </c>
      <c r="G42" s="114">
        <f t="shared" si="3"/>
        <v>31.99703634727533</v>
      </c>
      <c r="H42" s="121">
        <f t="shared" si="4"/>
        <v>-0.53847618933426133</v>
      </c>
      <c r="I42" s="121"/>
      <c r="J42" s="113">
        <v>3.1361569165837011</v>
      </c>
      <c r="K42" s="114">
        <f t="shared" si="6"/>
        <v>0.66101694915254239</v>
      </c>
      <c r="L42" s="114">
        <f t="shared" si="5"/>
        <v>0.4152401608260714</v>
      </c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</row>
    <row r="43" spans="1:36" x14ac:dyDescent="0.25">
      <c r="A43" s="114">
        <v>41</v>
      </c>
      <c r="B43" s="118">
        <v>136.12</v>
      </c>
      <c r="C43" s="118">
        <v>-22.7</v>
      </c>
      <c r="D43" s="115">
        <f t="shared" si="7"/>
        <v>131.00188389827463</v>
      </c>
      <c r="E43" s="110">
        <f t="shared" si="1"/>
        <v>5.1181161017253771</v>
      </c>
      <c r="F43" s="115">
        <f t="shared" si="2"/>
        <v>3.7600030133157341</v>
      </c>
      <c r="G43" s="114">
        <f t="shared" si="3"/>
        <v>26.195112430740572</v>
      </c>
      <c r="H43" s="121">
        <f t="shared" si="4"/>
        <v>-1.981959185141676</v>
      </c>
      <c r="I43" s="121"/>
      <c r="J43" s="113">
        <v>3.7522929980855366</v>
      </c>
      <c r="K43" s="114">
        <f t="shared" si="6"/>
        <v>0.67796610169491522</v>
      </c>
      <c r="L43" s="114">
        <f t="shared" si="5"/>
        <v>0.46201885864912062</v>
      </c>
      <c r="M43" s="114"/>
      <c r="N43" s="114"/>
      <c r="O43" s="114" t="s">
        <v>634</v>
      </c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  <c r="AI43" s="114"/>
      <c r="AJ43" s="114"/>
    </row>
    <row r="44" spans="1:36" x14ac:dyDescent="0.25">
      <c r="A44" s="114">
        <v>42</v>
      </c>
      <c r="B44" s="118">
        <v>135.22</v>
      </c>
      <c r="C44" s="118">
        <v>-23.6</v>
      </c>
      <c r="D44" s="115">
        <f t="shared" si="7"/>
        <v>132.0838430834163</v>
      </c>
      <c r="E44" s="110">
        <f t="shared" si="1"/>
        <v>3.1361569165837011</v>
      </c>
      <c r="F44" s="115">
        <f t="shared" si="2"/>
        <v>2.3192995981243167</v>
      </c>
      <c r="G44" s="114">
        <f t="shared" si="3"/>
        <v>9.8354802054357879</v>
      </c>
      <c r="H44" s="121">
        <f t="shared" si="4"/>
        <v>-1.091088436189807</v>
      </c>
      <c r="I44" s="121"/>
      <c r="J44" s="113">
        <v>3.8401161257059186</v>
      </c>
      <c r="K44" s="114">
        <f t="shared" si="6"/>
        <v>0.69491525423728817</v>
      </c>
      <c r="L44" s="114">
        <f t="shared" si="5"/>
        <v>0.50983153383249047</v>
      </c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</row>
    <row r="45" spans="1:36" x14ac:dyDescent="0.25">
      <c r="A45" s="114">
        <v>43</v>
      </c>
      <c r="B45" s="118">
        <v>134.72999999999999</v>
      </c>
      <c r="C45" s="118">
        <v>-24.1</v>
      </c>
      <c r="D45" s="115">
        <f t="shared" si="7"/>
        <v>132.6849315196061</v>
      </c>
      <c r="E45" s="110">
        <f t="shared" si="1"/>
        <v>2.0450684803938941</v>
      </c>
      <c r="F45" s="115">
        <f t="shared" si="2"/>
        <v>1.5179013437199542</v>
      </c>
      <c r="G45" s="114">
        <f t="shared" si="3"/>
        <v>4.1823050895005913</v>
      </c>
      <c r="H45" s="121">
        <f t="shared" si="4"/>
        <v>-0.34000000000000341</v>
      </c>
      <c r="I45" s="121"/>
      <c r="J45" s="113">
        <v>4.2801161257059164</v>
      </c>
      <c r="K45" s="114">
        <f t="shared" si="6"/>
        <v>0.71186440677966101</v>
      </c>
      <c r="L45" s="114">
        <f t="shared" si="5"/>
        <v>0.55883961079677569</v>
      </c>
      <c r="M45" s="114"/>
      <c r="N45" s="114"/>
      <c r="O45" s="116">
        <f t="array" ref="O45:P49">LINEST(E5:E61,E4:E60,1,1)</f>
        <v>0.57147147142427035</v>
      </c>
      <c r="P45" s="116">
        <v>0.16638113092261669</v>
      </c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  <c r="AJ45" s="114"/>
    </row>
    <row r="46" spans="1:36" x14ac:dyDescent="0.25">
      <c r="A46" s="114">
        <v>44</v>
      </c>
      <c r="B46" s="118">
        <v>134.38999999999999</v>
      </c>
      <c r="C46" s="118">
        <v>-24.1</v>
      </c>
      <c r="D46" s="115">
        <f t="shared" si="7"/>
        <v>132.6849315196061</v>
      </c>
      <c r="E46" s="110">
        <f t="shared" si="1"/>
        <v>1.7050684803938907</v>
      </c>
      <c r="F46" s="115">
        <f t="shared" si="2"/>
        <v>1.2687465439347354</v>
      </c>
      <c r="G46" s="114">
        <f t="shared" si="3"/>
        <v>2.9072585228327315</v>
      </c>
      <c r="H46" s="121">
        <f t="shared" si="4"/>
        <v>-1.3226122468555559</v>
      </c>
      <c r="I46" s="121"/>
      <c r="J46" s="113">
        <v>4.6981161017253612</v>
      </c>
      <c r="K46" s="114">
        <f t="shared" si="6"/>
        <v>0.72881355932203384</v>
      </c>
      <c r="L46" s="114">
        <f t="shared" si="5"/>
        <v>0.60922866701399803</v>
      </c>
      <c r="M46" s="114"/>
      <c r="N46" s="114"/>
      <c r="O46" s="116">
        <v>0.10904799536505673</v>
      </c>
      <c r="P46" s="116">
        <v>0.67373248209987868</v>
      </c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  <c r="AJ46" s="114"/>
    </row>
    <row r="47" spans="1:36" x14ac:dyDescent="0.25">
      <c r="A47" s="114">
        <v>45</v>
      </c>
      <c r="B47" s="118">
        <v>134.51</v>
      </c>
      <c r="C47" s="118">
        <v>-25.3</v>
      </c>
      <c r="D47" s="115">
        <f t="shared" si="7"/>
        <v>134.12754376646166</v>
      </c>
      <c r="E47" s="110">
        <f t="shared" si="1"/>
        <v>0.3824562335383348</v>
      </c>
      <c r="F47" s="115">
        <f t="shared" si="2"/>
        <v>0.28433293698485973</v>
      </c>
      <c r="G47" s="114">
        <f t="shared" si="3"/>
        <v>0.14627277057232929</v>
      </c>
      <c r="H47" s="121">
        <f t="shared" si="4"/>
        <v>-1.3723945596175611</v>
      </c>
      <c r="I47" s="121"/>
      <c r="J47" s="113">
        <v>4.7863882167679606</v>
      </c>
      <c r="K47" s="114">
        <f t="shared" si="6"/>
        <v>0.74576271186440679</v>
      </c>
      <c r="L47" s="114">
        <f t="shared" si="5"/>
        <v>0.66121479220131485</v>
      </c>
      <c r="M47" s="114"/>
      <c r="N47" s="114"/>
      <c r="O47" s="116">
        <v>0.33303715523629823</v>
      </c>
      <c r="P47" s="116">
        <v>5.0854445790331697</v>
      </c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J47" s="114"/>
    </row>
    <row r="48" spans="1:36" x14ac:dyDescent="0.25">
      <c r="A48" s="114">
        <v>46</v>
      </c>
      <c r="B48" s="118">
        <v>134.46</v>
      </c>
      <c r="C48" s="118">
        <v>-26.4</v>
      </c>
      <c r="D48" s="115">
        <f t="shared" si="7"/>
        <v>135.44993832607923</v>
      </c>
      <c r="E48" s="109">
        <f t="shared" si="1"/>
        <v>-0.98993832607922627</v>
      </c>
      <c r="F48" s="115">
        <f t="shared" si="2"/>
        <v>0.73623257926463348</v>
      </c>
      <c r="G48" s="114">
        <f t="shared" si="3"/>
        <v>0.97997788944054054</v>
      </c>
      <c r="H48" s="121">
        <f t="shared" si="4"/>
        <v>-1.8730476213314944</v>
      </c>
      <c r="I48" s="121"/>
      <c r="J48" s="113">
        <v>5.1181161017253771</v>
      </c>
      <c r="K48" s="114">
        <f t="shared" si="6"/>
        <v>0.76271186440677963</v>
      </c>
      <c r="L48" s="114">
        <f t="shared" si="5"/>
        <v>0.71505303754992222</v>
      </c>
      <c r="M48" s="114"/>
      <c r="N48" s="114"/>
      <c r="O48" s="116">
        <v>27.463364236557958</v>
      </c>
      <c r="P48" s="116">
        <v>55</v>
      </c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</row>
    <row r="49" spans="1:36" x14ac:dyDescent="0.25">
      <c r="A49" s="114">
        <v>47</v>
      </c>
      <c r="B49" s="118">
        <v>134.27000000000001</v>
      </c>
      <c r="C49" s="118">
        <v>-27.8</v>
      </c>
      <c r="D49" s="115">
        <f t="shared" si="7"/>
        <v>137.13298594741073</v>
      </c>
      <c r="E49" s="109">
        <f t="shared" si="1"/>
        <v>-2.8629859474107207</v>
      </c>
      <c r="F49" s="115">
        <f t="shared" si="2"/>
        <v>2.1322603317276534</v>
      </c>
      <c r="G49" s="114">
        <f t="shared" si="3"/>
        <v>8.1966885350712619</v>
      </c>
      <c r="H49" s="121">
        <f t="shared" si="4"/>
        <v>-2.2230476213314887</v>
      </c>
      <c r="I49" s="121"/>
      <c r="J49" s="113">
        <v>5.1322929980855463</v>
      </c>
      <c r="K49" s="114">
        <f t="shared" si="6"/>
        <v>0.77966101694915257</v>
      </c>
      <c r="L49" s="114">
        <f t="shared" si="5"/>
        <v>0.77104886863964417</v>
      </c>
      <c r="M49" s="114"/>
      <c r="N49" s="114"/>
      <c r="O49" s="116">
        <v>710.2505657470856</v>
      </c>
      <c r="P49" s="116">
        <v>1422.3960611529819</v>
      </c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</row>
    <row r="50" spans="1:36" x14ac:dyDescent="0.25">
      <c r="A50" s="114">
        <v>48</v>
      </c>
      <c r="B50" s="118">
        <v>133.72999999999999</v>
      </c>
      <c r="C50" s="118">
        <v>-29.2</v>
      </c>
      <c r="D50" s="115">
        <f t="shared" si="7"/>
        <v>138.8160335687422</v>
      </c>
      <c r="E50" s="109">
        <f t="shared" si="1"/>
        <v>-5.0860335687422094</v>
      </c>
      <c r="F50" s="115">
        <f t="shared" si="2"/>
        <v>3.8032106249474387</v>
      </c>
      <c r="G50" s="114">
        <f t="shared" si="3"/>
        <v>25.867737462372613</v>
      </c>
      <c r="H50" s="121">
        <f t="shared" si="4"/>
        <v>-3.1626122468555593</v>
      </c>
      <c r="I50" s="121"/>
      <c r="J50" s="113">
        <v>5.4122929980855474</v>
      </c>
      <c r="K50" s="114">
        <f t="shared" si="6"/>
        <v>0.79661016949152541</v>
      </c>
      <c r="L50" s="114">
        <f t="shared" si="5"/>
        <v>0.82957403698182763</v>
      </c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</row>
    <row r="51" spans="1:36" x14ac:dyDescent="0.25">
      <c r="A51" s="114">
        <v>49</v>
      </c>
      <c r="B51" s="118">
        <v>132.01</v>
      </c>
      <c r="C51" s="118">
        <v>-30.4</v>
      </c>
      <c r="D51" s="115">
        <f t="shared" si="7"/>
        <v>140.25864581559776</v>
      </c>
      <c r="E51" s="109">
        <f t="shared" si="1"/>
        <v>-8.2486458155977687</v>
      </c>
      <c r="F51" s="115">
        <f t="shared" si="2"/>
        <v>6.2485007314580479</v>
      </c>
      <c r="G51" s="114">
        <f t="shared" si="3"/>
        <v>68.040157791178572</v>
      </c>
      <c r="H51" s="121">
        <f t="shared" si="4"/>
        <v>0.86413605752130707</v>
      </c>
      <c r="I51" s="121"/>
      <c r="J51" s="113">
        <v>5.4852997805781598</v>
      </c>
      <c r="K51" s="114">
        <f t="shared" si="6"/>
        <v>0.81355932203389836</v>
      </c>
      <c r="L51" s="114">
        <f t="shared" si="5"/>
        <v>0.89108913003410994</v>
      </c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  <c r="AI51" s="114"/>
      <c r="AJ51" s="114"/>
    </row>
    <row r="52" spans="1:36" x14ac:dyDescent="0.25">
      <c r="A52" s="114">
        <v>50</v>
      </c>
      <c r="B52" s="118">
        <v>130.59</v>
      </c>
      <c r="C52" s="118">
        <v>-28.5</v>
      </c>
      <c r="D52" s="115">
        <f t="shared" si="7"/>
        <v>137.97450975807647</v>
      </c>
      <c r="E52" s="109">
        <f t="shared" si="1"/>
        <v>-7.3845097580764616</v>
      </c>
      <c r="F52" s="115">
        <f t="shared" si="2"/>
        <v>5.6547283544501576</v>
      </c>
      <c r="G52" s="114">
        <f t="shared" si="3"/>
        <v>54.530984367126479</v>
      </c>
      <c r="H52" s="121">
        <f t="shared" si="4"/>
        <v>1.2528299340935121</v>
      </c>
      <c r="I52" s="121"/>
      <c r="J52" s="113">
        <v>5.6018031718244572</v>
      </c>
      <c r="K52" s="114">
        <f t="shared" si="6"/>
        <v>0.83050847457627119</v>
      </c>
      <c r="L52" s="114">
        <f t="shared" si="5"/>
        <v>0.95617653892006238</v>
      </c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4"/>
    </row>
    <row r="53" spans="1:36" x14ac:dyDescent="0.25">
      <c r="A53" s="114">
        <v>51</v>
      </c>
      <c r="B53" s="118">
        <v>130.28</v>
      </c>
      <c r="C53" s="118">
        <v>-27.2</v>
      </c>
      <c r="D53" s="115">
        <f t="shared" si="7"/>
        <v>136.41167982398295</v>
      </c>
      <c r="E53" s="109">
        <f t="shared" si="1"/>
        <v>-6.1316798239829495</v>
      </c>
      <c r="F53" s="115">
        <f t="shared" si="2"/>
        <v>4.7065396254090803</v>
      </c>
      <c r="G53" s="114">
        <f t="shared" si="3"/>
        <v>37.597497463839574</v>
      </c>
      <c r="H53" s="121">
        <f t="shared" si="4"/>
        <v>0.56304762133149211</v>
      </c>
      <c r="I53" s="121"/>
      <c r="J53" s="113">
        <v>5.6565922910596385</v>
      </c>
      <c r="K53" s="114">
        <f t="shared" si="6"/>
        <v>0.84745762711864403</v>
      </c>
      <c r="L53" s="114">
        <f t="shared" si="5"/>
        <v>1.0255902911278738</v>
      </c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  <c r="AJ53" s="114"/>
    </row>
    <row r="54" spans="1:36" x14ac:dyDescent="0.25">
      <c r="A54" s="114">
        <v>52</v>
      </c>
      <c r="B54" s="118">
        <v>129.16</v>
      </c>
      <c r="C54" s="118">
        <v>-25.8</v>
      </c>
      <c r="D54" s="115">
        <f t="shared" si="7"/>
        <v>134.72863220265145</v>
      </c>
      <c r="E54" s="109">
        <f t="shared" si="1"/>
        <v>-5.5686322026514574</v>
      </c>
      <c r="F54" s="115">
        <f t="shared" si="2"/>
        <v>4.3114216496217539</v>
      </c>
      <c r="G54" s="114">
        <f t="shared" si="3"/>
        <v>31.009664608406823</v>
      </c>
      <c r="H54" s="121">
        <f t="shared" si="4"/>
        <v>4.2280544278046079</v>
      </c>
      <c r="I54" s="121"/>
      <c r="J54" s="113">
        <v>6.2948507931559163</v>
      </c>
      <c r="K54" s="114">
        <f t="shared" si="6"/>
        <v>0.86440677966101698</v>
      </c>
      <c r="L54" s="114">
        <f t="shared" si="5"/>
        <v>1.1003344194590818</v>
      </c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  <c r="AJ54" s="114"/>
    </row>
    <row r="55" spans="1:36" x14ac:dyDescent="0.25">
      <c r="A55" s="114">
        <v>53</v>
      </c>
      <c r="B55" s="118">
        <v>128.94</v>
      </c>
      <c r="C55" s="118">
        <v>-22.1</v>
      </c>
      <c r="D55" s="115">
        <f t="shared" si="7"/>
        <v>130.28057777484685</v>
      </c>
      <c r="E55" s="109">
        <f t="shared" si="1"/>
        <v>-1.3405777748468495</v>
      </c>
      <c r="F55" s="115">
        <f t="shared" si="2"/>
        <v>1.0396911546819059</v>
      </c>
      <c r="G55" s="114">
        <f t="shared" si="3"/>
        <v>1.7971487704133302</v>
      </c>
      <c r="H55" s="121">
        <f t="shared" si="4"/>
        <v>1.8026122468555741</v>
      </c>
      <c r="I55" s="121"/>
      <c r="J55" s="113">
        <v>8.7781297146716639</v>
      </c>
      <c r="K55" s="114">
        <f t="shared" si="6"/>
        <v>0.88135593220338981</v>
      </c>
      <c r="L55" s="114">
        <f t="shared" si="5"/>
        <v>1.1817922703491182</v>
      </c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  <c r="AI55" s="114"/>
      <c r="AJ55" s="114"/>
    </row>
    <row r="56" spans="1:36" x14ac:dyDescent="0.25">
      <c r="A56" s="114">
        <v>54</v>
      </c>
      <c r="B56" s="118">
        <v>129.30000000000001</v>
      </c>
      <c r="C56" s="118">
        <v>-20.9</v>
      </c>
      <c r="D56" s="115">
        <f t="shared" si="7"/>
        <v>128.83796552799129</v>
      </c>
      <c r="E56" s="110">
        <f t="shared" si="1"/>
        <v>0.46203447200872461</v>
      </c>
      <c r="F56" s="115">
        <f t="shared" si="2"/>
        <v>0.3573352451730275</v>
      </c>
      <c r="G56" s="114">
        <f t="shared" si="3"/>
        <v>0.21347585332438093</v>
      </c>
      <c r="H56" s="121">
        <f t="shared" si="4"/>
        <v>4.324353744759236</v>
      </c>
      <c r="I56" s="121"/>
      <c r="J56" s="113">
        <v>9.5683474019096195</v>
      </c>
      <c r="K56" s="114">
        <f t="shared" si="6"/>
        <v>0.89830508474576276</v>
      </c>
      <c r="L56" s="114">
        <f t="shared" si="5"/>
        <v>1.2719529676842083</v>
      </c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</row>
    <row r="57" spans="1:36" x14ac:dyDescent="0.25">
      <c r="A57" s="114">
        <v>55</v>
      </c>
      <c r="B57" s="118">
        <v>131.22</v>
      </c>
      <c r="C57" s="118">
        <v>-18.899999999999999</v>
      </c>
      <c r="D57" s="115">
        <f t="shared" si="7"/>
        <v>126.43361178323204</v>
      </c>
      <c r="E57" s="110">
        <f t="shared" si="1"/>
        <v>4.7863882167679606</v>
      </c>
      <c r="F57" s="115">
        <f t="shared" si="2"/>
        <v>3.647605713129066</v>
      </c>
      <c r="G57" s="114">
        <f t="shared" si="3"/>
        <v>22.909512161615176</v>
      </c>
      <c r="H57" s="121">
        <f t="shared" si="4"/>
        <v>0.69891156381019925</v>
      </c>
      <c r="I57" s="121"/>
      <c r="J57" s="113">
        <v>10.021408636187402</v>
      </c>
      <c r="K57" s="114">
        <f t="shared" si="6"/>
        <v>0.9152542372881356</v>
      </c>
      <c r="L57" s="114">
        <f t="shared" si="5"/>
        <v>1.3738394673770855</v>
      </c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</row>
    <row r="58" spans="1:36" x14ac:dyDescent="0.25">
      <c r="A58" s="114">
        <v>56</v>
      </c>
      <c r="B58" s="118">
        <v>132.52000000000001</v>
      </c>
      <c r="C58" s="118">
        <v>-19.399999999999999</v>
      </c>
      <c r="D58" s="115">
        <f t="shared" si="7"/>
        <v>127.03470021942185</v>
      </c>
      <c r="E58" s="110">
        <f t="shared" si="1"/>
        <v>5.4852997805781598</v>
      </c>
      <c r="F58" s="115">
        <f t="shared" si="2"/>
        <v>4.1392241024586172</v>
      </c>
      <c r="G58" s="114">
        <f t="shared" si="3"/>
        <v>30.08851368281081</v>
      </c>
      <c r="H58" s="121">
        <f t="shared" si="4"/>
        <v>3.2928299340935041</v>
      </c>
      <c r="I58" s="121"/>
      <c r="J58" s="113">
        <v>10.452292998085539</v>
      </c>
      <c r="K58" s="114">
        <f t="shared" si="6"/>
        <v>0.93220338983050843</v>
      </c>
      <c r="L58" s="114">
        <f t="shared" si="5"/>
        <v>1.4924041783203592</v>
      </c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  <c r="AI58" s="114"/>
      <c r="AJ58" s="114"/>
    </row>
    <row r="59" spans="1:36" x14ac:dyDescent="0.25">
      <c r="A59" s="114">
        <v>57</v>
      </c>
      <c r="B59" s="118">
        <v>134.25</v>
      </c>
      <c r="C59" s="118">
        <v>-18.100000000000001</v>
      </c>
      <c r="D59" s="115">
        <f t="shared" si="7"/>
        <v>125.47187028532834</v>
      </c>
      <c r="E59" s="110">
        <f t="shared" si="1"/>
        <v>8.7781297146716639</v>
      </c>
      <c r="F59" s="115">
        <f t="shared" si="2"/>
        <v>6.5386441077628783</v>
      </c>
      <c r="G59" s="114">
        <f t="shared" si="3"/>
        <v>77.055561287601634</v>
      </c>
      <c r="H59" s="121">
        <f t="shared" si="4"/>
        <v>2.0504353744759385</v>
      </c>
      <c r="I59" s="121"/>
      <c r="J59" s="113">
        <v>10.828565089147602</v>
      </c>
      <c r="K59" s="114">
        <f t="shared" si="6"/>
        <v>0.94915254237288138</v>
      </c>
      <c r="L59" s="114">
        <f t="shared" si="5"/>
        <v>1.6366916466733989</v>
      </c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</row>
    <row r="60" spans="1:36" x14ac:dyDescent="0.25">
      <c r="A60" s="114">
        <v>58</v>
      </c>
      <c r="B60" s="118">
        <v>136.06</v>
      </c>
      <c r="C60" s="118">
        <v>-17.899999999999999</v>
      </c>
      <c r="D60" s="115">
        <f t="shared" si="7"/>
        <v>125.2314349108524</v>
      </c>
      <c r="E60" s="110">
        <f t="shared" si="1"/>
        <v>10.828565089147602</v>
      </c>
      <c r="F60" s="115">
        <f t="shared" si="2"/>
        <v>7.9586690350930498</v>
      </c>
      <c r="G60" s="114">
        <f t="shared" si="3"/>
        <v>117.25782188990623</v>
      </c>
      <c r="H60" s="121"/>
      <c r="I60" s="121"/>
      <c r="J60" s="113">
        <v>11.114878019048533</v>
      </c>
      <c r="K60" s="114">
        <f t="shared" si="6"/>
        <v>0.96610169491525422</v>
      </c>
      <c r="L60" s="114">
        <f t="shared" si="5"/>
        <v>1.8263562979439059</v>
      </c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</row>
    <row r="61" spans="1:36" x14ac:dyDescent="0.25">
      <c r="A61" s="114" t="s">
        <v>76</v>
      </c>
      <c r="B61" s="121">
        <f t="shared" ref="B61:H61" si="8">SUM(B3:B60)</f>
        <v>7013.130000000001</v>
      </c>
      <c r="C61" s="121">
        <f t="shared" si="8"/>
        <v>-829.99999999999989</v>
      </c>
      <c r="D61" s="121">
        <f t="shared" si="8"/>
        <v>7013.130000000001</v>
      </c>
      <c r="E61" s="121">
        <f t="shared" si="8"/>
        <v>-1.0373923942097463E-12</v>
      </c>
      <c r="F61" s="121">
        <f t="shared" si="8"/>
        <v>257.04998331703655</v>
      </c>
      <c r="G61" s="121">
        <f t="shared" si="8"/>
        <v>2230.5870088556494</v>
      </c>
      <c r="H61" s="121">
        <f t="shared" si="8"/>
        <v>18.231918346302805</v>
      </c>
      <c r="I61" s="121"/>
      <c r="J61" s="113">
        <v>16.541476700918849</v>
      </c>
      <c r="K61" s="114">
        <f t="shared" si="6"/>
        <v>0.98305084745762716</v>
      </c>
      <c r="L61" s="114">
        <f t="shared" si="5"/>
        <v>2.1212793024540031</v>
      </c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</row>
    <row r="62" spans="1:36" x14ac:dyDescent="0.25">
      <c r="A62" s="114" t="s">
        <v>77</v>
      </c>
      <c r="B62" s="121">
        <f t="shared" ref="B62:H62" si="9">AVERAGE(B3:B60)</f>
        <v>120.91603448275863</v>
      </c>
      <c r="C62" s="121">
        <f t="shared" si="9"/>
        <v>-14.310344827586205</v>
      </c>
      <c r="D62" s="121">
        <f t="shared" si="9"/>
        <v>120.91603448275863</v>
      </c>
      <c r="E62" s="121">
        <f t="shared" si="9"/>
        <v>-1.7886075762237004E-14</v>
      </c>
      <c r="F62" s="121">
        <f t="shared" si="9"/>
        <v>4.4318962640868369</v>
      </c>
      <c r="G62" s="121">
        <f t="shared" si="9"/>
        <v>38.458396704407747</v>
      </c>
      <c r="H62" s="121">
        <f t="shared" si="9"/>
        <v>0.31985821660180358</v>
      </c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  <c r="AJ62" s="114"/>
    </row>
    <row r="63" spans="1:36" x14ac:dyDescent="0.25">
      <c r="A63" s="114"/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</row>
    <row r="64" spans="1:36" x14ac:dyDescent="0.25">
      <c r="A64" s="114"/>
      <c r="B64" s="114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</row>
    <row r="65" spans="1:36" x14ac:dyDescent="0.25">
      <c r="A65" s="114"/>
      <c r="B65" s="114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</row>
    <row r="66" spans="1:36" x14ac:dyDescent="0.25">
      <c r="A66" s="114"/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</row>
    <row r="67" spans="1:36" x14ac:dyDescent="0.25">
      <c r="A67" s="114"/>
      <c r="B67" s="114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</row>
    <row r="68" spans="1:36" x14ac:dyDescent="0.25">
      <c r="A68" s="114"/>
      <c r="B68" s="114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</row>
    <row r="69" spans="1:36" x14ac:dyDescent="0.25">
      <c r="A69" s="114"/>
      <c r="B69" s="114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</row>
    <row r="70" spans="1:36" x14ac:dyDescent="0.25">
      <c r="A70" s="114"/>
      <c r="B70" s="114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</row>
    <row r="71" spans="1:36" x14ac:dyDescent="0.25">
      <c r="A71" s="114"/>
      <c r="B71" s="114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</row>
    <row r="72" spans="1:36" x14ac:dyDescent="0.25">
      <c r="A72" s="114"/>
      <c r="B72" s="114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  <c r="AH72" s="114"/>
      <c r="AI72" s="114"/>
      <c r="AJ72" s="114"/>
    </row>
    <row r="73" spans="1:36" x14ac:dyDescent="0.25">
      <c r="A73" s="114"/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</row>
    <row r="74" spans="1:36" x14ac:dyDescent="0.25">
      <c r="A74" s="114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</row>
    <row r="75" spans="1:36" x14ac:dyDescent="0.25">
      <c r="A75" s="114"/>
      <c r="B75" s="114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</row>
    <row r="76" spans="1:36" x14ac:dyDescent="0.25">
      <c r="A76" s="114"/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  <c r="AH76" s="114"/>
      <c r="AI76" s="114"/>
      <c r="AJ76" s="114"/>
    </row>
    <row r="77" spans="1:36" x14ac:dyDescent="0.25">
      <c r="A77" s="114"/>
      <c r="B77" s="114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</row>
    <row r="78" spans="1:36" x14ac:dyDescent="0.25">
      <c r="A78" s="114"/>
      <c r="B78" s="114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4"/>
    </row>
    <row r="79" spans="1:36" x14ac:dyDescent="0.25">
      <c r="A79" s="114"/>
      <c r="B79" s="114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4"/>
    </row>
    <row r="80" spans="1:36" x14ac:dyDescent="0.25">
      <c r="A80" s="114"/>
      <c r="B80" s="114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  <c r="AH80" s="114"/>
      <c r="AI80" s="114"/>
      <c r="AJ80" s="114"/>
    </row>
    <row r="81" spans="1:36" x14ac:dyDescent="0.25">
      <c r="A81" s="114"/>
      <c r="B81" s="114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  <c r="AH81" s="114"/>
      <c r="AI81" s="114"/>
      <c r="AJ81" s="114"/>
    </row>
    <row r="82" spans="1:36" x14ac:dyDescent="0.25">
      <c r="A82" s="114"/>
      <c r="B82" s="114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4"/>
      <c r="AI82" s="114"/>
      <c r="AJ82" s="114"/>
    </row>
    <row r="83" spans="1:36" x14ac:dyDescent="0.25">
      <c r="A83" s="114"/>
      <c r="B83" s="114"/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  <c r="AI83" s="114"/>
      <c r="AJ83" s="114"/>
    </row>
    <row r="84" spans="1:36" x14ac:dyDescent="0.25">
      <c r="A84" s="114"/>
      <c r="B84" s="114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</row>
    <row r="85" spans="1:36" x14ac:dyDescent="0.25">
      <c r="A85" s="114"/>
      <c r="B85" s="114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  <c r="AH85" s="114"/>
      <c r="AI85" s="114"/>
      <c r="AJ85" s="114"/>
    </row>
    <row r="86" spans="1:36" x14ac:dyDescent="0.25">
      <c r="A86" s="114"/>
      <c r="B86" s="114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  <c r="AH86" s="114"/>
      <c r="AI86" s="114"/>
      <c r="AJ86" s="114"/>
    </row>
    <row r="87" spans="1:36" x14ac:dyDescent="0.25">
      <c r="A87" s="114"/>
      <c r="B87" s="114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  <c r="AH87" s="114"/>
      <c r="AI87" s="114"/>
      <c r="AJ87" s="114"/>
    </row>
    <row r="88" spans="1:36" x14ac:dyDescent="0.25">
      <c r="A88" s="114"/>
      <c r="B88" s="114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14"/>
      <c r="AH88" s="114"/>
      <c r="AI88" s="114"/>
      <c r="AJ88" s="114"/>
    </row>
    <row r="89" spans="1:36" x14ac:dyDescent="0.25">
      <c r="A89" s="114"/>
      <c r="B89" s="114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  <c r="AH89" s="114"/>
      <c r="AI89" s="114"/>
      <c r="AJ89" s="114"/>
    </row>
    <row r="90" spans="1:36" x14ac:dyDescent="0.25">
      <c r="A90" s="114"/>
      <c r="B90" s="114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  <c r="AG90" s="114"/>
      <c r="AH90" s="114"/>
      <c r="AI90" s="114"/>
      <c r="AJ90" s="114"/>
    </row>
    <row r="91" spans="1:36" x14ac:dyDescent="0.25">
      <c r="A91" s="114"/>
      <c r="B91" s="114"/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4"/>
      <c r="AG91" s="114"/>
      <c r="AH91" s="114"/>
      <c r="AI91" s="114"/>
      <c r="AJ91" s="114"/>
    </row>
    <row r="92" spans="1:36" x14ac:dyDescent="0.25">
      <c r="A92" s="114"/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  <c r="AB92" s="114"/>
      <c r="AC92" s="114"/>
      <c r="AD92" s="114"/>
      <c r="AE92" s="114"/>
      <c r="AF92" s="114"/>
      <c r="AG92" s="114"/>
      <c r="AH92" s="114"/>
      <c r="AI92" s="114"/>
      <c r="AJ92" s="114"/>
    </row>
  </sheetData>
  <sortState ref="J4:J61">
    <sortCondition ref="J4:J61"/>
  </sortState>
  <mergeCells count="1">
    <mergeCell ref="J2:L2"/>
  </mergeCells>
  <hyperlinks>
    <hyperlink ref="Q23" location="'Y от Х5'!E62" display="2) Значение ячейки E63=0, т.е. средняя величина остатков равна 0 и не зависит от Xi."/>
    <hyperlink ref="Q26" location="'Y от Х5'!U27:AD46" display="5)Нанесенные на график проверки распределения на нормальность точки укладываются вдоль линии тренда,"/>
    <hyperlink ref="Q25" location="'Y от Х5'!R20" display="4) Коэффициент корреляции rɛiɛj  существенно отличен от 0, что говорит о наличии автокорреляции остатков."/>
    <hyperlink ref="Q24" location="'Y от Х5'!N28:W46" display="3) Наличие гомоскедастичности можно видеть на графике зависимости остатков ɛi от теоретических значений Ŷₓ. "/>
    <hyperlink ref="Q22" location="'Y от Х5'!N28:W46" display="1) Из графика зависимости случайных остатков ɛi от теоретического Ŷₓ видно, что остаткиимеют случайный характер.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3"/>
  <sheetViews>
    <sheetView zoomScale="85" zoomScaleNormal="85" workbookViewId="0">
      <selection activeCell="M7" sqref="M7"/>
    </sheetView>
  </sheetViews>
  <sheetFormatPr defaultRowHeight="15" x14ac:dyDescent="0.25"/>
  <cols>
    <col min="10" max="10" width="14.28515625" customWidth="1"/>
    <col min="11" max="11" width="13.5703125" customWidth="1"/>
    <col min="12" max="12" width="15.42578125" customWidth="1"/>
  </cols>
  <sheetData>
    <row r="1" spans="1:33" x14ac:dyDescent="0.25">
      <c r="A1" s="114"/>
      <c r="B1" s="119">
        <v>1</v>
      </c>
      <c r="C1" s="119">
        <v>2</v>
      </c>
      <c r="D1" s="119">
        <v>3</v>
      </c>
      <c r="E1" s="119">
        <v>4</v>
      </c>
      <c r="F1" s="119">
        <v>5</v>
      </c>
      <c r="G1" s="119">
        <v>6</v>
      </c>
      <c r="H1" s="119">
        <v>7</v>
      </c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33" ht="18" x14ac:dyDescent="0.25">
      <c r="A2" s="114"/>
      <c r="B2" s="117" t="s">
        <v>48</v>
      </c>
      <c r="C2" s="117" t="s">
        <v>683</v>
      </c>
      <c r="D2" s="67" t="s">
        <v>646</v>
      </c>
      <c r="E2" s="67" t="s">
        <v>576</v>
      </c>
      <c r="F2" s="117" t="s">
        <v>620</v>
      </c>
      <c r="G2" s="111" t="s">
        <v>653</v>
      </c>
      <c r="H2" s="111" t="s">
        <v>652</v>
      </c>
      <c r="I2" s="111"/>
      <c r="J2" s="207" t="s">
        <v>604</v>
      </c>
      <c r="K2" s="207"/>
      <c r="L2" s="207"/>
      <c r="M2" s="120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</row>
    <row r="3" spans="1:33" ht="60" x14ac:dyDescent="0.25">
      <c r="A3" s="114">
        <v>1</v>
      </c>
      <c r="B3" s="118">
        <v>102.32</v>
      </c>
      <c r="C3" s="11">
        <v>2710.03</v>
      </c>
      <c r="D3" s="115">
        <f>$N$21*C3+$O$21</f>
        <v>103.71536246371005</v>
      </c>
      <c r="E3" s="109">
        <f>B3-D3</f>
        <v>-1.3953624637100575</v>
      </c>
      <c r="F3" s="115">
        <f>ABS(E3/B3)*100</f>
        <v>1.3637240653929412</v>
      </c>
      <c r="G3" s="115">
        <f>E3*E3</f>
        <v>1.9470364051310014</v>
      </c>
      <c r="H3" s="108">
        <f>(E4-E3)</f>
        <v>-1.425319259615037</v>
      </c>
      <c r="I3" s="121"/>
      <c r="J3" s="132" t="s">
        <v>632</v>
      </c>
      <c r="K3" s="124" t="s">
        <v>608</v>
      </c>
      <c r="L3" s="42" t="s">
        <v>609</v>
      </c>
      <c r="M3" s="12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</row>
    <row r="4" spans="1:33" ht="18" x14ac:dyDescent="0.35">
      <c r="A4" s="114">
        <v>2</v>
      </c>
      <c r="B4" s="118">
        <v>102.21</v>
      </c>
      <c r="C4" s="118">
        <v>2802.63</v>
      </c>
      <c r="D4" s="115">
        <f t="shared" ref="D4:D60" si="0">$N$21*C4+$O$21</f>
        <v>105.03068172332509</v>
      </c>
      <c r="E4" s="109">
        <f t="shared" ref="E4:E60" si="1">B4-D4</f>
        <v>-2.8206817233250945</v>
      </c>
      <c r="F4" s="115">
        <f t="shared" ref="F4:F60" si="2">ABS(E4/B4)*100</f>
        <v>2.75969251866265</v>
      </c>
      <c r="G4" s="114">
        <f t="shared" ref="G4:G60" si="3">E4*E4</f>
        <v>7.9562453843002245</v>
      </c>
      <c r="H4" s="121">
        <f t="shared" ref="H4:H59" si="4">(E5-E4)</f>
        <v>0.85083744540804673</v>
      </c>
      <c r="I4" s="121"/>
      <c r="J4" s="113">
        <v>-13.835733421955339</v>
      </c>
      <c r="K4" s="114">
        <f>A3/59</f>
        <v>1.6949152542372881E-2</v>
      </c>
      <c r="L4" s="114">
        <f t="shared" ref="L4:L61" si="5">_xlfn.NORM.S.INV(K4)</f>
        <v>-2.1212793024540013</v>
      </c>
      <c r="M4" s="114"/>
      <c r="N4" s="114" t="s">
        <v>610</v>
      </c>
      <c r="O4" s="114">
        <f>N24</f>
        <v>84.25864847914734</v>
      </c>
      <c r="P4" s="120" t="s">
        <v>580</v>
      </c>
      <c r="Q4" s="114" t="s">
        <v>611</v>
      </c>
      <c r="R4" s="114">
        <f>_xlfn.F.INV.RT(0.05,1,56)</f>
        <v>4.0129733776501437</v>
      </c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</row>
    <row r="5" spans="1:33" ht="18" x14ac:dyDescent="0.35">
      <c r="A5" s="114">
        <v>3</v>
      </c>
      <c r="B5" s="118">
        <v>102.16</v>
      </c>
      <c r="C5" s="118">
        <v>2739.21</v>
      </c>
      <c r="D5" s="115">
        <f t="shared" si="0"/>
        <v>104.12984427791704</v>
      </c>
      <c r="E5" s="109">
        <f t="shared" si="1"/>
        <v>-1.9698442779170477</v>
      </c>
      <c r="F5" s="115">
        <f t="shared" si="2"/>
        <v>1.9281952602946826</v>
      </c>
      <c r="G5" s="114">
        <f t="shared" si="3"/>
        <v>3.8802864792425353</v>
      </c>
      <c r="H5" s="121">
        <f t="shared" si="4"/>
        <v>-10.73263749227678</v>
      </c>
      <c r="I5" s="121"/>
      <c r="J5" s="113">
        <v>-12.702481770193828</v>
      </c>
      <c r="K5" s="114">
        <f t="shared" ref="K5:K61" si="6">A4/59</f>
        <v>3.3898305084745763E-2</v>
      </c>
      <c r="L5" s="114">
        <f t="shared" si="5"/>
        <v>-1.8263562979439061</v>
      </c>
      <c r="M5" s="114"/>
      <c r="N5" s="114" t="s">
        <v>612</v>
      </c>
      <c r="O5" s="114">
        <f>O21/O22</f>
        <v>10.579173260437367</v>
      </c>
      <c r="P5" s="120" t="s">
        <v>580</v>
      </c>
      <c r="Q5" s="114" t="s">
        <v>614</v>
      </c>
      <c r="R5" s="114">
        <f>_xlfn.T.INV.2T(0.05,56)</f>
        <v>2.0032407188478727</v>
      </c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  <c r="AG5" s="114"/>
    </row>
    <row r="6" spans="1:33" ht="18" x14ac:dyDescent="0.35">
      <c r="A6" s="114">
        <v>4</v>
      </c>
      <c r="B6" s="118">
        <v>102.06</v>
      </c>
      <c r="C6" s="118">
        <v>3487.76</v>
      </c>
      <c r="D6" s="115">
        <f t="shared" si="0"/>
        <v>114.76248177019383</v>
      </c>
      <c r="E6" s="109">
        <f t="shared" si="1"/>
        <v>-12.702481770193828</v>
      </c>
      <c r="F6" s="115">
        <f t="shared" si="2"/>
        <v>12.446092269443296</v>
      </c>
      <c r="G6" s="114">
        <f t="shared" si="3"/>
        <v>161.35304312210653</v>
      </c>
      <c r="H6" s="121">
        <f t="shared" si="4"/>
        <v>12.401167584695244</v>
      </c>
      <c r="I6" s="121"/>
      <c r="J6" s="113">
        <v>-11.533195573951417</v>
      </c>
      <c r="K6" s="114">
        <f t="shared" si="6"/>
        <v>5.0847457627118647E-2</v>
      </c>
      <c r="L6" s="114">
        <f t="shared" si="5"/>
        <v>-1.6366916466733989</v>
      </c>
      <c r="M6" s="114"/>
      <c r="N6" s="114" t="s">
        <v>613</v>
      </c>
      <c r="O6" s="114">
        <f>N21/N22</f>
        <v>9.1792509759319341</v>
      </c>
      <c r="P6" s="120" t="s">
        <v>580</v>
      </c>
      <c r="Q6" s="114" t="s">
        <v>614</v>
      </c>
      <c r="R6" s="114">
        <f>_xlfn.T.INV.2T(0.05,56)</f>
        <v>2.0032407188478727</v>
      </c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</row>
    <row r="7" spans="1:33" x14ac:dyDescent="0.25">
      <c r="A7" s="114">
        <v>5</v>
      </c>
      <c r="B7" s="118">
        <v>102.55</v>
      </c>
      <c r="C7" s="118">
        <v>2649.2</v>
      </c>
      <c r="D7" s="115">
        <f t="shared" si="0"/>
        <v>102.85131418549858</v>
      </c>
      <c r="E7" s="109">
        <f t="shared" si="1"/>
        <v>-0.30131418549858324</v>
      </c>
      <c r="F7" s="115">
        <f t="shared" si="2"/>
        <v>0.29382173134917922</v>
      </c>
      <c r="G7" s="114">
        <f t="shared" si="3"/>
        <v>9.0790238382674637E-2</v>
      </c>
      <c r="H7" s="121">
        <f t="shared" si="4"/>
        <v>1.8514196082052479</v>
      </c>
      <c r="I7" s="121"/>
      <c r="J7" s="113">
        <v>-11.457228117133397</v>
      </c>
      <c r="K7" s="114">
        <f t="shared" si="6"/>
        <v>6.7796610169491525E-2</v>
      </c>
      <c r="L7" s="114">
        <f t="shared" si="5"/>
        <v>-1.492404178320359</v>
      </c>
      <c r="M7" s="114"/>
      <c r="N7" s="114" t="s">
        <v>686</v>
      </c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</row>
    <row r="8" spans="1:33" x14ac:dyDescent="0.25">
      <c r="A8" s="114">
        <v>6</v>
      </c>
      <c r="B8" s="118">
        <v>104.35</v>
      </c>
      <c r="C8" s="118">
        <v>2645.58</v>
      </c>
      <c r="D8" s="115">
        <f t="shared" si="0"/>
        <v>102.79989457729333</v>
      </c>
      <c r="E8" s="109">
        <f t="shared" si="1"/>
        <v>1.5501054227066646</v>
      </c>
      <c r="F8" s="115">
        <f t="shared" si="2"/>
        <v>1.485486749119947</v>
      </c>
      <c r="G8" s="114">
        <f t="shared" si="3"/>
        <v>2.4028268215046076</v>
      </c>
      <c r="H8" s="121">
        <f t="shared" si="4"/>
        <v>-2.9166887659987282</v>
      </c>
      <c r="I8" s="121"/>
      <c r="J8" s="113">
        <v>-10.85323343014079</v>
      </c>
      <c r="K8" s="114">
        <f t="shared" si="6"/>
        <v>8.4745762711864403E-2</v>
      </c>
      <c r="L8" s="114">
        <f t="shared" si="5"/>
        <v>-1.3738394673770855</v>
      </c>
      <c r="M8" s="114"/>
      <c r="N8" s="114" t="s">
        <v>687</v>
      </c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</row>
    <row r="9" spans="1:33" ht="18" x14ac:dyDescent="0.35">
      <c r="A9" s="114">
        <v>7</v>
      </c>
      <c r="B9" s="118">
        <v>107.57</v>
      </c>
      <c r="C9" s="118">
        <v>3077.61</v>
      </c>
      <c r="D9" s="115">
        <f t="shared" si="0"/>
        <v>108.93658334329206</v>
      </c>
      <c r="E9" s="109">
        <f t="shared" si="1"/>
        <v>-1.3665833432920635</v>
      </c>
      <c r="F9" s="115">
        <f t="shared" si="2"/>
        <v>1.2704130736190979</v>
      </c>
      <c r="G9" s="114">
        <f t="shared" si="3"/>
        <v>1.867550034163314</v>
      </c>
      <c r="H9" s="121">
        <f t="shared" si="4"/>
        <v>4.0857436442661594</v>
      </c>
      <c r="I9" s="121"/>
      <c r="J9" s="113">
        <v>-10.669485796152614</v>
      </c>
      <c r="K9" s="114">
        <f t="shared" si="6"/>
        <v>0.10169491525423729</v>
      </c>
      <c r="L9" s="114">
        <f t="shared" si="5"/>
        <v>-1.2719529676842081</v>
      </c>
      <c r="M9" s="114"/>
      <c r="N9" s="68" t="s">
        <v>617</v>
      </c>
      <c r="O9" s="114">
        <f>N23</f>
        <v>0.60073763288596294</v>
      </c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</row>
    <row r="10" spans="1:33" x14ac:dyDescent="0.25">
      <c r="A10" s="114">
        <v>8</v>
      </c>
      <c r="B10" s="118">
        <v>111.96</v>
      </c>
      <c r="C10" s="118">
        <v>3099.03</v>
      </c>
      <c r="D10" s="115">
        <f t="shared" si="0"/>
        <v>109.2408396990259</v>
      </c>
      <c r="E10" s="110">
        <f t="shared" si="1"/>
        <v>2.7191603009740959</v>
      </c>
      <c r="F10" s="115">
        <f t="shared" si="2"/>
        <v>2.4286890862576778</v>
      </c>
      <c r="G10" s="114">
        <f t="shared" si="3"/>
        <v>7.3938327423935357</v>
      </c>
      <c r="H10" s="121">
        <f t="shared" si="4"/>
        <v>0.7410081933696091</v>
      </c>
      <c r="I10" s="121"/>
      <c r="J10" s="113">
        <v>-10.560905503135231</v>
      </c>
      <c r="K10" s="114">
        <f t="shared" si="6"/>
        <v>0.11864406779661017</v>
      </c>
      <c r="L10" s="114">
        <f t="shared" si="5"/>
        <v>-1.1817922703491182</v>
      </c>
      <c r="M10" s="114"/>
      <c r="N10" s="114" t="s">
        <v>688</v>
      </c>
      <c r="O10" s="114"/>
      <c r="P10" s="66"/>
      <c r="Q10" s="66"/>
      <c r="R10" s="66"/>
      <c r="S10" s="66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</row>
    <row r="11" spans="1:33" x14ac:dyDescent="0.25">
      <c r="A11" s="114">
        <v>9</v>
      </c>
      <c r="B11" s="118">
        <v>115.27</v>
      </c>
      <c r="C11" s="118">
        <v>3279.89</v>
      </c>
      <c r="D11" s="115">
        <f t="shared" si="0"/>
        <v>111.80983150565629</v>
      </c>
      <c r="E11" s="110">
        <f t="shared" si="1"/>
        <v>3.460168494343705</v>
      </c>
      <c r="F11" s="115">
        <f t="shared" si="2"/>
        <v>3.001794477612306</v>
      </c>
      <c r="G11" s="114">
        <f t="shared" si="3"/>
        <v>11.972766009248783</v>
      </c>
      <c r="H11" s="121">
        <f t="shared" si="4"/>
        <v>4.6263755798111106</v>
      </c>
      <c r="I11" s="121"/>
      <c r="J11" s="113">
        <v>-10.021600707871968</v>
      </c>
      <c r="K11" s="114">
        <f t="shared" si="6"/>
        <v>0.13559322033898305</v>
      </c>
      <c r="L11" s="114">
        <f t="shared" si="5"/>
        <v>-1.1003344194590818</v>
      </c>
      <c r="M11" s="114"/>
      <c r="N11" s="114" t="s">
        <v>618</v>
      </c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</row>
    <row r="12" spans="1:33" x14ac:dyDescent="0.25">
      <c r="A12" s="114">
        <v>10</v>
      </c>
      <c r="B12" s="118">
        <v>117.17</v>
      </c>
      <c r="C12" s="118">
        <v>3087.95</v>
      </c>
      <c r="D12" s="115">
        <f t="shared" si="0"/>
        <v>109.08345592584519</v>
      </c>
      <c r="E12" s="110">
        <f t="shared" si="1"/>
        <v>8.0865440741548156</v>
      </c>
      <c r="F12" s="115">
        <f t="shared" si="2"/>
        <v>6.9015482411494533</v>
      </c>
      <c r="G12" s="114">
        <f t="shared" si="3"/>
        <v>65.392195063248366</v>
      </c>
      <c r="H12" s="121">
        <f t="shared" si="4"/>
        <v>1.6192419539226819</v>
      </c>
      <c r="I12" s="121"/>
      <c r="J12" s="113">
        <v>-9.810089191665611</v>
      </c>
      <c r="K12" s="114">
        <f t="shared" si="6"/>
        <v>0.15254237288135594</v>
      </c>
      <c r="L12" s="114">
        <f t="shared" si="5"/>
        <v>-1.0255902911278738</v>
      </c>
      <c r="M12" s="114"/>
      <c r="N12" s="114" t="s">
        <v>621</v>
      </c>
      <c r="O12" s="121">
        <f>F62</f>
        <v>5.3264972248816882</v>
      </c>
      <c r="P12" s="120" t="s">
        <v>579</v>
      </c>
      <c r="Q12" s="114">
        <v>10</v>
      </c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</row>
    <row r="13" spans="1:33" x14ac:dyDescent="0.25">
      <c r="A13" s="114">
        <v>11</v>
      </c>
      <c r="B13" s="118">
        <v>117.61</v>
      </c>
      <c r="C13" s="118">
        <v>3004.93</v>
      </c>
      <c r="D13" s="115">
        <f t="shared" si="0"/>
        <v>107.9042139719225</v>
      </c>
      <c r="E13" s="110">
        <f t="shared" si="1"/>
        <v>9.7057860280774975</v>
      </c>
      <c r="F13" s="115">
        <f t="shared" si="2"/>
        <v>8.2525176669309559</v>
      </c>
      <c r="G13" s="114">
        <f t="shared" si="3"/>
        <v>94.202282422824368</v>
      </c>
      <c r="H13" s="121">
        <f t="shared" si="4"/>
        <v>2.0827724578214486</v>
      </c>
      <c r="I13" s="121"/>
      <c r="J13" s="113">
        <v>-9.6016428764192341</v>
      </c>
      <c r="K13" s="114">
        <f t="shared" si="6"/>
        <v>0.16949152542372881</v>
      </c>
      <c r="L13" s="114">
        <f t="shared" si="5"/>
        <v>-0.95617653892006238</v>
      </c>
      <c r="M13" s="114"/>
      <c r="N13" s="114" t="s">
        <v>622</v>
      </c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</row>
    <row r="14" spans="1:33" x14ac:dyDescent="0.25">
      <c r="A14" s="114">
        <v>12</v>
      </c>
      <c r="B14" s="118">
        <v>117.26</v>
      </c>
      <c r="C14" s="118">
        <v>2833.66</v>
      </c>
      <c r="D14" s="115">
        <f t="shared" si="0"/>
        <v>105.47144151410106</v>
      </c>
      <c r="E14" s="110">
        <f t="shared" si="1"/>
        <v>11.788558485898946</v>
      </c>
      <c r="F14" s="115">
        <f t="shared" si="2"/>
        <v>10.053350235288201</v>
      </c>
      <c r="G14" s="114">
        <f t="shared" si="3"/>
        <v>138.97011117546006</v>
      </c>
      <c r="H14" s="121">
        <f t="shared" si="4"/>
        <v>-11.336228171079526</v>
      </c>
      <c r="I14" s="121"/>
      <c r="J14" s="113">
        <v>-9.2227554542708106</v>
      </c>
      <c r="K14" s="114">
        <f t="shared" si="6"/>
        <v>0.1864406779661017</v>
      </c>
      <c r="L14" s="114">
        <f t="shared" si="5"/>
        <v>-0.89108913003410894</v>
      </c>
      <c r="M14" s="114"/>
      <c r="N14" s="114"/>
      <c r="O14" s="103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</row>
    <row r="15" spans="1:33" x14ac:dyDescent="0.25">
      <c r="A15" s="114">
        <v>13</v>
      </c>
      <c r="B15" s="118">
        <v>115.88</v>
      </c>
      <c r="C15" s="118">
        <v>3534.59</v>
      </c>
      <c r="D15" s="115">
        <f t="shared" si="0"/>
        <v>115.42766968518058</v>
      </c>
      <c r="E15" s="110">
        <f t="shared" si="1"/>
        <v>0.45233031481942021</v>
      </c>
      <c r="F15" s="115">
        <f t="shared" si="2"/>
        <v>0.39034373042752868</v>
      </c>
      <c r="G15" s="114">
        <f t="shared" si="3"/>
        <v>0.20460271370463579</v>
      </c>
      <c r="H15" s="121">
        <f t="shared" si="4"/>
        <v>-2.2997481080090694</v>
      </c>
      <c r="I15" s="121"/>
      <c r="J15" s="113">
        <v>-8.1723893022702612</v>
      </c>
      <c r="K15" s="114">
        <f t="shared" si="6"/>
        <v>0.20338983050847459</v>
      </c>
      <c r="L15" s="114">
        <f t="shared" si="5"/>
        <v>-0.82957403698182763</v>
      </c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</row>
    <row r="16" spans="1:33" x14ac:dyDescent="0.25">
      <c r="A16" s="114">
        <v>14</v>
      </c>
      <c r="B16" s="118">
        <v>113.35</v>
      </c>
      <c r="C16" s="118">
        <v>3518.38</v>
      </c>
      <c r="D16" s="115">
        <f t="shared" si="0"/>
        <v>115.19741779318964</v>
      </c>
      <c r="E16" s="109">
        <f t="shared" si="1"/>
        <v>-1.8474177931896492</v>
      </c>
      <c r="F16" s="115">
        <f t="shared" si="2"/>
        <v>1.6298348418082482</v>
      </c>
      <c r="G16" s="114">
        <f t="shared" si="3"/>
        <v>3.4129525025937135</v>
      </c>
      <c r="H16" s="121">
        <f t="shared" si="4"/>
        <v>-2.9180808213934455</v>
      </c>
      <c r="I16" s="121"/>
      <c r="J16" s="113">
        <v>-7.4024231424338041</v>
      </c>
      <c r="K16" s="114">
        <f t="shared" si="6"/>
        <v>0.22033898305084745</v>
      </c>
      <c r="L16" s="114">
        <f t="shared" si="5"/>
        <v>-0.77104886863964417</v>
      </c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</row>
    <row r="17" spans="1:33" x14ac:dyDescent="0.25">
      <c r="A17" s="114">
        <v>15</v>
      </c>
      <c r="B17" s="118">
        <v>111.39</v>
      </c>
      <c r="C17" s="118">
        <v>3585.83</v>
      </c>
      <c r="D17" s="115">
        <f t="shared" si="0"/>
        <v>116.1554986145831</v>
      </c>
      <c r="E17" s="109">
        <f t="shared" si="1"/>
        <v>-4.7654986145830946</v>
      </c>
      <c r="F17" s="115">
        <f t="shared" si="2"/>
        <v>4.2782104449080656</v>
      </c>
      <c r="G17" s="114">
        <f t="shared" si="3"/>
        <v>22.709977045593394</v>
      </c>
      <c r="H17" s="121">
        <f t="shared" si="4"/>
        <v>4.0602472505591862</v>
      </c>
      <c r="I17" s="121"/>
      <c r="J17" s="113">
        <v>-7.2014705485720469</v>
      </c>
      <c r="K17" s="114">
        <f t="shared" si="6"/>
        <v>0.23728813559322035</v>
      </c>
      <c r="L17" s="114">
        <f t="shared" si="5"/>
        <v>-0.71505303754992222</v>
      </c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</row>
    <row r="18" spans="1:33" x14ac:dyDescent="0.25">
      <c r="A18" s="114">
        <v>16</v>
      </c>
      <c r="B18" s="118">
        <v>109.76</v>
      </c>
      <c r="C18" s="118">
        <v>3185.23</v>
      </c>
      <c r="D18" s="115">
        <f t="shared" si="0"/>
        <v>110.46525136402391</v>
      </c>
      <c r="E18" s="109">
        <f t="shared" si="1"/>
        <v>-0.70525136402390842</v>
      </c>
      <c r="F18" s="115">
        <f t="shared" si="2"/>
        <v>0.64253950803927506</v>
      </c>
      <c r="G18" s="114">
        <f t="shared" si="3"/>
        <v>0.4973794864575834</v>
      </c>
      <c r="H18" s="121">
        <f t="shared" si="4"/>
        <v>-3.3863689961259951</v>
      </c>
      <c r="I18" s="121"/>
      <c r="J18" s="113">
        <v>-6.3892134949587387</v>
      </c>
      <c r="K18" s="114">
        <f t="shared" si="6"/>
        <v>0.25423728813559321</v>
      </c>
      <c r="L18" s="114">
        <f t="shared" si="5"/>
        <v>-0.66121479220131485</v>
      </c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</row>
    <row r="19" spans="1:33" x14ac:dyDescent="0.25">
      <c r="A19" s="114">
        <v>17</v>
      </c>
      <c r="B19" s="118">
        <v>109.5</v>
      </c>
      <c r="C19" s="118">
        <v>3405.33</v>
      </c>
      <c r="D19" s="115">
        <f t="shared" si="0"/>
        <v>113.5916203601499</v>
      </c>
      <c r="E19" s="109">
        <f t="shared" si="1"/>
        <v>-4.0916203601499035</v>
      </c>
      <c r="F19" s="115">
        <f t="shared" si="2"/>
        <v>3.7366395983104144</v>
      </c>
      <c r="G19" s="114">
        <f t="shared" si="3"/>
        <v>16.741357171593226</v>
      </c>
      <c r="H19" s="121">
        <f t="shared" si="4"/>
        <v>-0.1490989890680936</v>
      </c>
      <c r="I19" s="121"/>
      <c r="J19" s="113">
        <v>-6.3700128866227033</v>
      </c>
      <c r="K19" s="114">
        <f t="shared" si="6"/>
        <v>0.2711864406779661</v>
      </c>
      <c r="L19" s="114">
        <f t="shared" si="5"/>
        <v>-0.60922866701399825</v>
      </c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</row>
    <row r="20" spans="1:33" ht="18" x14ac:dyDescent="0.35">
      <c r="A20" s="114">
        <v>18</v>
      </c>
      <c r="B20" s="118">
        <v>108.86</v>
      </c>
      <c r="C20" s="118">
        <v>3370.77</v>
      </c>
      <c r="D20" s="115">
        <f t="shared" si="0"/>
        <v>113.100719349218</v>
      </c>
      <c r="E20" s="109">
        <f t="shared" si="1"/>
        <v>-4.2407193492179971</v>
      </c>
      <c r="F20" s="115">
        <f t="shared" si="2"/>
        <v>3.8955716968748826</v>
      </c>
      <c r="G20" s="114">
        <f t="shared" si="3"/>
        <v>17.983700598831913</v>
      </c>
      <c r="H20" s="121">
        <f t="shared" si="4"/>
        <v>-6.3201861539172342</v>
      </c>
      <c r="I20" s="121"/>
      <c r="J20" s="113">
        <v>-4.7654986145830946</v>
      </c>
      <c r="K20" s="114">
        <f t="shared" si="6"/>
        <v>0.28813559322033899</v>
      </c>
      <c r="L20" s="114">
        <f t="shared" si="5"/>
        <v>-0.55883961079677569</v>
      </c>
      <c r="M20" s="114"/>
      <c r="N20" s="114" t="s">
        <v>566</v>
      </c>
      <c r="O20" s="114" t="s">
        <v>567</v>
      </c>
      <c r="P20" s="114"/>
      <c r="Q20" s="114" t="s">
        <v>605</v>
      </c>
      <c r="R20" s="114">
        <f>CORREL(E4:E60,E5:E61)</f>
        <v>0.87650718416174511</v>
      </c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</row>
    <row r="21" spans="1:33" x14ac:dyDescent="0.25">
      <c r="A21" s="114">
        <v>19</v>
      </c>
      <c r="B21" s="118">
        <v>108.49</v>
      </c>
      <c r="C21" s="118">
        <v>3789.67</v>
      </c>
      <c r="D21" s="115">
        <f t="shared" si="0"/>
        <v>119.05090550313523</v>
      </c>
      <c r="E21" s="109">
        <f t="shared" si="1"/>
        <v>-10.560905503135231</v>
      </c>
      <c r="F21" s="115">
        <f t="shared" si="2"/>
        <v>9.7344506435019191</v>
      </c>
      <c r="G21" s="114">
        <f t="shared" si="3"/>
        <v>111.53272504615201</v>
      </c>
      <c r="H21" s="121">
        <f t="shared" si="4"/>
        <v>-0.89632261399816571</v>
      </c>
      <c r="I21" s="121"/>
      <c r="J21" s="113">
        <v>-4.4350051012383602</v>
      </c>
      <c r="K21" s="114">
        <f t="shared" si="6"/>
        <v>0.30508474576271188</v>
      </c>
      <c r="L21" s="114">
        <f t="shared" si="5"/>
        <v>-0.50983153383249025</v>
      </c>
      <c r="M21" s="114"/>
      <c r="N21" s="116">
        <f t="array" ref="N21:O25">LINEST(B3:B60,C3:C60,1,1)</f>
        <v>1.4204311658909613E-2</v>
      </c>
      <c r="O21" s="116">
        <v>65.221251738715239</v>
      </c>
      <c r="P21" s="114"/>
      <c r="Q21" s="114" t="s">
        <v>602</v>
      </c>
      <c r="R21" s="114"/>
      <c r="S21" s="114"/>
      <c r="T21" s="66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</row>
    <row r="22" spans="1:33" x14ac:dyDescent="0.25">
      <c r="A22" s="114">
        <v>20</v>
      </c>
      <c r="B22" s="118">
        <v>108.36</v>
      </c>
      <c r="C22" s="118">
        <v>3843.62</v>
      </c>
      <c r="D22" s="115">
        <f t="shared" si="0"/>
        <v>119.8172281171334</v>
      </c>
      <c r="E22" s="109">
        <f t="shared" si="1"/>
        <v>-11.457228117133397</v>
      </c>
      <c r="F22" s="115">
        <f t="shared" si="2"/>
        <v>10.573300218838497</v>
      </c>
      <c r="G22" s="114">
        <f t="shared" si="3"/>
        <v>131.26807612803208</v>
      </c>
      <c r="H22" s="121">
        <f t="shared" si="4"/>
        <v>-7.5967456818020196E-2</v>
      </c>
      <c r="I22" s="121"/>
      <c r="J22" s="113">
        <v>-4.2407193492179971</v>
      </c>
      <c r="K22" s="114">
        <f t="shared" si="6"/>
        <v>0.32203389830508472</v>
      </c>
      <c r="L22" s="114">
        <f t="shared" si="5"/>
        <v>-0.46201885864912079</v>
      </c>
      <c r="M22" s="114"/>
      <c r="N22" s="116">
        <v>1.547436898299592E-3</v>
      </c>
      <c r="O22" s="116">
        <v>6.1650613080155612</v>
      </c>
      <c r="P22" s="114"/>
      <c r="Q22" s="125" t="s">
        <v>649</v>
      </c>
      <c r="R22" s="114"/>
      <c r="S22" s="114"/>
      <c r="T22" s="66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</row>
    <row r="23" spans="1:33" x14ac:dyDescent="0.25">
      <c r="A23" s="114">
        <v>21</v>
      </c>
      <c r="B23" s="118">
        <v>108.19</v>
      </c>
      <c r="C23" s="78">
        <v>3837</v>
      </c>
      <c r="D23" s="115">
        <f t="shared" si="0"/>
        <v>119.72319557395141</v>
      </c>
      <c r="E23" s="109">
        <f t="shared" si="1"/>
        <v>-11.533195573951417</v>
      </c>
      <c r="F23" s="115">
        <f t="shared" si="2"/>
        <v>10.66013085678105</v>
      </c>
      <c r="G23" s="114">
        <f t="shared" si="3"/>
        <v>133.01460014701257</v>
      </c>
      <c r="H23" s="121">
        <f t="shared" si="4"/>
        <v>1.9315526975321831</v>
      </c>
      <c r="I23" s="121"/>
      <c r="J23" s="113">
        <v>-4.0916203601499035</v>
      </c>
      <c r="K23" s="114">
        <f t="shared" si="6"/>
        <v>0.33898305084745761</v>
      </c>
      <c r="L23" s="114">
        <f t="shared" si="5"/>
        <v>-0.4152401608260714</v>
      </c>
      <c r="M23" s="114"/>
      <c r="N23" s="116">
        <v>0.60073763288596294</v>
      </c>
      <c r="O23" s="116">
        <v>8.3212597334681178</v>
      </c>
      <c r="P23" s="114"/>
      <c r="Q23" s="125" t="s">
        <v>633</v>
      </c>
      <c r="R23" s="114"/>
      <c r="S23" s="114"/>
      <c r="T23" s="66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</row>
    <row r="24" spans="1:33" x14ac:dyDescent="0.25">
      <c r="A24" s="114">
        <v>22</v>
      </c>
      <c r="B24" s="118">
        <v>107.8</v>
      </c>
      <c r="C24" s="118">
        <v>3673.56</v>
      </c>
      <c r="D24" s="115">
        <f t="shared" si="0"/>
        <v>117.40164287641923</v>
      </c>
      <c r="E24" s="109">
        <f t="shared" si="1"/>
        <v>-9.6016428764192341</v>
      </c>
      <c r="F24" s="115">
        <f t="shared" si="2"/>
        <v>8.9069043380512376</v>
      </c>
      <c r="G24" s="114">
        <f t="shared" si="3"/>
        <v>92.191545926292221</v>
      </c>
      <c r="H24" s="121">
        <f t="shared" si="4"/>
        <v>2.19921973398543</v>
      </c>
      <c r="I24" s="121"/>
      <c r="J24" s="113">
        <v>-2.8206817233250945</v>
      </c>
      <c r="K24" s="114">
        <f t="shared" si="6"/>
        <v>0.3559322033898305</v>
      </c>
      <c r="L24" s="114">
        <f t="shared" si="5"/>
        <v>-0.36935329360674307</v>
      </c>
      <c r="M24" s="114"/>
      <c r="N24" s="116">
        <v>84.25864847914734</v>
      </c>
      <c r="O24" s="116">
        <v>56</v>
      </c>
      <c r="P24" s="114"/>
      <c r="Q24" s="69" t="s">
        <v>630</v>
      </c>
      <c r="R24" s="130"/>
      <c r="S24" s="114"/>
      <c r="T24" s="66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</row>
    <row r="25" spans="1:33" x14ac:dyDescent="0.25">
      <c r="A25" s="114">
        <v>23</v>
      </c>
      <c r="B25" s="118">
        <v>107.47</v>
      </c>
      <c r="C25" s="118">
        <v>3495.5</v>
      </c>
      <c r="D25" s="115">
        <f t="shared" si="0"/>
        <v>114.8724231424338</v>
      </c>
      <c r="E25" s="109">
        <f t="shared" si="1"/>
        <v>-7.4024231424338041</v>
      </c>
      <c r="F25" s="115">
        <f t="shared" si="2"/>
        <v>6.8878972200928672</v>
      </c>
      <c r="G25" s="114">
        <f t="shared" si="3"/>
        <v>54.795868379639558</v>
      </c>
      <c r="H25" s="121">
        <f t="shared" si="4"/>
        <v>-0.76996615983645711</v>
      </c>
      <c r="I25" s="121"/>
      <c r="J25" s="113">
        <v>-1.9698442779170477</v>
      </c>
      <c r="K25" s="114">
        <f t="shared" si="6"/>
        <v>0.3728813559322034</v>
      </c>
      <c r="L25" s="114">
        <f t="shared" si="5"/>
        <v>-0.32423158413730258</v>
      </c>
      <c r="M25" s="114"/>
      <c r="N25" s="116">
        <v>5834.3522290281117</v>
      </c>
      <c r="O25" s="116">
        <v>3877.6283589029217</v>
      </c>
      <c r="P25" s="114"/>
      <c r="Q25" s="125" t="s">
        <v>629</v>
      </c>
      <c r="R25" s="114"/>
      <c r="S25" s="114"/>
      <c r="T25" s="66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</row>
    <row r="26" spans="1:33" ht="18" x14ac:dyDescent="0.35">
      <c r="A26" s="114">
        <v>24</v>
      </c>
      <c r="B26" s="118">
        <v>107.03</v>
      </c>
      <c r="C26" s="118">
        <v>3518.73</v>
      </c>
      <c r="D26" s="115">
        <f t="shared" si="0"/>
        <v>115.20238930227026</v>
      </c>
      <c r="E26" s="109">
        <f t="shared" si="1"/>
        <v>-8.1723893022702612</v>
      </c>
      <c r="F26" s="115">
        <f t="shared" si="2"/>
        <v>7.6356061873028693</v>
      </c>
      <c r="G26" s="114">
        <f t="shared" si="3"/>
        <v>66.787946907861411</v>
      </c>
      <c r="H26" s="121">
        <f t="shared" si="4"/>
        <v>-2.4970964938823528</v>
      </c>
      <c r="I26" s="121"/>
      <c r="J26" s="113">
        <v>-1.8474177931896492</v>
      </c>
      <c r="K26" s="114">
        <f t="shared" si="6"/>
        <v>0.38983050847457629</v>
      </c>
      <c r="L26" s="114">
        <f t="shared" si="5"/>
        <v>-0.27976081477122972</v>
      </c>
      <c r="M26" s="114"/>
      <c r="N26" s="131" t="s">
        <v>685</v>
      </c>
      <c r="O26" s="131"/>
      <c r="P26" s="114"/>
      <c r="Q26" s="69" t="s">
        <v>606</v>
      </c>
      <c r="R26" s="130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</row>
    <row r="27" spans="1:33" x14ac:dyDescent="0.25">
      <c r="A27" s="114">
        <v>25</v>
      </c>
      <c r="B27" s="118">
        <v>106.61</v>
      </c>
      <c r="C27" s="118">
        <v>3664.96</v>
      </c>
      <c r="D27" s="115">
        <f t="shared" si="0"/>
        <v>117.27948579615261</v>
      </c>
      <c r="E27" s="109">
        <f t="shared" si="1"/>
        <v>-10.669485796152614</v>
      </c>
      <c r="F27" s="115">
        <f t="shared" si="2"/>
        <v>10.00795966246376</v>
      </c>
      <c r="G27" s="114">
        <f t="shared" si="3"/>
        <v>113.83792715430238</v>
      </c>
      <c r="H27" s="121">
        <f t="shared" si="4"/>
        <v>-0.18374763398817606</v>
      </c>
      <c r="I27" s="121"/>
      <c r="J27" s="113">
        <v>-1.3953624637100575</v>
      </c>
      <c r="K27" s="114">
        <f t="shared" si="6"/>
        <v>0.40677966101694918</v>
      </c>
      <c r="L27" s="114">
        <f t="shared" si="5"/>
        <v>-0.23583678601109134</v>
      </c>
      <c r="M27" s="114"/>
      <c r="N27" s="114"/>
      <c r="O27" s="114"/>
      <c r="P27" s="114"/>
      <c r="Q27" s="114" t="s">
        <v>607</v>
      </c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</row>
    <row r="28" spans="1:33" x14ac:dyDescent="0.25">
      <c r="A28" s="114">
        <v>26</v>
      </c>
      <c r="B28" s="118">
        <v>106.57</v>
      </c>
      <c r="C28" s="118">
        <v>3675.08</v>
      </c>
      <c r="D28" s="115">
        <f t="shared" si="0"/>
        <v>117.42323343014078</v>
      </c>
      <c r="E28" s="109">
        <f t="shared" si="1"/>
        <v>-10.85323343014079</v>
      </c>
      <c r="F28" s="115">
        <f t="shared" si="2"/>
        <v>10.184135713747574</v>
      </c>
      <c r="G28" s="114">
        <f t="shared" si="3"/>
        <v>117.79267588912562</v>
      </c>
      <c r="H28" s="121">
        <f t="shared" si="4"/>
        <v>0.83163272226882157</v>
      </c>
      <c r="I28" s="121"/>
      <c r="J28" s="113">
        <v>-1.3665833432920635</v>
      </c>
      <c r="K28" s="114">
        <f t="shared" si="6"/>
        <v>0.42372881355932202</v>
      </c>
      <c r="L28" s="114">
        <f t="shared" si="5"/>
        <v>-0.19236331372250978</v>
      </c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</row>
    <row r="29" spans="1:33" x14ac:dyDescent="0.25">
      <c r="A29" s="114">
        <v>27</v>
      </c>
      <c r="B29" s="118">
        <v>106.49</v>
      </c>
      <c r="C29" s="118">
        <v>3610.9</v>
      </c>
      <c r="D29" s="115">
        <f t="shared" si="0"/>
        <v>116.51160070787196</v>
      </c>
      <c r="E29" s="109">
        <f t="shared" si="1"/>
        <v>-10.021600707871968</v>
      </c>
      <c r="F29" s="115">
        <f t="shared" si="2"/>
        <v>9.41083736301246</v>
      </c>
      <c r="G29" s="114">
        <f t="shared" si="3"/>
        <v>100.43248074801994</v>
      </c>
      <c r="H29" s="121">
        <f t="shared" si="4"/>
        <v>-3.814132714083371</v>
      </c>
      <c r="I29" s="121"/>
      <c r="J29" s="113">
        <v>-1.2856342388275834</v>
      </c>
      <c r="K29" s="114">
        <f t="shared" si="6"/>
        <v>0.44067796610169491</v>
      </c>
      <c r="L29" s="114">
        <f t="shared" si="5"/>
        <v>-0.14925055165580312</v>
      </c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</row>
    <row r="30" spans="1:33" x14ac:dyDescent="0.25">
      <c r="A30" s="114">
        <v>28</v>
      </c>
      <c r="B30" s="118">
        <v>107.04</v>
      </c>
      <c r="C30" s="118">
        <v>3918.14</v>
      </c>
      <c r="D30" s="115">
        <f t="shared" si="0"/>
        <v>120.87573342195535</v>
      </c>
      <c r="E30" s="109">
        <f t="shared" si="1"/>
        <v>-13.835733421955339</v>
      </c>
      <c r="F30" s="115">
        <f t="shared" si="2"/>
        <v>12.925759923351398</v>
      </c>
      <c r="G30" s="114">
        <f t="shared" si="3"/>
        <v>191.42751932341201</v>
      </c>
      <c r="H30" s="121">
        <f t="shared" si="4"/>
        <v>4.6129779676845288</v>
      </c>
      <c r="I30" s="121"/>
      <c r="J30" s="113">
        <v>-0.70525136402390842</v>
      </c>
      <c r="K30" s="114">
        <f t="shared" si="6"/>
        <v>0.4576271186440678</v>
      </c>
      <c r="L30" s="114">
        <f t="shared" si="5"/>
        <v>-0.1064135569156504</v>
      </c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</row>
    <row r="31" spans="1:33" x14ac:dyDescent="0.25">
      <c r="A31" s="114">
        <v>29</v>
      </c>
      <c r="B31" s="118">
        <v>111.35</v>
      </c>
      <c r="C31" s="118">
        <v>3896.81</v>
      </c>
      <c r="D31" s="115">
        <f t="shared" si="0"/>
        <v>120.5727554542708</v>
      </c>
      <c r="E31" s="109">
        <f t="shared" si="1"/>
        <v>-9.2227554542708106</v>
      </c>
      <c r="F31" s="115">
        <f t="shared" si="2"/>
        <v>8.2826721636917924</v>
      </c>
      <c r="G31" s="114">
        <f t="shared" si="3"/>
        <v>85.059218169281991</v>
      </c>
      <c r="H31" s="121">
        <f t="shared" si="4"/>
        <v>4.7877503530324503</v>
      </c>
      <c r="I31" s="121"/>
      <c r="J31" s="113">
        <v>-0.50352489027798697</v>
      </c>
      <c r="K31" s="114">
        <f t="shared" si="6"/>
        <v>0.47457627118644069</v>
      </c>
      <c r="L31" s="114">
        <f t="shared" si="5"/>
        <v>-6.377103455763064E-2</v>
      </c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</row>
    <row r="32" spans="1:33" x14ac:dyDescent="0.25">
      <c r="A32" s="114">
        <v>30</v>
      </c>
      <c r="B32" s="118">
        <v>117.54</v>
      </c>
      <c r="C32" s="118">
        <v>3995.53</v>
      </c>
      <c r="D32" s="115">
        <f t="shared" si="0"/>
        <v>121.97500510123837</v>
      </c>
      <c r="E32" s="109">
        <f t="shared" si="1"/>
        <v>-4.4350051012383602</v>
      </c>
      <c r="F32" s="115">
        <f t="shared" si="2"/>
        <v>3.7731879370753445</v>
      </c>
      <c r="G32" s="114">
        <f t="shared" si="3"/>
        <v>19.669270248010278</v>
      </c>
      <c r="H32" s="121">
        <f t="shared" si="4"/>
        <v>4.8976727971777052</v>
      </c>
      <c r="I32" s="121"/>
      <c r="J32" s="113">
        <v>-0.33528392063388424</v>
      </c>
      <c r="K32" s="114">
        <f t="shared" si="6"/>
        <v>0.49152542372881358</v>
      </c>
      <c r="L32" s="114">
        <f t="shared" si="5"/>
        <v>-2.1244210365719055E-2</v>
      </c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</row>
    <row r="33" spans="1:33" x14ac:dyDescent="0.25">
      <c r="A33" s="114">
        <v>31</v>
      </c>
      <c r="B33" s="118">
        <v>122.58</v>
      </c>
      <c r="C33" s="118">
        <v>4005.55</v>
      </c>
      <c r="D33" s="115">
        <f t="shared" si="0"/>
        <v>122.11733230406065</v>
      </c>
      <c r="E33" s="110">
        <f t="shared" si="1"/>
        <v>0.46266769593934498</v>
      </c>
      <c r="F33" s="115">
        <f t="shared" si="2"/>
        <v>0.37744142269484826</v>
      </c>
      <c r="G33" s="114">
        <f t="shared" si="3"/>
        <v>0.21406139686582218</v>
      </c>
      <c r="H33" s="121">
        <f t="shared" si="4"/>
        <v>4.4048772964584231</v>
      </c>
      <c r="I33" s="121"/>
      <c r="J33" s="113">
        <v>-0.30131418549858324</v>
      </c>
      <c r="K33" s="114">
        <f t="shared" si="6"/>
        <v>0.50847457627118642</v>
      </c>
      <c r="L33" s="114">
        <f t="shared" si="5"/>
        <v>2.1244210365719055E-2</v>
      </c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</row>
    <row r="34" spans="1:33" x14ac:dyDescent="0.25">
      <c r="A34" s="114">
        <v>32</v>
      </c>
      <c r="B34" s="118">
        <v>128.16</v>
      </c>
      <c r="C34" s="118">
        <v>4088.28</v>
      </c>
      <c r="D34" s="115">
        <f t="shared" si="0"/>
        <v>123.29245500760223</v>
      </c>
      <c r="E34" s="110">
        <f t="shared" si="1"/>
        <v>4.8675449923977681</v>
      </c>
      <c r="F34" s="115">
        <f t="shared" si="2"/>
        <v>3.7980219978134895</v>
      </c>
      <c r="G34" s="114">
        <f t="shared" si="3"/>
        <v>23.69299425301659</v>
      </c>
      <c r="H34" s="121">
        <f t="shared" si="4"/>
        <v>6.7640285271561709</v>
      </c>
      <c r="I34" s="121"/>
      <c r="J34" s="113">
        <v>0.17062059606615776</v>
      </c>
      <c r="K34" s="114">
        <f t="shared" si="6"/>
        <v>0.52542372881355937</v>
      </c>
      <c r="L34" s="114">
        <f t="shared" si="5"/>
        <v>6.3771034557630793E-2</v>
      </c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</row>
    <row r="35" spans="1:33" x14ac:dyDescent="0.25">
      <c r="A35" s="114">
        <v>33</v>
      </c>
      <c r="B35" s="118">
        <v>132.86000000000001</v>
      </c>
      <c r="C35" s="118">
        <v>3942.97</v>
      </c>
      <c r="D35" s="115">
        <f t="shared" si="0"/>
        <v>121.22842648044607</v>
      </c>
      <c r="E35" s="110">
        <f t="shared" si="1"/>
        <v>11.631573519553939</v>
      </c>
      <c r="F35" s="115">
        <f t="shared" si="2"/>
        <v>8.7547595360183177</v>
      </c>
      <c r="G35" s="114">
        <f t="shared" si="3"/>
        <v>135.29350254078841</v>
      </c>
      <c r="H35" s="121">
        <f t="shared" si="4"/>
        <v>5.9727196895632062</v>
      </c>
      <c r="I35" s="121"/>
      <c r="J35" s="113">
        <v>0.28059004774519281</v>
      </c>
      <c r="K35" s="114">
        <f t="shared" si="6"/>
        <v>0.5423728813559322</v>
      </c>
      <c r="L35" s="114">
        <f t="shared" si="5"/>
        <v>0.1064135569156504</v>
      </c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</row>
    <row r="36" spans="1:33" x14ac:dyDescent="0.25">
      <c r="A36" s="114">
        <v>34</v>
      </c>
      <c r="B36" s="118">
        <v>134.91999999999999</v>
      </c>
      <c r="C36" s="118">
        <v>3667.51</v>
      </c>
      <c r="D36" s="115">
        <f t="shared" si="0"/>
        <v>117.31570679088284</v>
      </c>
      <c r="E36" s="110">
        <f t="shared" si="1"/>
        <v>17.604293209117145</v>
      </c>
      <c r="F36" s="115">
        <f t="shared" si="2"/>
        <v>13.047949310048285</v>
      </c>
      <c r="G36" s="114">
        <f t="shared" si="3"/>
        <v>309.91113939256803</v>
      </c>
      <c r="H36" s="121">
        <f t="shared" si="4"/>
        <v>-2.9665292431539854</v>
      </c>
      <c r="I36" s="121"/>
      <c r="J36" s="113">
        <v>0.45233031481942021</v>
      </c>
      <c r="K36" s="114">
        <f t="shared" si="6"/>
        <v>0.55932203389830504</v>
      </c>
      <c r="L36" s="114">
        <f t="shared" si="5"/>
        <v>0.14925055165580298</v>
      </c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</row>
    <row r="37" spans="1:33" x14ac:dyDescent="0.25">
      <c r="A37" s="114">
        <v>35</v>
      </c>
      <c r="B37" s="118">
        <v>135.69999999999999</v>
      </c>
      <c r="C37" s="118">
        <v>3931.27</v>
      </c>
      <c r="D37" s="115">
        <f t="shared" si="0"/>
        <v>121.06223603403683</v>
      </c>
      <c r="E37" s="110">
        <f t="shared" si="1"/>
        <v>14.63776396596316</v>
      </c>
      <c r="F37" s="115">
        <f t="shared" si="2"/>
        <v>10.786856275580812</v>
      </c>
      <c r="G37" s="114">
        <f t="shared" si="3"/>
        <v>214.26413392324955</v>
      </c>
      <c r="H37" s="121">
        <f t="shared" si="4"/>
        <v>1.199930673751652</v>
      </c>
      <c r="I37" s="121"/>
      <c r="J37" s="113">
        <v>0.46266769593934498</v>
      </c>
      <c r="K37" s="114">
        <f t="shared" si="6"/>
        <v>0.57627118644067798</v>
      </c>
      <c r="L37" s="114">
        <f t="shared" si="5"/>
        <v>0.19236331372250978</v>
      </c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</row>
    <row r="38" spans="1:33" x14ac:dyDescent="0.25">
      <c r="A38" s="114">
        <v>36</v>
      </c>
      <c r="B38" s="118">
        <v>136.13999999999999</v>
      </c>
      <c r="C38" s="118">
        <v>3877.77</v>
      </c>
      <c r="D38" s="115">
        <f t="shared" si="0"/>
        <v>120.30230536028517</v>
      </c>
      <c r="E38" s="110">
        <f t="shared" si="1"/>
        <v>15.837694639714812</v>
      </c>
      <c r="F38" s="115">
        <f t="shared" si="2"/>
        <v>11.633388159038352</v>
      </c>
      <c r="G38" s="114">
        <f t="shared" si="3"/>
        <v>250.83257150085129</v>
      </c>
      <c r="H38" s="121">
        <f t="shared" si="4"/>
        <v>2.7861565074683767</v>
      </c>
      <c r="I38" s="121"/>
      <c r="J38" s="113">
        <v>1.2077657434035416</v>
      </c>
      <c r="K38" s="114">
        <f t="shared" si="6"/>
        <v>0.59322033898305082</v>
      </c>
      <c r="L38" s="114">
        <f t="shared" si="5"/>
        <v>0.23583678601109134</v>
      </c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</row>
    <row r="39" spans="1:33" x14ac:dyDescent="0.25">
      <c r="A39" s="114">
        <v>37</v>
      </c>
      <c r="B39" s="118">
        <v>140.15</v>
      </c>
      <c r="C39" s="118">
        <v>3963.93</v>
      </c>
      <c r="D39" s="115">
        <f t="shared" si="0"/>
        <v>121.52614885281682</v>
      </c>
      <c r="E39" s="110">
        <f t="shared" si="1"/>
        <v>18.623851147183188</v>
      </c>
      <c r="F39" s="115">
        <f t="shared" si="2"/>
        <v>13.288513126780726</v>
      </c>
      <c r="G39" s="114">
        <f t="shared" si="3"/>
        <v>346.84783155243656</v>
      </c>
      <c r="H39" s="121">
        <f t="shared" si="4"/>
        <v>-3.3838089281848625</v>
      </c>
      <c r="I39" s="121"/>
      <c r="J39" s="113">
        <v>1.5413102376331267</v>
      </c>
      <c r="K39" s="114">
        <f t="shared" si="6"/>
        <v>0.61016949152542377</v>
      </c>
      <c r="L39" s="114">
        <f t="shared" si="5"/>
        <v>0.27976081477122983</v>
      </c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</row>
    <row r="40" spans="1:33" x14ac:dyDescent="0.25">
      <c r="A40" s="114">
        <v>38</v>
      </c>
      <c r="B40" s="118">
        <v>140.09</v>
      </c>
      <c r="C40" s="118">
        <v>4197.93</v>
      </c>
      <c r="D40" s="115">
        <f t="shared" si="0"/>
        <v>124.84995778100168</v>
      </c>
      <c r="E40" s="110">
        <f t="shared" si="1"/>
        <v>15.240042218998326</v>
      </c>
      <c r="F40" s="115">
        <f t="shared" si="2"/>
        <v>10.878750959382058</v>
      </c>
      <c r="G40" s="114">
        <f t="shared" si="3"/>
        <v>232.25888683685142</v>
      </c>
      <c r="H40" s="121">
        <f t="shared" si="4"/>
        <v>-3.9318549876767719</v>
      </c>
      <c r="I40" s="121"/>
      <c r="J40" s="113">
        <v>1.5501054227066646</v>
      </c>
      <c r="K40" s="114">
        <f t="shared" si="6"/>
        <v>0.6271186440677966</v>
      </c>
      <c r="L40" s="114">
        <f t="shared" si="5"/>
        <v>0.32423158413730258</v>
      </c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</row>
    <row r="41" spans="1:33" x14ac:dyDescent="0.25">
      <c r="A41" s="114">
        <v>39</v>
      </c>
      <c r="B41" s="118">
        <v>139.1</v>
      </c>
      <c r="C41" s="118">
        <v>4405.04</v>
      </c>
      <c r="D41" s="115">
        <f t="shared" si="0"/>
        <v>127.79181276867844</v>
      </c>
      <c r="E41" s="110">
        <f t="shared" si="1"/>
        <v>11.308187231321554</v>
      </c>
      <c r="F41" s="115">
        <f t="shared" si="2"/>
        <v>8.1295379089299455</v>
      </c>
      <c r="G41" s="114">
        <f t="shared" si="3"/>
        <v>127.87509845862384</v>
      </c>
      <c r="H41" s="121">
        <f t="shared" si="4"/>
        <v>-1.6384936845956446</v>
      </c>
      <c r="I41" s="121"/>
      <c r="J41" s="113">
        <v>1.6293760481804043</v>
      </c>
      <c r="K41" s="114">
        <f t="shared" si="6"/>
        <v>0.64406779661016944</v>
      </c>
      <c r="L41" s="114">
        <f t="shared" si="5"/>
        <v>0.36935329360674291</v>
      </c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</row>
    <row r="42" spans="1:33" x14ac:dyDescent="0.25">
      <c r="A42" s="114">
        <v>40</v>
      </c>
      <c r="B42" s="118">
        <v>137.5</v>
      </c>
      <c r="C42" s="118">
        <v>4407.75</v>
      </c>
      <c r="D42" s="115">
        <f t="shared" si="0"/>
        <v>127.83030645327409</v>
      </c>
      <c r="E42" s="110">
        <f t="shared" si="1"/>
        <v>9.6696935467259095</v>
      </c>
      <c r="F42" s="115">
        <f t="shared" si="2"/>
        <v>7.0325043976188439</v>
      </c>
      <c r="G42" s="114">
        <f t="shared" si="3"/>
        <v>93.502973287592695</v>
      </c>
      <c r="H42" s="121">
        <f t="shared" si="4"/>
        <v>-1.9836832455036415</v>
      </c>
      <c r="I42" s="121"/>
      <c r="J42" s="113">
        <v>1.7739256414917861</v>
      </c>
      <c r="K42" s="114">
        <f t="shared" si="6"/>
        <v>0.66101694915254239</v>
      </c>
      <c r="L42" s="114">
        <f t="shared" si="5"/>
        <v>0.4152401608260714</v>
      </c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</row>
    <row r="43" spans="1:33" x14ac:dyDescent="0.25">
      <c r="A43" s="114">
        <v>41</v>
      </c>
      <c r="B43" s="118">
        <v>136.12</v>
      </c>
      <c r="C43" s="118">
        <v>4450.25</v>
      </c>
      <c r="D43" s="115">
        <f t="shared" si="0"/>
        <v>128.43398969877774</v>
      </c>
      <c r="E43" s="110">
        <f t="shared" si="1"/>
        <v>7.686010301222268</v>
      </c>
      <c r="F43" s="115">
        <f t="shared" si="2"/>
        <v>5.6464959603454803</v>
      </c>
      <c r="G43" s="114">
        <f t="shared" si="3"/>
        <v>59.074754350494821</v>
      </c>
      <c r="H43" s="121">
        <f t="shared" si="4"/>
        <v>-0.67400940150676547</v>
      </c>
      <c r="I43" s="121"/>
      <c r="J43" s="113">
        <v>1.8329991187800658</v>
      </c>
      <c r="K43" s="114">
        <f t="shared" si="6"/>
        <v>0.67796610169491522</v>
      </c>
      <c r="L43" s="114">
        <f t="shared" si="5"/>
        <v>0.46201885864912062</v>
      </c>
      <c r="M43" s="114"/>
      <c r="N43" s="114"/>
      <c r="O43" s="114" t="s">
        <v>634</v>
      </c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</row>
    <row r="44" spans="1:33" x14ac:dyDescent="0.25">
      <c r="A44" s="114">
        <v>42</v>
      </c>
      <c r="B44" s="118">
        <v>135.22</v>
      </c>
      <c r="C44" s="118">
        <v>4434.34</v>
      </c>
      <c r="D44" s="115">
        <f t="shared" si="0"/>
        <v>128.2079991002845</v>
      </c>
      <c r="E44" s="110">
        <f t="shared" si="1"/>
        <v>7.0120008997155026</v>
      </c>
      <c r="F44" s="115">
        <f t="shared" si="2"/>
        <v>5.1856240938585287</v>
      </c>
      <c r="G44" s="114">
        <f t="shared" si="3"/>
        <v>49.168156617611018</v>
      </c>
      <c r="H44" s="121">
        <f t="shared" si="4"/>
        <v>-5.2380752582237164</v>
      </c>
      <c r="I44" s="121"/>
      <c r="J44" s="113">
        <v>2.1289161774444381</v>
      </c>
      <c r="K44" s="114">
        <f t="shared" si="6"/>
        <v>0.69491525423728817</v>
      </c>
      <c r="L44" s="114">
        <f t="shared" si="5"/>
        <v>0.50983153383249047</v>
      </c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</row>
    <row r="45" spans="1:33" x14ac:dyDescent="0.25">
      <c r="A45" s="114">
        <v>43</v>
      </c>
      <c r="B45" s="118">
        <v>134.72999999999999</v>
      </c>
      <c r="C45" s="118">
        <v>4768.6099999999997</v>
      </c>
      <c r="D45" s="115">
        <f t="shared" si="0"/>
        <v>132.9560743585082</v>
      </c>
      <c r="E45" s="110">
        <f t="shared" si="1"/>
        <v>1.7739256414917861</v>
      </c>
      <c r="F45" s="115">
        <f t="shared" si="2"/>
        <v>1.3166522982942079</v>
      </c>
      <c r="G45" s="114">
        <f t="shared" si="3"/>
        <v>3.1468121815420447</v>
      </c>
      <c r="H45" s="121">
        <f t="shared" si="4"/>
        <v>-0.23261540385865942</v>
      </c>
      <c r="I45" s="121"/>
      <c r="J45" s="113">
        <v>2.7191603009740959</v>
      </c>
      <c r="K45" s="114">
        <f t="shared" si="6"/>
        <v>0.71186440677966101</v>
      </c>
      <c r="L45" s="114">
        <f t="shared" si="5"/>
        <v>0.55883961079677569</v>
      </c>
      <c r="M45" s="114"/>
      <c r="N45" s="114"/>
      <c r="O45" s="116">
        <f t="array" ref="O45:P49">LINEST(E5:E61,E4:E60,1,1)</f>
        <v>0.87557560611410479</v>
      </c>
      <c r="P45" s="116">
        <v>5.253155880917032E-2</v>
      </c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</row>
    <row r="46" spans="1:33" x14ac:dyDescent="0.25">
      <c r="A46" s="114">
        <v>44</v>
      </c>
      <c r="B46" s="118">
        <v>134.38999999999999</v>
      </c>
      <c r="C46" s="118">
        <v>4761.05</v>
      </c>
      <c r="D46" s="115">
        <f t="shared" si="0"/>
        <v>132.84868976236686</v>
      </c>
      <c r="E46" s="110">
        <f t="shared" si="1"/>
        <v>1.5413102376331267</v>
      </c>
      <c r="F46" s="115">
        <f t="shared" si="2"/>
        <v>1.1468935468659327</v>
      </c>
      <c r="G46" s="114">
        <f t="shared" si="3"/>
        <v>2.3756372486326853</v>
      </c>
      <c r="H46" s="121">
        <f t="shared" si="4"/>
        <v>0.58760593981131137</v>
      </c>
      <c r="I46" s="121"/>
      <c r="J46" s="113">
        <v>2.9581227440596649</v>
      </c>
      <c r="K46" s="114">
        <f t="shared" si="6"/>
        <v>0.72881355932203384</v>
      </c>
      <c r="L46" s="114">
        <f t="shared" si="5"/>
        <v>0.60922866701399803</v>
      </c>
      <c r="M46" s="114"/>
      <c r="N46" s="114"/>
      <c r="O46" s="116">
        <v>6.4841460890739416E-2</v>
      </c>
      <c r="P46" s="116">
        <v>0.534674403021414</v>
      </c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</row>
    <row r="47" spans="1:33" x14ac:dyDescent="0.25">
      <c r="A47" s="114">
        <v>45</v>
      </c>
      <c r="B47" s="118">
        <v>134.51</v>
      </c>
      <c r="C47" s="118">
        <v>4728.13</v>
      </c>
      <c r="D47" s="115">
        <f t="shared" si="0"/>
        <v>132.38108382255555</v>
      </c>
      <c r="E47" s="110">
        <f t="shared" si="1"/>
        <v>2.1289161774444381</v>
      </c>
      <c r="F47" s="115">
        <f t="shared" si="2"/>
        <v>1.5827196323280339</v>
      </c>
      <c r="G47" s="114">
        <f t="shared" si="3"/>
        <v>4.5322840905846382</v>
      </c>
      <c r="H47" s="121">
        <f t="shared" si="4"/>
        <v>-0.92115043404089647</v>
      </c>
      <c r="I47" s="121"/>
      <c r="J47" s="113">
        <v>3.460168494343705</v>
      </c>
      <c r="K47" s="114">
        <f t="shared" si="6"/>
        <v>0.74576271186440679</v>
      </c>
      <c r="L47" s="114">
        <f t="shared" si="5"/>
        <v>0.66121479220131485</v>
      </c>
      <c r="M47" s="114"/>
      <c r="N47" s="114"/>
      <c r="O47" s="116">
        <v>0.76826484388715166</v>
      </c>
      <c r="P47" s="116">
        <v>4.0366854306952602</v>
      </c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</row>
    <row r="48" spans="1:33" x14ac:dyDescent="0.25">
      <c r="A48" s="114">
        <v>46</v>
      </c>
      <c r="B48" s="118">
        <v>134.46</v>
      </c>
      <c r="C48" s="118">
        <v>4789.46</v>
      </c>
      <c r="D48" s="115">
        <f t="shared" si="0"/>
        <v>133.25223425659647</v>
      </c>
      <c r="E48" s="110">
        <f t="shared" si="1"/>
        <v>1.2077657434035416</v>
      </c>
      <c r="F48" s="115">
        <f t="shared" si="2"/>
        <v>0.898234228323324</v>
      </c>
      <c r="G48" s="114">
        <f t="shared" si="3"/>
        <v>1.4586980909391094</v>
      </c>
      <c r="H48" s="121">
        <f t="shared" si="4"/>
        <v>-1.0371451473373838</v>
      </c>
      <c r="I48" s="121"/>
      <c r="J48" s="113">
        <v>4.8675449923977681</v>
      </c>
      <c r="K48" s="114">
        <f t="shared" si="6"/>
        <v>0.76271186440677963</v>
      </c>
      <c r="L48" s="114">
        <f t="shared" si="5"/>
        <v>0.71505303754992222</v>
      </c>
      <c r="M48" s="114"/>
      <c r="N48" s="114"/>
      <c r="O48" s="116">
        <v>182.33990527193282</v>
      </c>
      <c r="P48" s="116">
        <v>55</v>
      </c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</row>
    <row r="49" spans="1:33" x14ac:dyDescent="0.25">
      <c r="A49" s="114">
        <v>47</v>
      </c>
      <c r="B49" s="118">
        <v>134.27000000000001</v>
      </c>
      <c r="C49" s="118">
        <v>4849.1000000000004</v>
      </c>
      <c r="D49" s="115">
        <f t="shared" si="0"/>
        <v>134.09937940393385</v>
      </c>
      <c r="E49" s="110">
        <f t="shared" si="1"/>
        <v>0.17062059606615776</v>
      </c>
      <c r="F49" s="115">
        <f t="shared" si="2"/>
        <v>0.12707276090426584</v>
      </c>
      <c r="G49" s="114">
        <f t="shared" si="3"/>
        <v>2.9111387801970968E-2</v>
      </c>
      <c r="H49" s="121">
        <f t="shared" si="4"/>
        <v>1.6623785227139081</v>
      </c>
      <c r="I49" s="121"/>
      <c r="J49" s="113">
        <v>7.0120008997155026</v>
      </c>
      <c r="K49" s="114">
        <f t="shared" si="6"/>
        <v>0.77966101694915257</v>
      </c>
      <c r="L49" s="114">
        <f t="shared" si="5"/>
        <v>0.77104886863964417</v>
      </c>
      <c r="M49" s="114"/>
      <c r="N49" s="114"/>
      <c r="O49" s="116">
        <v>2971.1976248553938</v>
      </c>
      <c r="P49" s="116">
        <v>896.21560965130595</v>
      </c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</row>
    <row r="50" spans="1:33" x14ac:dyDescent="0.25">
      <c r="A50" s="114">
        <v>48</v>
      </c>
      <c r="B50" s="118">
        <v>133.72999999999999</v>
      </c>
      <c r="C50" s="118">
        <v>4694.05</v>
      </c>
      <c r="D50" s="115">
        <f t="shared" si="0"/>
        <v>131.89700088121992</v>
      </c>
      <c r="E50" s="110">
        <f t="shared" si="1"/>
        <v>1.8329991187800658</v>
      </c>
      <c r="F50" s="115">
        <f t="shared" si="2"/>
        <v>1.3706715911015224</v>
      </c>
      <c r="G50" s="114">
        <f t="shared" si="3"/>
        <v>3.359885769448498</v>
      </c>
      <c r="H50" s="121">
        <f t="shared" si="4"/>
        <v>1.1251236252795991</v>
      </c>
      <c r="I50" s="121"/>
      <c r="J50" s="113">
        <v>7.686010301222268</v>
      </c>
      <c r="K50" s="114">
        <f t="shared" si="6"/>
        <v>0.79661016949152541</v>
      </c>
      <c r="L50" s="114">
        <f t="shared" si="5"/>
        <v>0.82957403698182763</v>
      </c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</row>
    <row r="51" spans="1:33" x14ac:dyDescent="0.25">
      <c r="A51" s="114">
        <v>49</v>
      </c>
      <c r="B51" s="118">
        <v>132.01</v>
      </c>
      <c r="C51" s="118">
        <v>4493.75</v>
      </c>
      <c r="D51" s="115">
        <f t="shared" si="0"/>
        <v>129.05187725594033</v>
      </c>
      <c r="E51" s="110">
        <f t="shared" si="1"/>
        <v>2.9581227440596649</v>
      </c>
      <c r="F51" s="115">
        <f t="shared" si="2"/>
        <v>2.2408323188089274</v>
      </c>
      <c r="G51" s="114">
        <f t="shared" si="3"/>
        <v>8.750490168923081</v>
      </c>
      <c r="H51" s="121">
        <f t="shared" si="4"/>
        <v>-3.2934066646935491</v>
      </c>
      <c r="I51" s="121"/>
      <c r="J51" s="113">
        <v>8.0865440741548156</v>
      </c>
      <c r="K51" s="114">
        <f t="shared" si="6"/>
        <v>0.81355932203389836</v>
      </c>
      <c r="L51" s="114">
        <f t="shared" si="5"/>
        <v>0.89108913003410994</v>
      </c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</row>
    <row r="52" spans="1:33" x14ac:dyDescent="0.25">
      <c r="A52" s="114">
        <v>50</v>
      </c>
      <c r="B52" s="118">
        <v>130.59</v>
      </c>
      <c r="C52" s="118">
        <v>4625.6400000000003</v>
      </c>
      <c r="D52" s="115">
        <f t="shared" si="0"/>
        <v>130.92528392063389</v>
      </c>
      <c r="E52" s="109">
        <f t="shared" si="1"/>
        <v>-0.33528392063388424</v>
      </c>
      <c r="F52" s="115">
        <f t="shared" si="2"/>
        <v>0.25674547869965869</v>
      </c>
      <c r="G52" s="114">
        <f t="shared" si="3"/>
        <v>0.11241530743562879</v>
      </c>
      <c r="H52" s="121">
        <f t="shared" si="4"/>
        <v>-0.16824096964410273</v>
      </c>
      <c r="I52" s="121"/>
      <c r="J52" s="113">
        <v>9.6696935467259095</v>
      </c>
      <c r="K52" s="114">
        <f t="shared" si="6"/>
        <v>0.83050847457627119</v>
      </c>
      <c r="L52" s="114">
        <f t="shared" si="5"/>
        <v>0.95617653892006238</v>
      </c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</row>
    <row r="53" spans="1:33" x14ac:dyDescent="0.25">
      <c r="A53" s="114">
        <v>51</v>
      </c>
      <c r="B53" s="118">
        <v>130.28</v>
      </c>
      <c r="C53" s="118">
        <v>4615.66</v>
      </c>
      <c r="D53" s="115">
        <f t="shared" si="0"/>
        <v>130.78352489027799</v>
      </c>
      <c r="E53" s="109">
        <f t="shared" si="1"/>
        <v>-0.50352489027798697</v>
      </c>
      <c r="F53" s="115">
        <f t="shared" si="2"/>
        <v>0.3864943892216664</v>
      </c>
      <c r="G53" s="114">
        <f t="shared" si="3"/>
        <v>0.25353731512945882</v>
      </c>
      <c r="H53" s="121">
        <f t="shared" si="4"/>
        <v>-5.8856886046807517</v>
      </c>
      <c r="I53" s="121"/>
      <c r="J53" s="113">
        <v>9.7057860280774975</v>
      </c>
      <c r="K53" s="114">
        <f t="shared" si="6"/>
        <v>0.84745762711864403</v>
      </c>
      <c r="L53" s="114">
        <f t="shared" si="5"/>
        <v>1.0255902911278738</v>
      </c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</row>
    <row r="54" spans="1:33" x14ac:dyDescent="0.25">
      <c r="A54" s="114">
        <v>52</v>
      </c>
      <c r="B54" s="118">
        <v>129.16</v>
      </c>
      <c r="C54" s="118">
        <v>4951.17</v>
      </c>
      <c r="D54" s="115">
        <f t="shared" si="0"/>
        <v>135.54921349495874</v>
      </c>
      <c r="E54" s="109">
        <f t="shared" si="1"/>
        <v>-6.3892134949587387</v>
      </c>
      <c r="F54" s="115">
        <f t="shared" si="2"/>
        <v>4.9467431828420088</v>
      </c>
      <c r="G54" s="114">
        <f t="shared" si="3"/>
        <v>40.822049084162863</v>
      </c>
      <c r="H54" s="121">
        <f t="shared" si="4"/>
        <v>1.920060833603543E-2</v>
      </c>
      <c r="I54" s="121"/>
      <c r="J54" s="113">
        <v>11.308187231321554</v>
      </c>
      <c r="K54" s="114">
        <f t="shared" si="6"/>
        <v>0.86440677966101698</v>
      </c>
      <c r="L54" s="114">
        <f t="shared" si="5"/>
        <v>1.1003344194590818</v>
      </c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</row>
    <row r="55" spans="1:33" x14ac:dyDescent="0.25">
      <c r="A55" s="114">
        <v>53</v>
      </c>
      <c r="B55" s="118">
        <v>128.94</v>
      </c>
      <c r="C55" s="118">
        <v>4934.33</v>
      </c>
      <c r="D55" s="115">
        <f t="shared" si="0"/>
        <v>135.3100128866227</v>
      </c>
      <c r="E55" s="109">
        <f t="shared" si="1"/>
        <v>-6.3700128866227033</v>
      </c>
      <c r="F55" s="115">
        <f t="shared" si="2"/>
        <v>4.9402922961243236</v>
      </c>
      <c r="G55" s="114">
        <f t="shared" si="3"/>
        <v>40.577064175739302</v>
      </c>
      <c r="H55" s="121">
        <f t="shared" si="4"/>
        <v>-0.83145766194934367</v>
      </c>
      <c r="I55" s="121"/>
      <c r="J55" s="113">
        <v>11.631573519553939</v>
      </c>
      <c r="K55" s="114">
        <f t="shared" si="6"/>
        <v>0.88135593220338981</v>
      </c>
      <c r="L55" s="114">
        <f t="shared" si="5"/>
        <v>1.1817922703491182</v>
      </c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</row>
    <row r="56" spans="1:33" x14ac:dyDescent="0.25">
      <c r="A56" s="114">
        <v>54</v>
      </c>
      <c r="B56" s="118">
        <v>129.30000000000001</v>
      </c>
      <c r="C56" s="118">
        <v>5018.21</v>
      </c>
      <c r="D56" s="115">
        <f t="shared" si="0"/>
        <v>136.50147054857206</v>
      </c>
      <c r="E56" s="109">
        <f t="shared" si="1"/>
        <v>-7.2014705485720469</v>
      </c>
      <c r="F56" s="115">
        <f t="shared" si="2"/>
        <v>5.5695827908523174</v>
      </c>
      <c r="G56" s="114">
        <f t="shared" si="3"/>
        <v>51.861178061950575</v>
      </c>
      <c r="H56" s="121">
        <f t="shared" si="4"/>
        <v>-2.6086186430935641</v>
      </c>
      <c r="I56" s="121"/>
      <c r="J56" s="113">
        <v>11.788558485898946</v>
      </c>
      <c r="K56" s="114">
        <f t="shared" si="6"/>
        <v>0.89830508474576276</v>
      </c>
      <c r="L56" s="114">
        <f t="shared" si="5"/>
        <v>1.2719529676842083</v>
      </c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</row>
    <row r="57" spans="1:33" x14ac:dyDescent="0.25">
      <c r="A57" s="114">
        <v>55</v>
      </c>
      <c r="B57" s="118">
        <v>131.22</v>
      </c>
      <c r="C57" s="118">
        <v>5337.03</v>
      </c>
      <c r="D57" s="115">
        <f t="shared" si="0"/>
        <v>141.03008919166561</v>
      </c>
      <c r="E57" s="109">
        <f t="shared" si="1"/>
        <v>-9.810089191665611</v>
      </c>
      <c r="F57" s="115">
        <f t="shared" si="2"/>
        <v>7.4760624841225507</v>
      </c>
      <c r="G57" s="114">
        <f t="shared" si="3"/>
        <v>96.237849948434445</v>
      </c>
      <c r="H57" s="121">
        <f t="shared" si="4"/>
        <v>8.5244549528380276</v>
      </c>
      <c r="I57" s="121"/>
      <c r="J57" s="113">
        <v>14.63776396596316</v>
      </c>
      <c r="K57" s="114">
        <f t="shared" si="6"/>
        <v>0.9152542372881356</v>
      </c>
      <c r="L57" s="114">
        <f t="shared" si="5"/>
        <v>1.3738394673770855</v>
      </c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</row>
    <row r="58" spans="1:33" x14ac:dyDescent="0.25">
      <c r="A58" s="114">
        <v>56</v>
      </c>
      <c r="B58" s="118">
        <v>132.52000000000001</v>
      </c>
      <c r="C58" s="118">
        <v>4828.42</v>
      </c>
      <c r="D58" s="115">
        <f t="shared" si="0"/>
        <v>133.80563423882759</v>
      </c>
      <c r="E58" s="109">
        <f t="shared" si="1"/>
        <v>-1.2856342388275834</v>
      </c>
      <c r="F58" s="115">
        <f t="shared" si="2"/>
        <v>0.97014355480499803</v>
      </c>
      <c r="G58" s="114">
        <f t="shared" si="3"/>
        <v>1.6528553960457799</v>
      </c>
      <c r="H58" s="121">
        <f t="shared" si="4"/>
        <v>1.5662242865727762</v>
      </c>
      <c r="I58" s="121"/>
      <c r="J58" s="113">
        <v>15.240042218998326</v>
      </c>
      <c r="K58" s="114">
        <f t="shared" si="6"/>
        <v>0.93220338983050843</v>
      </c>
      <c r="L58" s="114">
        <f t="shared" si="5"/>
        <v>1.4924041783203592</v>
      </c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</row>
    <row r="59" spans="1:33" x14ac:dyDescent="0.25">
      <c r="A59" s="114">
        <v>57</v>
      </c>
      <c r="B59" s="118">
        <v>134.25</v>
      </c>
      <c r="C59" s="118">
        <v>4839.95</v>
      </c>
      <c r="D59" s="115">
        <f t="shared" si="0"/>
        <v>133.96940995225481</v>
      </c>
      <c r="E59" s="133">
        <f t="shared" si="1"/>
        <v>0.28059004774519281</v>
      </c>
      <c r="F59" s="115">
        <f t="shared" si="2"/>
        <v>0.20900562215656818</v>
      </c>
      <c r="G59" s="114">
        <f t="shared" si="3"/>
        <v>7.8730774893649574E-2</v>
      </c>
      <c r="H59" s="121">
        <f t="shared" si="4"/>
        <v>1.3487860004352115</v>
      </c>
      <c r="I59" s="121"/>
      <c r="J59" s="113">
        <v>15.837694639714812</v>
      </c>
      <c r="K59" s="114">
        <f t="shared" si="6"/>
        <v>0.94915254237288138</v>
      </c>
      <c r="L59" s="114">
        <f t="shared" si="5"/>
        <v>1.6366916466733989</v>
      </c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</row>
    <row r="60" spans="1:33" x14ac:dyDescent="0.25">
      <c r="A60" s="114">
        <v>58</v>
      </c>
      <c r="B60" s="118">
        <v>136.06</v>
      </c>
      <c r="C60" s="118">
        <v>4872.42</v>
      </c>
      <c r="D60" s="115">
        <f t="shared" si="0"/>
        <v>134.4306239518196</v>
      </c>
      <c r="E60" s="133">
        <f t="shared" si="1"/>
        <v>1.6293760481804043</v>
      </c>
      <c r="F60" s="115">
        <f t="shared" si="2"/>
        <v>1.1975422961784539</v>
      </c>
      <c r="G60" s="114">
        <f t="shared" si="3"/>
        <v>2.6548663063839912</v>
      </c>
      <c r="H60" s="121"/>
      <c r="I60" s="121"/>
      <c r="J60" s="113">
        <v>17.604293209117145</v>
      </c>
      <c r="K60" s="114">
        <f t="shared" si="6"/>
        <v>0.96610169491525422</v>
      </c>
      <c r="L60" s="114">
        <f t="shared" si="5"/>
        <v>1.8263562979439059</v>
      </c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</row>
    <row r="61" spans="1:33" x14ac:dyDescent="0.25">
      <c r="A61" s="114" t="s">
        <v>76</v>
      </c>
      <c r="B61" s="121">
        <f t="shared" ref="B61:H61" si="7">SUM(B3:B60)</f>
        <v>7013.130000000001</v>
      </c>
      <c r="C61" s="121">
        <f t="shared" si="7"/>
        <v>227416.68</v>
      </c>
      <c r="D61" s="121">
        <f t="shared" si="7"/>
        <v>7013.130000000001</v>
      </c>
      <c r="E61" s="121">
        <f t="shared" si="7"/>
        <v>-5.6843418860808015E-13</v>
      </c>
      <c r="F61" s="121">
        <f t="shared" si="7"/>
        <v>308.93683904313792</v>
      </c>
      <c r="G61" s="121">
        <f t="shared" si="7"/>
        <v>3877.6283589029213</v>
      </c>
      <c r="H61" s="121">
        <f t="shared" si="7"/>
        <v>3.0247385118904617</v>
      </c>
      <c r="I61" s="121"/>
      <c r="J61" s="113">
        <v>18.623851147183188</v>
      </c>
      <c r="K61" s="114">
        <f t="shared" si="6"/>
        <v>0.98305084745762716</v>
      </c>
      <c r="L61" s="114">
        <f t="shared" si="5"/>
        <v>2.1212793024540031</v>
      </c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</row>
    <row r="62" spans="1:33" x14ac:dyDescent="0.25">
      <c r="A62" s="114" t="s">
        <v>77</v>
      </c>
      <c r="B62" s="121">
        <f t="shared" ref="B62:H62" si="8">AVERAGE(B3:B60)</f>
        <v>120.91603448275863</v>
      </c>
      <c r="C62" s="121">
        <f t="shared" si="8"/>
        <v>3920.9772413793103</v>
      </c>
      <c r="D62" s="121">
        <f t="shared" si="8"/>
        <v>120.91603448275863</v>
      </c>
      <c r="E62" s="121">
        <f t="shared" si="8"/>
        <v>-9.8005894587600032E-15</v>
      </c>
      <c r="F62" s="121">
        <f t="shared" si="8"/>
        <v>5.3264972248816882</v>
      </c>
      <c r="G62" s="121">
        <f t="shared" si="8"/>
        <v>66.855661360395189</v>
      </c>
      <c r="H62" s="121">
        <f t="shared" si="8"/>
        <v>5.3065587927902835E-2</v>
      </c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</row>
    <row r="63" spans="1:33" x14ac:dyDescent="0.25">
      <c r="A63" s="114"/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</row>
  </sheetData>
  <sortState ref="J4:J61">
    <sortCondition ref="J4:J61"/>
  </sortState>
  <mergeCells count="1">
    <mergeCell ref="J2:L2"/>
  </mergeCells>
  <hyperlinks>
    <hyperlink ref="Q23" location="'Y от Х4'!E62" display="2) Значение ячейки E63=0, т.е. средняя величина остатков равна 0 и не зависит от Xi."/>
    <hyperlink ref="Q26" location="'Y от Х4'!U27:AD46" display="5)Нанесенные на график проверки распределения на нормальность точки укладываются вдоль линии тренда,"/>
    <hyperlink ref="Q25" location="'Y от Х4'!R20" display="4) Коэффициент корреляции rɛiɛj  существенно отличен от 0, что говорит о наличии автокорреляции остатков."/>
    <hyperlink ref="Q24" location="'Y от Х4'!N28:W46" display="3) Наличие гомоскедастичности можно видеть на графике зависимости остатков ɛi от теоретических значений Ŷₓ. "/>
    <hyperlink ref="Q22" location="'Y от Х4'!N28:W46" display="1) Из графика зависимости случайных остатков ɛi от теоретического Ŷₓ видно, что остаткиимеют случайный характер.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4"/>
  <sheetViews>
    <sheetView zoomScaleNormal="100" workbookViewId="0">
      <selection activeCell="M4" sqref="M4"/>
    </sheetView>
  </sheetViews>
  <sheetFormatPr defaultRowHeight="15" x14ac:dyDescent="0.25"/>
  <cols>
    <col min="10" max="10" width="13.7109375" customWidth="1"/>
    <col min="11" max="11" width="13" customWidth="1"/>
    <col min="12" max="12" width="15.5703125" customWidth="1"/>
  </cols>
  <sheetData>
    <row r="1" spans="1:35" x14ac:dyDescent="0.25">
      <c r="A1" s="114"/>
      <c r="B1" s="119">
        <v>1</v>
      </c>
      <c r="C1" s="119">
        <v>2</v>
      </c>
      <c r="D1" s="119">
        <v>3</v>
      </c>
      <c r="E1" s="119">
        <v>4</v>
      </c>
      <c r="F1" s="119">
        <v>5</v>
      </c>
      <c r="G1" s="119">
        <v>6</v>
      </c>
      <c r="H1" s="119">
        <v>7</v>
      </c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</row>
    <row r="2" spans="1:35" ht="18" x14ac:dyDescent="0.25">
      <c r="A2" s="114"/>
      <c r="B2" s="117" t="s">
        <v>48</v>
      </c>
      <c r="C2" s="117" t="s">
        <v>673</v>
      </c>
      <c r="D2" s="67" t="s">
        <v>646</v>
      </c>
      <c r="E2" s="67" t="s">
        <v>576</v>
      </c>
      <c r="F2" s="117" t="s">
        <v>620</v>
      </c>
      <c r="G2" s="111" t="s">
        <v>653</v>
      </c>
      <c r="H2" s="111" t="s">
        <v>652</v>
      </c>
      <c r="I2" s="111"/>
      <c r="J2" s="207" t="s">
        <v>604</v>
      </c>
      <c r="K2" s="207"/>
      <c r="L2" s="207"/>
      <c r="M2" s="120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</row>
    <row r="3" spans="1:35" ht="60" x14ac:dyDescent="0.25">
      <c r="A3" s="114">
        <v>1</v>
      </c>
      <c r="B3" s="118">
        <v>102.32</v>
      </c>
      <c r="C3" s="12">
        <v>30693.27</v>
      </c>
      <c r="D3" s="115">
        <f>$N$21*C3+$O$21</f>
        <v>110.0744364389942</v>
      </c>
      <c r="E3" s="109">
        <f>B3-D3</f>
        <v>-7.7544364389942047</v>
      </c>
      <c r="F3" s="115">
        <f>ABS(E3/B3)*100</f>
        <v>7.5786126260693951</v>
      </c>
      <c r="G3" s="115">
        <f>E3*E3</f>
        <v>60.131284486401121</v>
      </c>
      <c r="H3" s="108">
        <f>(E4-E3)</f>
        <v>0.96859926346628811</v>
      </c>
      <c r="I3" s="121"/>
      <c r="J3" s="132" t="s">
        <v>632</v>
      </c>
      <c r="K3" s="124" t="s">
        <v>608</v>
      </c>
      <c r="L3" s="42" t="s">
        <v>609</v>
      </c>
      <c r="M3" s="12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</row>
    <row r="4" spans="1:35" ht="18" x14ac:dyDescent="0.35">
      <c r="A4" s="114">
        <v>2</v>
      </c>
      <c r="B4" s="118">
        <v>102.21</v>
      </c>
      <c r="C4" s="12">
        <v>30330.845000000001</v>
      </c>
      <c r="D4" s="115">
        <f t="shared" ref="D4:D60" si="0">$N$21*C4+$O$21</f>
        <v>108.99583717552791</v>
      </c>
      <c r="E4" s="109">
        <f t="shared" ref="E4:E60" si="1">B4-D4</f>
        <v>-6.7858371755279165</v>
      </c>
      <c r="F4" s="115">
        <f t="shared" ref="F4:F60" si="2">ABS(E4/B4)*100</f>
        <v>6.6391127830231058</v>
      </c>
      <c r="G4" s="114">
        <f t="shared" ref="G4:G60" si="3">E4*E4</f>
        <v>46.04758617277669</v>
      </c>
      <c r="H4" s="121">
        <f t="shared" ref="H4:H59" si="4">(E5-E4)</f>
        <v>3.5607667196958062</v>
      </c>
      <c r="I4" s="121"/>
      <c r="J4" s="113">
        <v>-17.238469704137188</v>
      </c>
      <c r="K4" s="114">
        <f>A3/59</f>
        <v>1.6949152542372881E-2</v>
      </c>
      <c r="L4" s="114">
        <f t="shared" ref="L4:L61" si="5">_xlfn.NORM.S.INV(K4)</f>
        <v>-2.1212793024540013</v>
      </c>
      <c r="M4" s="114"/>
      <c r="N4" s="114" t="s">
        <v>610</v>
      </c>
      <c r="O4" s="114">
        <f>N24</f>
        <v>98.08720061312853</v>
      </c>
      <c r="P4" s="120" t="s">
        <v>580</v>
      </c>
      <c r="Q4" s="114" t="s">
        <v>611</v>
      </c>
      <c r="R4" s="114">
        <f>_xlfn.F.INV.RT(0.05,1,56)</f>
        <v>4.0129733776501437</v>
      </c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</row>
    <row r="5" spans="1:35" ht="18" x14ac:dyDescent="0.35">
      <c r="A5" s="114">
        <v>3</v>
      </c>
      <c r="B5" s="118">
        <v>102.16</v>
      </c>
      <c r="C5" s="12">
        <v>29117.575000000001</v>
      </c>
      <c r="D5" s="115">
        <f t="shared" si="0"/>
        <v>105.38507045583211</v>
      </c>
      <c r="E5" s="109">
        <f t="shared" si="1"/>
        <v>-3.2250704558321104</v>
      </c>
      <c r="F5" s="115">
        <f t="shared" si="2"/>
        <v>3.1568818087628334</v>
      </c>
      <c r="G5" s="114">
        <f t="shared" si="3"/>
        <v>10.401079445081136</v>
      </c>
      <c r="H5" s="121">
        <f t="shared" si="4"/>
        <v>8.0627576818146167</v>
      </c>
      <c r="I5" s="121"/>
      <c r="J5" s="113">
        <v>-16.041360399656767</v>
      </c>
      <c r="K5" s="114">
        <f t="shared" ref="K5:K61" si="6">A4/59</f>
        <v>3.3898305084745763E-2</v>
      </c>
      <c r="L5" s="114">
        <f t="shared" si="5"/>
        <v>-1.8263562979439061</v>
      </c>
      <c r="M5" s="114"/>
      <c r="N5" s="114" t="s">
        <v>612</v>
      </c>
      <c r="O5" s="114">
        <f>O21/O22</f>
        <v>1.8060489917341307</v>
      </c>
      <c r="P5" s="120" t="s">
        <v>579</v>
      </c>
      <c r="Q5" s="114" t="s">
        <v>614</v>
      </c>
      <c r="R5" s="114">
        <f>_xlfn.T.INV.2T(0.05,56)</f>
        <v>2.0032407188478727</v>
      </c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  <c r="AG5" s="114"/>
      <c r="AH5" s="114"/>
      <c r="AI5" s="114"/>
    </row>
    <row r="6" spans="1:35" ht="18" x14ac:dyDescent="0.35">
      <c r="A6" s="114">
        <v>4</v>
      </c>
      <c r="B6" s="118">
        <v>102.06</v>
      </c>
      <c r="C6" s="12">
        <v>26374.77</v>
      </c>
      <c r="D6" s="115">
        <f t="shared" si="0"/>
        <v>97.222312774017496</v>
      </c>
      <c r="E6" s="110">
        <f t="shared" si="1"/>
        <v>4.8376872259825063</v>
      </c>
      <c r="F6" s="115">
        <f t="shared" si="2"/>
        <v>4.7400423535003986</v>
      </c>
      <c r="G6" s="114">
        <f t="shared" si="3"/>
        <v>23.403217696434318</v>
      </c>
      <c r="H6" s="121">
        <f t="shared" si="4"/>
        <v>-4.1117804790610677</v>
      </c>
      <c r="I6" s="121"/>
      <c r="J6" s="113">
        <v>-15.931920700210981</v>
      </c>
      <c r="K6" s="114">
        <f t="shared" si="6"/>
        <v>5.0847457627118647E-2</v>
      </c>
      <c r="L6" s="114">
        <f t="shared" si="5"/>
        <v>-1.6366916466733989</v>
      </c>
      <c r="M6" s="114"/>
      <c r="N6" s="114" t="s">
        <v>613</v>
      </c>
      <c r="O6" s="114">
        <f>N21/N22</f>
        <v>9.9038982533711781</v>
      </c>
      <c r="P6" s="120" t="s">
        <v>580</v>
      </c>
      <c r="Q6" s="114" t="s">
        <v>614</v>
      </c>
      <c r="R6" s="114">
        <f>_xlfn.T.INV.2T(0.05,56)</f>
        <v>2.0032407188478727</v>
      </c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</row>
    <row r="7" spans="1:35" x14ac:dyDescent="0.25">
      <c r="A7" s="114">
        <v>5</v>
      </c>
      <c r="B7" s="118">
        <v>102.55</v>
      </c>
      <c r="C7" s="12">
        <v>27921.035</v>
      </c>
      <c r="D7" s="115">
        <f t="shared" si="0"/>
        <v>101.82409325307856</v>
      </c>
      <c r="E7" s="110">
        <f t="shared" si="1"/>
        <v>0.72590674692143864</v>
      </c>
      <c r="F7" s="115">
        <f t="shared" si="2"/>
        <v>0.70785640850457199</v>
      </c>
      <c r="G7" s="114">
        <f t="shared" si="3"/>
        <v>0.52694060522606556</v>
      </c>
      <c r="H7" s="121">
        <f t="shared" si="4"/>
        <v>5.4807339368692567</v>
      </c>
      <c r="I7" s="121"/>
      <c r="J7" s="113">
        <v>-15.65562655984489</v>
      </c>
      <c r="K7" s="114">
        <f t="shared" si="6"/>
        <v>6.7796610169491525E-2</v>
      </c>
      <c r="L7" s="114">
        <f t="shared" si="5"/>
        <v>-1.492404178320359</v>
      </c>
      <c r="M7" s="114"/>
      <c r="N7" s="114" t="s">
        <v>674</v>
      </c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</row>
    <row r="8" spans="1:35" x14ac:dyDescent="0.25">
      <c r="A8" s="114">
        <v>6</v>
      </c>
      <c r="B8" s="118">
        <v>104.35</v>
      </c>
      <c r="C8" s="12">
        <v>26684.254999999997</v>
      </c>
      <c r="D8" s="115">
        <f t="shared" si="0"/>
        <v>98.143359316209299</v>
      </c>
      <c r="E8" s="110">
        <f t="shared" si="1"/>
        <v>6.2066406837906953</v>
      </c>
      <c r="F8" s="115">
        <f t="shared" si="2"/>
        <v>5.9479067405756547</v>
      </c>
      <c r="G8" s="114">
        <f t="shared" si="3"/>
        <v>38.522388577685831</v>
      </c>
      <c r="H8" s="121">
        <f t="shared" si="4"/>
        <v>-0.69027759746430206</v>
      </c>
      <c r="I8" s="121"/>
      <c r="J8" s="113">
        <v>-13.607770880130019</v>
      </c>
      <c r="K8" s="114">
        <f t="shared" si="6"/>
        <v>8.4745762711864403E-2</v>
      </c>
      <c r="L8" s="114">
        <f t="shared" si="5"/>
        <v>-1.3738394673770855</v>
      </c>
      <c r="M8" s="114"/>
      <c r="N8" s="114" t="s">
        <v>675</v>
      </c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</row>
    <row r="9" spans="1:35" ht="18" x14ac:dyDescent="0.35">
      <c r="A9" s="114">
        <v>7</v>
      </c>
      <c r="B9" s="118">
        <v>107.57</v>
      </c>
      <c r="C9" s="12">
        <v>27998.165000000001</v>
      </c>
      <c r="D9" s="115">
        <f t="shared" si="0"/>
        <v>102.0536369136736</v>
      </c>
      <c r="E9" s="110">
        <f t="shared" si="1"/>
        <v>5.5163630863263933</v>
      </c>
      <c r="F9" s="115">
        <f t="shared" si="2"/>
        <v>5.1281612776112242</v>
      </c>
      <c r="G9" s="114">
        <f t="shared" si="3"/>
        <v>30.430261700184452</v>
      </c>
      <c r="H9" s="121">
        <f t="shared" si="4"/>
        <v>7.9544889558911507</v>
      </c>
      <c r="I9" s="121"/>
      <c r="J9" s="113">
        <v>-13.521632450764031</v>
      </c>
      <c r="K9" s="114">
        <f t="shared" si="6"/>
        <v>0.10169491525423729</v>
      </c>
      <c r="L9" s="114">
        <f t="shared" si="5"/>
        <v>-1.2719529676842081</v>
      </c>
      <c r="M9" s="114"/>
      <c r="N9" s="68" t="s">
        <v>617</v>
      </c>
      <c r="O9" s="114">
        <f>N23</f>
        <v>0.63656942447412679</v>
      </c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</row>
    <row r="10" spans="1:35" x14ac:dyDescent="0.25">
      <c r="A10" s="114">
        <v>8</v>
      </c>
      <c r="B10" s="118">
        <v>111.96</v>
      </c>
      <c r="C10" s="12">
        <v>26800.445</v>
      </c>
      <c r="D10" s="115">
        <f t="shared" si="0"/>
        <v>98.48914795778245</v>
      </c>
      <c r="E10" s="110">
        <f t="shared" si="1"/>
        <v>13.470852042217544</v>
      </c>
      <c r="F10" s="115">
        <f t="shared" si="2"/>
        <v>12.031843553248969</v>
      </c>
      <c r="G10" s="114">
        <f t="shared" si="3"/>
        <v>181.46385474331657</v>
      </c>
      <c r="H10" s="121">
        <f t="shared" si="4"/>
        <v>-0.5713651553188015</v>
      </c>
      <c r="I10" s="121"/>
      <c r="J10" s="113">
        <v>-11.072895840261708</v>
      </c>
      <c r="K10" s="114">
        <f t="shared" si="6"/>
        <v>0.11864406779661017</v>
      </c>
      <c r="L10" s="114">
        <f t="shared" si="5"/>
        <v>-1.1817922703491182</v>
      </c>
      <c r="M10" s="114"/>
      <c r="N10" s="114" t="s">
        <v>676</v>
      </c>
      <c r="O10" s="114"/>
      <c r="P10" s="66"/>
      <c r="Q10" s="66"/>
      <c r="R10" s="66"/>
      <c r="S10" s="66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</row>
    <row r="11" spans="1:35" x14ac:dyDescent="0.25">
      <c r="A11" s="114">
        <v>9</v>
      </c>
      <c r="B11" s="118">
        <v>115.27</v>
      </c>
      <c r="C11" s="12">
        <v>28104.639999999999</v>
      </c>
      <c r="D11" s="115">
        <f t="shared" si="0"/>
        <v>102.37051311310125</v>
      </c>
      <c r="E11" s="110">
        <f t="shared" si="1"/>
        <v>12.899486886898742</v>
      </c>
      <c r="F11" s="115">
        <f t="shared" si="2"/>
        <v>11.190671368871991</v>
      </c>
      <c r="G11" s="114">
        <f t="shared" si="3"/>
        <v>166.3967619452726</v>
      </c>
      <c r="H11" s="121">
        <f t="shared" si="4"/>
        <v>-1.3212002063820307</v>
      </c>
      <c r="I11" s="121"/>
      <c r="J11" s="113">
        <v>-10.50407664787555</v>
      </c>
      <c r="K11" s="114">
        <f t="shared" si="6"/>
        <v>0.13559322033898305</v>
      </c>
      <c r="L11" s="114">
        <f t="shared" si="5"/>
        <v>-1.1003344194590818</v>
      </c>
      <c r="M11" s="114"/>
      <c r="N11" s="114" t="s">
        <v>618</v>
      </c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</row>
    <row r="12" spans="1:35" x14ac:dyDescent="0.25">
      <c r="A12" s="114">
        <v>10</v>
      </c>
      <c r="B12" s="118">
        <v>117.17</v>
      </c>
      <c r="C12" s="12">
        <v>29187.01</v>
      </c>
      <c r="D12" s="115">
        <f t="shared" si="0"/>
        <v>105.59171331948329</v>
      </c>
      <c r="E12" s="110">
        <f t="shared" si="1"/>
        <v>11.578286680516712</v>
      </c>
      <c r="F12" s="115">
        <f t="shared" si="2"/>
        <v>9.8816136216750969</v>
      </c>
      <c r="G12" s="114">
        <f t="shared" si="3"/>
        <v>134.05672245623069</v>
      </c>
      <c r="H12" s="121">
        <f t="shared" si="4"/>
        <v>-5.1155339424241362</v>
      </c>
      <c r="I12" s="121"/>
      <c r="J12" s="113">
        <v>-9.8511609181199162</v>
      </c>
      <c r="K12" s="114">
        <f t="shared" si="6"/>
        <v>0.15254237288135594</v>
      </c>
      <c r="L12" s="114">
        <f t="shared" si="5"/>
        <v>-1.0255902911278738</v>
      </c>
      <c r="M12" s="114"/>
      <c r="N12" s="114" t="s">
        <v>621</v>
      </c>
      <c r="O12" s="121">
        <f>F62</f>
        <v>5.3551052562232799</v>
      </c>
      <c r="P12" s="120" t="s">
        <v>579</v>
      </c>
      <c r="Q12" s="114">
        <v>10</v>
      </c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</row>
    <row r="13" spans="1:35" x14ac:dyDescent="0.25">
      <c r="A13" s="114">
        <v>11</v>
      </c>
      <c r="B13" s="118">
        <v>117.61</v>
      </c>
      <c r="C13" s="12">
        <v>31053.75</v>
      </c>
      <c r="D13" s="115">
        <f t="shared" si="0"/>
        <v>111.14724726190742</v>
      </c>
      <c r="E13" s="110">
        <f t="shared" si="1"/>
        <v>6.4627527380925756</v>
      </c>
      <c r="F13" s="115">
        <f t="shared" si="2"/>
        <v>5.495070774672711</v>
      </c>
      <c r="G13" s="114">
        <f t="shared" si="3"/>
        <v>41.767172953723083</v>
      </c>
      <c r="H13" s="121">
        <f t="shared" si="4"/>
        <v>-5.6499050985655686</v>
      </c>
      <c r="I13" s="121"/>
      <c r="J13" s="113">
        <v>-7.7544364389942047</v>
      </c>
      <c r="K13" s="114">
        <f t="shared" si="6"/>
        <v>0.16949152542372881</v>
      </c>
      <c r="L13" s="114">
        <f t="shared" si="5"/>
        <v>-0.95617653892006238</v>
      </c>
      <c r="M13" s="114"/>
      <c r="N13" s="114" t="s">
        <v>622</v>
      </c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</row>
    <row r="14" spans="1:35" x14ac:dyDescent="0.25">
      <c r="A14" s="114">
        <v>12</v>
      </c>
      <c r="B14" s="118">
        <v>117.26</v>
      </c>
      <c r="C14" s="12">
        <v>32834.595000000001</v>
      </c>
      <c r="D14" s="115">
        <f t="shared" si="0"/>
        <v>116.447152360473</v>
      </c>
      <c r="E14" s="110">
        <f t="shared" si="1"/>
        <v>0.812847639527007</v>
      </c>
      <c r="F14" s="115">
        <f t="shared" si="2"/>
        <v>0.69320112530019351</v>
      </c>
      <c r="G14" s="114">
        <f t="shared" si="3"/>
        <v>0.66072128508462713</v>
      </c>
      <c r="H14" s="121">
        <f t="shared" si="4"/>
        <v>-3.0936760099031915</v>
      </c>
      <c r="I14" s="121"/>
      <c r="J14" s="113">
        <v>-6.7858371755279165</v>
      </c>
      <c r="K14" s="114">
        <f t="shared" si="6"/>
        <v>0.1864406779661017</v>
      </c>
      <c r="L14" s="114">
        <f t="shared" si="5"/>
        <v>-0.89108913003410894</v>
      </c>
      <c r="M14" s="114"/>
      <c r="N14" s="114"/>
      <c r="O14" s="103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</row>
    <row r="15" spans="1:35" x14ac:dyDescent="0.25">
      <c r="A15" s="114">
        <v>13</v>
      </c>
      <c r="B15" s="118">
        <v>115.88</v>
      </c>
      <c r="C15" s="12">
        <v>33410.415000000001</v>
      </c>
      <c r="D15" s="115">
        <f t="shared" si="0"/>
        <v>118.16082837037618</v>
      </c>
      <c r="E15" s="109">
        <f t="shared" si="1"/>
        <v>-2.2808283703761845</v>
      </c>
      <c r="F15" s="115">
        <f t="shared" si="2"/>
        <v>1.9682674925579777</v>
      </c>
      <c r="G15" s="114">
        <f t="shared" si="3"/>
        <v>5.2021780551128813</v>
      </c>
      <c r="H15" s="121">
        <f t="shared" si="4"/>
        <v>-1.7811037630994946</v>
      </c>
      <c r="I15" s="121"/>
      <c r="J15" s="113">
        <v>-6.5873212842150508</v>
      </c>
      <c r="K15" s="114">
        <f t="shared" si="6"/>
        <v>0.20338983050847459</v>
      </c>
      <c r="L15" s="114">
        <f t="shared" si="5"/>
        <v>-0.82957403698182763</v>
      </c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</row>
    <row r="16" spans="1:35" x14ac:dyDescent="0.25">
      <c r="A16" s="114">
        <v>14</v>
      </c>
      <c r="B16" s="118">
        <v>113.35</v>
      </c>
      <c r="C16" s="12">
        <v>33158.774999999994</v>
      </c>
      <c r="D16" s="115">
        <f t="shared" si="0"/>
        <v>117.41193213347567</v>
      </c>
      <c r="E16" s="109">
        <f t="shared" si="1"/>
        <v>-4.0619321334756791</v>
      </c>
      <c r="F16" s="115">
        <f t="shared" si="2"/>
        <v>3.583530775011627</v>
      </c>
      <c r="G16" s="114">
        <f t="shared" si="3"/>
        <v>16.499292656962282</v>
      </c>
      <c r="H16" s="121">
        <f t="shared" si="4"/>
        <v>0.58761321791089927</v>
      </c>
      <c r="I16" s="121"/>
      <c r="J16" s="113">
        <v>-4.8318408711189988</v>
      </c>
      <c r="K16" s="114">
        <f t="shared" si="6"/>
        <v>0.22033898305084745</v>
      </c>
      <c r="L16" s="114">
        <f t="shared" si="5"/>
        <v>-0.77104886863964417</v>
      </c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</row>
    <row r="17" spans="1:35" x14ac:dyDescent="0.25">
      <c r="A17" s="114">
        <v>15</v>
      </c>
      <c r="B17" s="118">
        <v>111.39</v>
      </c>
      <c r="C17" s="12">
        <v>32302.74</v>
      </c>
      <c r="D17" s="115">
        <f t="shared" si="0"/>
        <v>114.86431891556478</v>
      </c>
      <c r="E17" s="109">
        <f t="shared" si="1"/>
        <v>-3.4743189155647798</v>
      </c>
      <c r="F17" s="115">
        <f t="shared" si="2"/>
        <v>3.1190581879565307</v>
      </c>
      <c r="G17" s="114">
        <f t="shared" si="3"/>
        <v>12.070891927051228</v>
      </c>
      <c r="H17" s="121">
        <f t="shared" si="4"/>
        <v>0.61947132865370236</v>
      </c>
      <c r="I17" s="121"/>
      <c r="J17" s="113">
        <v>-4.2608795399650461</v>
      </c>
      <c r="K17" s="114">
        <f t="shared" si="6"/>
        <v>0.23728813559322035</v>
      </c>
      <c r="L17" s="114">
        <f t="shared" si="5"/>
        <v>-0.71505303754992222</v>
      </c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</row>
    <row r="18" spans="1:35" x14ac:dyDescent="0.25">
      <c r="A18" s="114">
        <v>16</v>
      </c>
      <c r="B18" s="118">
        <v>109.76</v>
      </c>
      <c r="C18" s="12">
        <v>31546.885000000002</v>
      </c>
      <c r="D18" s="115">
        <f t="shared" si="0"/>
        <v>112.61484758691108</v>
      </c>
      <c r="E18" s="109">
        <f t="shared" si="1"/>
        <v>-2.8548475869110774</v>
      </c>
      <c r="F18" s="115">
        <f t="shared" si="2"/>
        <v>2.600990877287789</v>
      </c>
      <c r="G18" s="114">
        <f t="shared" si="3"/>
        <v>8.1501547444920011</v>
      </c>
      <c r="H18" s="121">
        <f t="shared" si="4"/>
        <v>-3.1259876139841936E-2</v>
      </c>
      <c r="I18" s="121"/>
      <c r="J18" s="113">
        <v>-4.0619321334756791</v>
      </c>
      <c r="K18" s="114">
        <f t="shared" si="6"/>
        <v>0.25423728813559321</v>
      </c>
      <c r="L18" s="114">
        <f t="shared" si="5"/>
        <v>-0.66121479220131485</v>
      </c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</row>
    <row r="19" spans="1:35" x14ac:dyDescent="0.25">
      <c r="A19" s="114">
        <v>17</v>
      </c>
      <c r="B19" s="118">
        <v>109.5</v>
      </c>
      <c r="C19" s="12">
        <v>31470.025000000001</v>
      </c>
      <c r="D19" s="115">
        <f t="shared" si="0"/>
        <v>112.38610746305092</v>
      </c>
      <c r="E19" s="109">
        <f t="shared" si="1"/>
        <v>-2.8861074630509194</v>
      </c>
      <c r="F19" s="115">
        <f t="shared" si="2"/>
        <v>2.6357145781286935</v>
      </c>
      <c r="G19" s="114">
        <f t="shared" si="3"/>
        <v>8.3296162882782134</v>
      </c>
      <c r="H19" s="121">
        <f t="shared" si="4"/>
        <v>0.27912698221406629</v>
      </c>
      <c r="I19" s="121"/>
      <c r="J19" s="113">
        <v>-3.4743189155647798</v>
      </c>
      <c r="K19" s="114">
        <f t="shared" si="6"/>
        <v>0.2711864406779661</v>
      </c>
      <c r="L19" s="114">
        <f t="shared" si="5"/>
        <v>-0.60922866701399825</v>
      </c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</row>
    <row r="20" spans="1:35" ht="18" x14ac:dyDescent="0.35">
      <c r="A20" s="114">
        <v>18</v>
      </c>
      <c r="B20" s="118">
        <v>108.86</v>
      </c>
      <c r="C20" s="12">
        <v>31161.184999999998</v>
      </c>
      <c r="D20" s="115">
        <f t="shared" si="0"/>
        <v>111.46698048083685</v>
      </c>
      <c r="E20" s="109">
        <f t="shared" si="1"/>
        <v>-2.6069804808368531</v>
      </c>
      <c r="F20" s="115">
        <f t="shared" si="2"/>
        <v>2.3948011031020147</v>
      </c>
      <c r="G20" s="114">
        <f t="shared" si="3"/>
        <v>6.7963472274643495</v>
      </c>
      <c r="H20" s="121">
        <f t="shared" si="4"/>
        <v>-2.2248603902821458</v>
      </c>
      <c r="I20" s="121"/>
      <c r="J20" s="113">
        <v>-3.2250704558321104</v>
      </c>
      <c r="K20" s="114">
        <f t="shared" si="6"/>
        <v>0.28813559322033899</v>
      </c>
      <c r="L20" s="114">
        <f t="shared" si="5"/>
        <v>-0.55883961079677569</v>
      </c>
      <c r="M20" s="114"/>
      <c r="N20" s="114" t="s">
        <v>566</v>
      </c>
      <c r="O20" s="114" t="s">
        <v>567</v>
      </c>
      <c r="P20" s="114"/>
      <c r="Q20" s="114" t="s">
        <v>605</v>
      </c>
      <c r="R20" s="114">
        <f>CORREL(E4:E60,E5:E61)</f>
        <v>0.91736873038418631</v>
      </c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</row>
    <row r="21" spans="1:35" x14ac:dyDescent="0.25">
      <c r="A21" s="114">
        <v>19</v>
      </c>
      <c r="B21" s="118">
        <v>108.49</v>
      </c>
      <c r="C21" s="12">
        <v>31784.445</v>
      </c>
      <c r="D21" s="115">
        <f t="shared" si="0"/>
        <v>113.32184087111899</v>
      </c>
      <c r="E21" s="109">
        <f t="shared" si="1"/>
        <v>-4.8318408711189988</v>
      </c>
      <c r="F21" s="115">
        <f t="shared" si="2"/>
        <v>4.4537200397446766</v>
      </c>
      <c r="G21" s="114">
        <f t="shared" si="3"/>
        <v>23.346686203816006</v>
      </c>
      <c r="H21" s="121">
        <f t="shared" si="4"/>
        <v>-1.755480413096052</v>
      </c>
      <c r="I21" s="121"/>
      <c r="J21" s="113">
        <v>-2.8861074630509194</v>
      </c>
      <c r="K21" s="114">
        <f t="shared" si="6"/>
        <v>0.30508474576271188</v>
      </c>
      <c r="L21" s="114">
        <f t="shared" si="5"/>
        <v>-0.50983153383249025</v>
      </c>
      <c r="M21" s="114"/>
      <c r="N21" s="116">
        <f t="array" ref="N21:O25">LINEST(B3:B60,C3:C60,1,1)</f>
        <v>2.9760619810065294E-3</v>
      </c>
      <c r="O21" s="116">
        <v>18.729362519225916</v>
      </c>
      <c r="P21" s="114"/>
      <c r="Q21" s="114" t="s">
        <v>602</v>
      </c>
      <c r="R21" s="114"/>
      <c r="S21" s="114"/>
      <c r="T21" s="66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</row>
    <row r="22" spans="1:35" x14ac:dyDescent="0.25">
      <c r="A22" s="114">
        <v>20</v>
      </c>
      <c r="B22" s="118">
        <v>108.36</v>
      </c>
      <c r="C22" s="12">
        <v>32330.63</v>
      </c>
      <c r="D22" s="115">
        <f t="shared" si="0"/>
        <v>114.94732128421505</v>
      </c>
      <c r="E22" s="109">
        <f t="shared" si="1"/>
        <v>-6.5873212842150508</v>
      </c>
      <c r="F22" s="115">
        <f t="shared" si="2"/>
        <v>6.0791078665698137</v>
      </c>
      <c r="G22" s="114">
        <f t="shared" si="3"/>
        <v>43.392801701472628</v>
      </c>
      <c r="H22" s="121">
        <f t="shared" si="4"/>
        <v>-3.2638396339048654</v>
      </c>
      <c r="I22" s="121"/>
      <c r="J22" s="113">
        <v>-2.8548475869110774</v>
      </c>
      <c r="K22" s="114">
        <f t="shared" si="6"/>
        <v>0.32203389830508472</v>
      </c>
      <c r="L22" s="114">
        <f t="shared" si="5"/>
        <v>-0.46201885864912079</v>
      </c>
      <c r="M22" s="114"/>
      <c r="N22" s="116">
        <v>3.004939979056742E-4</v>
      </c>
      <c r="O22" s="116">
        <v>10.370351305499399</v>
      </c>
      <c r="P22" s="114"/>
      <c r="Q22" s="125" t="s">
        <v>649</v>
      </c>
      <c r="R22" s="114"/>
      <c r="S22" s="114"/>
      <c r="T22" s="66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</row>
    <row r="23" spans="1:35" x14ac:dyDescent="0.25">
      <c r="A23" s="114">
        <v>21</v>
      </c>
      <c r="B23" s="118">
        <v>108.19</v>
      </c>
      <c r="C23" s="12">
        <v>33370.205000000002</v>
      </c>
      <c r="D23" s="115">
        <f t="shared" si="0"/>
        <v>118.04116091811991</v>
      </c>
      <c r="E23" s="109">
        <f t="shared" si="1"/>
        <v>-9.8511609181199162</v>
      </c>
      <c r="F23" s="115">
        <f t="shared" si="2"/>
        <v>9.1054264886957359</v>
      </c>
      <c r="G23" s="114">
        <f t="shared" si="3"/>
        <v>97.045371434693237</v>
      </c>
      <c r="H23" s="121">
        <f t="shared" si="4"/>
        <v>-1.2217349221417919</v>
      </c>
      <c r="I23" s="121"/>
      <c r="J23" s="113">
        <v>-2.6069804808368531</v>
      </c>
      <c r="K23" s="114">
        <f t="shared" si="6"/>
        <v>0.33898305084745761</v>
      </c>
      <c r="L23" s="114">
        <f t="shared" si="5"/>
        <v>-0.4152401608260714</v>
      </c>
      <c r="M23" s="114"/>
      <c r="N23" s="116">
        <v>0.63656942447412679</v>
      </c>
      <c r="O23" s="116">
        <v>7.9390880802429118</v>
      </c>
      <c r="P23" s="114"/>
      <c r="Q23" s="125" t="s">
        <v>633</v>
      </c>
      <c r="R23" s="114"/>
      <c r="S23" s="114"/>
      <c r="T23" s="66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</row>
    <row r="24" spans="1:35" x14ac:dyDescent="0.25">
      <c r="A24" s="114">
        <v>22</v>
      </c>
      <c r="B24" s="118">
        <v>107.8</v>
      </c>
      <c r="C24" s="12">
        <v>33649.68</v>
      </c>
      <c r="D24" s="115">
        <f t="shared" si="0"/>
        <v>118.87289584026171</v>
      </c>
      <c r="E24" s="109">
        <f t="shared" si="1"/>
        <v>-11.072895840261708</v>
      </c>
      <c r="F24" s="115">
        <f t="shared" si="2"/>
        <v>10.271703005808636</v>
      </c>
      <c r="G24" s="114">
        <f t="shared" si="3"/>
        <v>122.60902228928504</v>
      </c>
      <c r="H24" s="121">
        <f t="shared" si="4"/>
        <v>-2.5348750398683109</v>
      </c>
      <c r="I24" s="121"/>
      <c r="J24" s="113">
        <v>-2.5024332644107403</v>
      </c>
      <c r="K24" s="114">
        <f t="shared" si="6"/>
        <v>0.3559322033898305</v>
      </c>
      <c r="L24" s="114">
        <f t="shared" si="5"/>
        <v>-0.36935329360674307</v>
      </c>
      <c r="M24" s="114"/>
      <c r="N24" s="116">
        <v>98.08720061312853</v>
      </c>
      <c r="O24" s="116">
        <v>56</v>
      </c>
      <c r="P24" s="114"/>
      <c r="Q24" s="69" t="s">
        <v>630</v>
      </c>
      <c r="R24" s="130"/>
      <c r="S24" s="114"/>
      <c r="T24" s="66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</row>
    <row r="25" spans="1:35" x14ac:dyDescent="0.25">
      <c r="A25" s="114">
        <v>23</v>
      </c>
      <c r="B25" s="118">
        <v>107.47</v>
      </c>
      <c r="C25" s="12">
        <v>34390.550000000003</v>
      </c>
      <c r="D25" s="115">
        <f t="shared" si="0"/>
        <v>121.07777088013002</v>
      </c>
      <c r="E25" s="109">
        <f t="shared" si="1"/>
        <v>-13.607770880130019</v>
      </c>
      <c r="F25" s="115">
        <f t="shared" si="2"/>
        <v>12.66192507688659</v>
      </c>
      <c r="G25" s="114">
        <f t="shared" si="3"/>
        <v>185.17142832611452</v>
      </c>
      <c r="H25" s="121">
        <f t="shared" si="4"/>
        <v>-2.4335895195267483</v>
      </c>
      <c r="I25" s="121"/>
      <c r="J25" s="113">
        <v>-2.2808283703761845</v>
      </c>
      <c r="K25" s="114">
        <f t="shared" si="6"/>
        <v>0.3728813559322034</v>
      </c>
      <c r="L25" s="114">
        <f t="shared" si="5"/>
        <v>-0.32423158413730258</v>
      </c>
      <c r="M25" s="114"/>
      <c r="N25" s="116">
        <v>6182.349893363149</v>
      </c>
      <c r="O25" s="116">
        <v>3529.6306945678848</v>
      </c>
      <c r="P25" s="114"/>
      <c r="Q25" s="125" t="s">
        <v>629</v>
      </c>
      <c r="R25" s="114"/>
      <c r="S25" s="114"/>
      <c r="T25" s="66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</row>
    <row r="26" spans="1:35" ht="18" x14ac:dyDescent="0.35">
      <c r="A26" s="114">
        <v>24</v>
      </c>
      <c r="B26" s="118">
        <v>107.03</v>
      </c>
      <c r="C26" s="12">
        <v>35060.425000000003</v>
      </c>
      <c r="D26" s="115">
        <f t="shared" si="0"/>
        <v>123.07136039965677</v>
      </c>
      <c r="E26" s="109">
        <f t="shared" si="1"/>
        <v>-16.041360399656767</v>
      </c>
      <c r="F26" s="115">
        <f t="shared" si="2"/>
        <v>14.987723441704912</v>
      </c>
      <c r="G26" s="114">
        <f t="shared" si="3"/>
        <v>257.32524347167634</v>
      </c>
      <c r="H26" s="121">
        <f t="shared" si="4"/>
        <v>-1.1971093044804206</v>
      </c>
      <c r="I26" s="121"/>
      <c r="J26" s="113">
        <v>-2.1018786953407016</v>
      </c>
      <c r="K26" s="114">
        <f t="shared" si="6"/>
        <v>0.38983050847457629</v>
      </c>
      <c r="L26" s="114">
        <f t="shared" si="5"/>
        <v>-0.27976081477122972</v>
      </c>
      <c r="M26" s="114"/>
      <c r="N26" s="131" t="s">
        <v>684</v>
      </c>
      <c r="O26" s="131"/>
      <c r="P26" s="114"/>
      <c r="Q26" s="69" t="s">
        <v>606</v>
      </c>
      <c r="R26" s="130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</row>
    <row r="27" spans="1:35" x14ac:dyDescent="0.25">
      <c r="A27" s="114">
        <v>25</v>
      </c>
      <c r="B27" s="118">
        <v>106.61</v>
      </c>
      <c r="C27" s="12">
        <v>35321.544999999998</v>
      </c>
      <c r="D27" s="115">
        <f t="shared" si="0"/>
        <v>123.84846970413719</v>
      </c>
      <c r="E27" s="109">
        <f t="shared" si="1"/>
        <v>-17.238469704137188</v>
      </c>
      <c r="F27" s="115">
        <f t="shared" si="2"/>
        <v>16.169655477100825</v>
      </c>
      <c r="G27" s="114">
        <f t="shared" si="3"/>
        <v>297.16483774045565</v>
      </c>
      <c r="H27" s="121">
        <f t="shared" si="4"/>
        <v>1.3065490039262073</v>
      </c>
      <c r="I27" s="121"/>
      <c r="J27" s="113">
        <v>-1.5093521608798568</v>
      </c>
      <c r="K27" s="114">
        <f t="shared" si="6"/>
        <v>0.40677966101694918</v>
      </c>
      <c r="L27" s="114">
        <f t="shared" si="5"/>
        <v>-0.23583678601109134</v>
      </c>
      <c r="M27" s="114"/>
      <c r="N27" s="114"/>
      <c r="O27" s="114"/>
      <c r="P27" s="114"/>
      <c r="Q27" s="114" t="s">
        <v>607</v>
      </c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</row>
    <row r="28" spans="1:35" x14ac:dyDescent="0.25">
      <c r="A28" s="114">
        <v>26</v>
      </c>
      <c r="B28" s="118">
        <v>106.57</v>
      </c>
      <c r="C28" s="12">
        <v>34869.084999999999</v>
      </c>
      <c r="D28" s="115">
        <f t="shared" si="0"/>
        <v>122.50192070021097</v>
      </c>
      <c r="E28" s="109">
        <f t="shared" si="1"/>
        <v>-15.931920700210981</v>
      </c>
      <c r="F28" s="115">
        <f t="shared" si="2"/>
        <v>14.949723843681131</v>
      </c>
      <c r="G28" s="114">
        <f t="shared" si="3"/>
        <v>253.82609719781115</v>
      </c>
      <c r="H28" s="121">
        <f t="shared" si="4"/>
        <v>0.27629414036609035</v>
      </c>
      <c r="I28" s="121"/>
      <c r="J28" s="113">
        <v>0.34882416287902629</v>
      </c>
      <c r="K28" s="114">
        <f t="shared" si="6"/>
        <v>0.42372881355932202</v>
      </c>
      <c r="L28" s="114">
        <f t="shared" si="5"/>
        <v>-0.19236331372250978</v>
      </c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</row>
    <row r="29" spans="1:35" x14ac:dyDescent="0.25">
      <c r="A29" s="114">
        <v>27</v>
      </c>
      <c r="B29" s="118">
        <v>106.49</v>
      </c>
      <c r="C29" s="12">
        <v>34749.365000000005</v>
      </c>
      <c r="D29" s="115">
        <f t="shared" si="0"/>
        <v>122.14562655984489</v>
      </c>
      <c r="E29" s="109">
        <f t="shared" si="1"/>
        <v>-15.65562655984489</v>
      </c>
      <c r="F29" s="115">
        <f t="shared" si="2"/>
        <v>14.70149925800065</v>
      </c>
      <c r="G29" s="114">
        <f t="shared" si="3"/>
        <v>245.09864298132075</v>
      </c>
      <c r="H29" s="121">
        <f t="shared" si="4"/>
        <v>2.1339941090808594</v>
      </c>
      <c r="I29" s="121"/>
      <c r="J29" s="113">
        <v>0.66923073293034463</v>
      </c>
      <c r="K29" s="114">
        <f t="shared" si="6"/>
        <v>0.44067796610169491</v>
      </c>
      <c r="L29" s="114">
        <f t="shared" si="5"/>
        <v>-0.14925055165580312</v>
      </c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</row>
    <row r="30" spans="1:35" x14ac:dyDescent="0.25">
      <c r="A30" s="114">
        <v>28</v>
      </c>
      <c r="B30" s="118">
        <v>107.04</v>
      </c>
      <c r="C30" s="12">
        <v>34217.119999999995</v>
      </c>
      <c r="D30" s="115">
        <f t="shared" si="0"/>
        <v>120.56163245076404</v>
      </c>
      <c r="E30" s="109">
        <f t="shared" si="1"/>
        <v>-13.521632450764031</v>
      </c>
      <c r="F30" s="115">
        <f t="shared" si="2"/>
        <v>12.63231731199928</v>
      </c>
      <c r="G30" s="114">
        <f t="shared" si="3"/>
        <v>182.83454413355489</v>
      </c>
      <c r="H30" s="121">
        <f t="shared" si="4"/>
        <v>3.0175558028884808</v>
      </c>
      <c r="I30" s="121"/>
      <c r="J30" s="113">
        <v>0.72590674692143864</v>
      </c>
      <c r="K30" s="114">
        <f t="shared" si="6"/>
        <v>0.4576271186440678</v>
      </c>
      <c r="L30" s="114">
        <f t="shared" si="5"/>
        <v>-0.1064135569156504</v>
      </c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</row>
    <row r="31" spans="1:35" x14ac:dyDescent="0.25">
      <c r="A31" s="114">
        <v>29</v>
      </c>
      <c r="B31" s="118">
        <v>111.35</v>
      </c>
      <c r="C31" s="12">
        <v>34651.399999999994</v>
      </c>
      <c r="D31" s="115">
        <f t="shared" si="0"/>
        <v>121.85407664787554</v>
      </c>
      <c r="E31" s="109">
        <f t="shared" si="1"/>
        <v>-10.50407664787555</v>
      </c>
      <c r="F31" s="115">
        <f t="shared" si="2"/>
        <v>9.4333872006066919</v>
      </c>
      <c r="G31" s="114">
        <f t="shared" si="3"/>
        <v>110.33562622444445</v>
      </c>
      <c r="H31" s="121">
        <f t="shared" si="4"/>
        <v>6.243197107910504</v>
      </c>
      <c r="I31" s="121"/>
      <c r="J31" s="113">
        <v>0.79791306943153018</v>
      </c>
      <c r="K31" s="114">
        <f t="shared" si="6"/>
        <v>0.47457627118644069</v>
      </c>
      <c r="L31" s="114">
        <f t="shared" si="5"/>
        <v>-6.377103455763064E-2</v>
      </c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</row>
    <row r="32" spans="1:35" x14ac:dyDescent="0.25">
      <c r="A32" s="114">
        <v>30</v>
      </c>
      <c r="B32" s="118">
        <v>117.54</v>
      </c>
      <c r="C32" s="12">
        <v>34633.524999999994</v>
      </c>
      <c r="D32" s="115">
        <f t="shared" si="0"/>
        <v>121.80087953996505</v>
      </c>
      <c r="E32" s="109">
        <f t="shared" si="1"/>
        <v>-4.2608795399650461</v>
      </c>
      <c r="F32" s="115">
        <f t="shared" si="2"/>
        <v>3.6250464011953767</v>
      </c>
      <c r="G32" s="114">
        <f t="shared" si="3"/>
        <v>18.155094454092744</v>
      </c>
      <c r="H32" s="121">
        <f t="shared" si="4"/>
        <v>2.7515273790851893</v>
      </c>
      <c r="I32" s="121"/>
      <c r="J32" s="113">
        <v>0.812847639527007</v>
      </c>
      <c r="K32" s="114">
        <f t="shared" si="6"/>
        <v>0.49152542372881358</v>
      </c>
      <c r="L32" s="114">
        <f t="shared" si="5"/>
        <v>-2.1244210365719055E-2</v>
      </c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</row>
    <row r="33" spans="1:35" x14ac:dyDescent="0.25">
      <c r="A33" s="114">
        <v>31</v>
      </c>
      <c r="B33" s="118">
        <v>122.58</v>
      </c>
      <c r="C33" s="12">
        <v>35402.485000000001</v>
      </c>
      <c r="D33" s="115">
        <f t="shared" si="0"/>
        <v>124.08935216087986</v>
      </c>
      <c r="E33" s="109">
        <f t="shared" si="1"/>
        <v>-1.5093521608798568</v>
      </c>
      <c r="F33" s="115">
        <f t="shared" si="2"/>
        <v>1.2313200855603335</v>
      </c>
      <c r="G33" s="114">
        <f t="shared" si="3"/>
        <v>2.2781439455526931</v>
      </c>
      <c r="H33" s="121">
        <f t="shared" si="4"/>
        <v>5.1206745938514615</v>
      </c>
      <c r="I33" s="121"/>
      <c r="J33" s="113">
        <v>1.0408869726934711</v>
      </c>
      <c r="K33" s="114">
        <f t="shared" si="6"/>
        <v>0.50847457627118642</v>
      </c>
      <c r="L33" s="114">
        <f t="shared" si="5"/>
        <v>2.1244210365719055E-2</v>
      </c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</row>
    <row r="34" spans="1:35" x14ac:dyDescent="0.25">
      <c r="A34" s="114">
        <v>32</v>
      </c>
      <c r="B34" s="118">
        <v>128.16</v>
      </c>
      <c r="C34" s="12">
        <v>35556.824999999997</v>
      </c>
      <c r="D34" s="115">
        <f t="shared" si="0"/>
        <v>124.54867756702839</v>
      </c>
      <c r="E34" s="133">
        <f t="shared" si="1"/>
        <v>3.6113224329716047</v>
      </c>
      <c r="F34" s="115">
        <f t="shared" si="2"/>
        <v>2.8178233715446357</v>
      </c>
      <c r="G34" s="114">
        <f t="shared" si="3"/>
        <v>13.041649714883951</v>
      </c>
      <c r="H34" s="121">
        <f t="shared" si="4"/>
        <v>3.3492101077508636</v>
      </c>
      <c r="I34" s="121"/>
      <c r="J34" s="113">
        <v>1.0625971072157938</v>
      </c>
      <c r="K34" s="114">
        <f t="shared" si="6"/>
        <v>0.52542372881355937</v>
      </c>
      <c r="L34" s="114">
        <f t="shared" si="5"/>
        <v>6.3771034557630793E-2</v>
      </c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</row>
    <row r="35" spans="1:35" x14ac:dyDescent="0.25">
      <c r="A35" s="114">
        <v>33</v>
      </c>
      <c r="B35" s="118">
        <v>132.86000000000001</v>
      </c>
      <c r="C35" s="12">
        <v>36010.71</v>
      </c>
      <c r="D35" s="115">
        <f t="shared" si="0"/>
        <v>125.89946745927755</v>
      </c>
      <c r="E35" s="133">
        <f t="shared" si="1"/>
        <v>6.9605325407224683</v>
      </c>
      <c r="F35" s="115">
        <f t="shared" si="2"/>
        <v>5.2389978479019019</v>
      </c>
      <c r="G35" s="114">
        <f t="shared" si="3"/>
        <v>48.449013250456382</v>
      </c>
      <c r="H35" s="121">
        <f t="shared" si="4"/>
        <v>0.79599207511697045</v>
      </c>
      <c r="I35" s="121"/>
      <c r="J35" s="113">
        <v>2.0865378285813563</v>
      </c>
      <c r="K35" s="114">
        <f t="shared" si="6"/>
        <v>0.5423728813559322</v>
      </c>
      <c r="L35" s="114">
        <f t="shared" si="5"/>
        <v>0.1064135569156504</v>
      </c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</row>
    <row r="36" spans="1:35" x14ac:dyDescent="0.25">
      <c r="A36" s="114">
        <v>34</v>
      </c>
      <c r="B36" s="118">
        <v>134.91999999999999</v>
      </c>
      <c r="C36" s="12">
        <v>36435.434999999998</v>
      </c>
      <c r="D36" s="115">
        <f t="shared" si="0"/>
        <v>127.16347538416055</v>
      </c>
      <c r="E36" s="133">
        <f t="shared" si="1"/>
        <v>7.7565246158394388</v>
      </c>
      <c r="F36" s="115">
        <f t="shared" si="2"/>
        <v>5.7489805928249629</v>
      </c>
      <c r="G36" s="114">
        <f t="shared" si="3"/>
        <v>60.163674116123154</v>
      </c>
      <c r="H36" s="121">
        <f t="shared" si="4"/>
        <v>-1.5900018388844472</v>
      </c>
      <c r="I36" s="121"/>
      <c r="J36" s="113">
        <v>2.0912416512810807</v>
      </c>
      <c r="K36" s="114">
        <f t="shared" si="6"/>
        <v>0.55932203389830504</v>
      </c>
      <c r="L36" s="114">
        <f t="shared" si="5"/>
        <v>0.14925055165580298</v>
      </c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</row>
    <row r="37" spans="1:35" x14ac:dyDescent="0.25">
      <c r="A37" s="114">
        <v>35</v>
      </c>
      <c r="B37" s="118">
        <v>135.69999999999999</v>
      </c>
      <c r="C37" s="12">
        <v>37231.79</v>
      </c>
      <c r="D37" s="115">
        <f t="shared" si="0"/>
        <v>129.533477223045</v>
      </c>
      <c r="E37" s="133">
        <f t="shared" si="1"/>
        <v>6.1665227769549915</v>
      </c>
      <c r="F37" s="115">
        <f t="shared" si="2"/>
        <v>4.5442319653316074</v>
      </c>
      <c r="G37" s="114">
        <f t="shared" si="3"/>
        <v>38.026003158704697</v>
      </c>
      <c r="H37" s="121">
        <f t="shared" si="4"/>
        <v>0.2141168956415811</v>
      </c>
      <c r="I37" s="121"/>
      <c r="J37" s="113">
        <v>2.3356880724596749</v>
      </c>
      <c r="K37" s="114">
        <f t="shared" si="6"/>
        <v>0.57627118644067798</v>
      </c>
      <c r="L37" s="114">
        <f t="shared" si="5"/>
        <v>0.19236331372250978</v>
      </c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</row>
    <row r="38" spans="1:35" x14ac:dyDescent="0.25">
      <c r="A38" s="114">
        <v>36</v>
      </c>
      <c r="B38" s="118">
        <v>136.13999999999999</v>
      </c>
      <c r="C38" s="12">
        <v>37307.69</v>
      </c>
      <c r="D38" s="115">
        <f t="shared" si="0"/>
        <v>129.75936032740341</v>
      </c>
      <c r="E38" s="133">
        <f t="shared" si="1"/>
        <v>6.3806396725965726</v>
      </c>
      <c r="F38" s="115">
        <f t="shared" si="2"/>
        <v>4.6868221482272467</v>
      </c>
      <c r="G38" s="114">
        <f t="shared" si="3"/>
        <v>40.7125626315133</v>
      </c>
      <c r="H38" s="121">
        <f t="shared" si="4"/>
        <v>5.6943617993902933</v>
      </c>
      <c r="I38" s="121"/>
      <c r="J38" s="113">
        <v>2.4469742552687421</v>
      </c>
      <c r="K38" s="114">
        <f t="shared" si="6"/>
        <v>0.59322033898305082</v>
      </c>
      <c r="L38" s="114">
        <f t="shared" si="5"/>
        <v>0.23583678601109134</v>
      </c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</row>
    <row r="39" spans="1:35" x14ac:dyDescent="0.25">
      <c r="A39" s="114">
        <v>37</v>
      </c>
      <c r="B39" s="118">
        <v>140.15</v>
      </c>
      <c r="C39" s="12">
        <v>36741.72</v>
      </c>
      <c r="D39" s="115">
        <f t="shared" si="0"/>
        <v>128.07499852801314</v>
      </c>
      <c r="E39" s="133">
        <f t="shared" si="1"/>
        <v>12.075001471986866</v>
      </c>
      <c r="F39" s="115">
        <f t="shared" si="2"/>
        <v>8.6157698694162441</v>
      </c>
      <c r="G39" s="114">
        <f t="shared" si="3"/>
        <v>145.80566054848498</v>
      </c>
      <c r="H39" s="121">
        <f t="shared" si="4"/>
        <v>1.6991948779026842</v>
      </c>
      <c r="I39" s="121"/>
      <c r="J39" s="113">
        <v>2.5331569463225492</v>
      </c>
      <c r="K39" s="114">
        <f t="shared" si="6"/>
        <v>0.61016949152542377</v>
      </c>
      <c r="L39" s="114">
        <f t="shared" si="5"/>
        <v>0.27976081477122983</v>
      </c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</row>
    <row r="40" spans="1:35" x14ac:dyDescent="0.25">
      <c r="A40" s="114">
        <v>38</v>
      </c>
      <c r="B40" s="118">
        <v>140.09</v>
      </c>
      <c r="C40" s="12">
        <v>36150.604999999996</v>
      </c>
      <c r="D40" s="115">
        <f t="shared" si="0"/>
        <v>126.31580365011045</v>
      </c>
      <c r="E40" s="133">
        <f t="shared" si="1"/>
        <v>13.77419634988955</v>
      </c>
      <c r="F40" s="115">
        <f t="shared" si="2"/>
        <v>9.8323908557995221</v>
      </c>
      <c r="G40" s="114">
        <f t="shared" si="3"/>
        <v>189.72848508531061</v>
      </c>
      <c r="H40" s="121">
        <f t="shared" si="4"/>
        <v>-6.5714405619688279</v>
      </c>
      <c r="I40" s="121"/>
      <c r="J40" s="113">
        <v>3.1269843566930149</v>
      </c>
      <c r="K40" s="114">
        <f t="shared" si="6"/>
        <v>0.6271186440677966</v>
      </c>
      <c r="L40" s="114">
        <f t="shared" si="5"/>
        <v>0.32423158413730258</v>
      </c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</row>
    <row r="41" spans="1:35" x14ac:dyDescent="0.25">
      <c r="A41" s="114">
        <v>39</v>
      </c>
      <c r="B41" s="118">
        <v>139.1</v>
      </c>
      <c r="C41" s="12">
        <v>38026.050000000003</v>
      </c>
      <c r="D41" s="115">
        <f t="shared" si="0"/>
        <v>131.89724421207927</v>
      </c>
      <c r="E41" s="133">
        <f t="shared" si="1"/>
        <v>7.2027557879207222</v>
      </c>
      <c r="F41" s="115">
        <f t="shared" si="2"/>
        <v>5.1781134348818991</v>
      </c>
      <c r="G41" s="114">
        <f t="shared" si="3"/>
        <v>51.879690940425462</v>
      </c>
      <c r="H41" s="121">
        <f t="shared" si="4"/>
        <v>3.7484744300956123</v>
      </c>
      <c r="I41" s="121"/>
      <c r="J41" s="113">
        <v>3.1645287857240874</v>
      </c>
      <c r="K41" s="114">
        <f t="shared" si="6"/>
        <v>0.64406779661016944</v>
      </c>
      <c r="L41" s="114">
        <f t="shared" si="5"/>
        <v>0.36935329360674291</v>
      </c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</row>
    <row r="42" spans="1:35" x14ac:dyDescent="0.25">
      <c r="A42" s="114">
        <v>40</v>
      </c>
      <c r="B42" s="118">
        <v>137.5</v>
      </c>
      <c r="C42" s="12">
        <v>36228.885000000002</v>
      </c>
      <c r="D42" s="115">
        <f t="shared" si="0"/>
        <v>126.54876978198367</v>
      </c>
      <c r="E42" s="133">
        <f t="shared" si="1"/>
        <v>10.951230218016335</v>
      </c>
      <c r="F42" s="115">
        <f t="shared" si="2"/>
        <v>7.9645310676482435</v>
      </c>
      <c r="G42" s="114">
        <f t="shared" si="3"/>
        <v>119.92944328799409</v>
      </c>
      <c r="H42" s="121">
        <f t="shared" si="4"/>
        <v>-4.6460941013655059</v>
      </c>
      <c r="I42" s="121"/>
      <c r="J42" s="113">
        <v>3.3383717388720413</v>
      </c>
      <c r="K42" s="114">
        <f t="shared" si="6"/>
        <v>0.66101694915254239</v>
      </c>
      <c r="L42" s="114">
        <f t="shared" si="5"/>
        <v>0.4152401608260714</v>
      </c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</row>
    <row r="43" spans="1:35" x14ac:dyDescent="0.25">
      <c r="A43" s="114">
        <v>41</v>
      </c>
      <c r="B43" s="118">
        <v>136.12</v>
      </c>
      <c r="C43" s="12">
        <v>37326.339999999997</v>
      </c>
      <c r="D43" s="115">
        <f t="shared" si="0"/>
        <v>129.81486388334918</v>
      </c>
      <c r="E43" s="133">
        <f t="shared" si="1"/>
        <v>6.3051361166508286</v>
      </c>
      <c r="F43" s="115">
        <f t="shared" si="2"/>
        <v>4.6320424013009323</v>
      </c>
      <c r="G43" s="114">
        <f t="shared" si="3"/>
        <v>39.754741449494695</v>
      </c>
      <c r="H43" s="121">
        <f t="shared" si="4"/>
        <v>1.3246360914221782</v>
      </c>
      <c r="I43" s="121"/>
      <c r="J43" s="113">
        <v>3.6113224329716047</v>
      </c>
      <c r="K43" s="114">
        <f t="shared" si="6"/>
        <v>0.67796610169491522</v>
      </c>
      <c r="L43" s="114">
        <f t="shared" si="5"/>
        <v>0.46201885864912062</v>
      </c>
      <c r="M43" s="114"/>
      <c r="N43" s="114"/>
      <c r="O43" s="114" t="s">
        <v>634</v>
      </c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  <c r="AI43" s="114"/>
    </row>
    <row r="44" spans="1:35" x14ac:dyDescent="0.25">
      <c r="A44" s="114">
        <v>42</v>
      </c>
      <c r="B44" s="118">
        <v>135.22</v>
      </c>
      <c r="C44" s="12">
        <v>36578.83</v>
      </c>
      <c r="D44" s="115">
        <f t="shared" si="0"/>
        <v>127.59022779192699</v>
      </c>
      <c r="E44" s="133">
        <f t="shared" si="1"/>
        <v>7.6297722080730068</v>
      </c>
      <c r="F44" s="115">
        <f t="shared" si="2"/>
        <v>5.642487951540458</v>
      </c>
      <c r="G44" s="114">
        <f t="shared" si="3"/>
        <v>58.213423947083243</v>
      </c>
      <c r="H44" s="121">
        <f t="shared" si="4"/>
        <v>-2.8481868728198663</v>
      </c>
      <c r="I44" s="121"/>
      <c r="J44" s="113">
        <v>4.7815853352531406</v>
      </c>
      <c r="K44" s="114">
        <f t="shared" si="6"/>
        <v>0.69491525423728817</v>
      </c>
      <c r="L44" s="114">
        <f t="shared" si="5"/>
        <v>0.50983153383249047</v>
      </c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</row>
    <row r="45" spans="1:35" x14ac:dyDescent="0.25">
      <c r="A45" s="114">
        <v>43</v>
      </c>
      <c r="B45" s="118">
        <v>134.72999999999999</v>
      </c>
      <c r="C45" s="12">
        <v>37371.214999999997</v>
      </c>
      <c r="D45" s="115">
        <f t="shared" si="0"/>
        <v>129.94841466474685</v>
      </c>
      <c r="E45" s="133">
        <f t="shared" si="1"/>
        <v>4.7815853352531406</v>
      </c>
      <c r="F45" s="115">
        <f t="shared" si="2"/>
        <v>3.549013089329133</v>
      </c>
      <c r="G45" s="114">
        <f t="shared" si="3"/>
        <v>22.863558318307888</v>
      </c>
      <c r="H45" s="121">
        <f t="shared" si="4"/>
        <v>-1.6546009785601257</v>
      </c>
      <c r="I45" s="121"/>
      <c r="J45" s="113">
        <v>4.8376872259825063</v>
      </c>
      <c r="K45" s="114">
        <f t="shared" si="6"/>
        <v>0.71186440677966101</v>
      </c>
      <c r="L45" s="114">
        <f t="shared" si="5"/>
        <v>0.55883961079677569</v>
      </c>
      <c r="M45" s="114"/>
      <c r="N45" s="114"/>
      <c r="O45" s="116">
        <f t="array" ref="O45:P49">LINEST(E5:E61,E4:E60,1,1)</f>
        <v>0.91090539758757416</v>
      </c>
      <c r="P45" s="116">
        <v>0.13117044924549609</v>
      </c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</row>
    <row r="46" spans="1:35" x14ac:dyDescent="0.25">
      <c r="A46" s="114">
        <v>44</v>
      </c>
      <c r="B46" s="118">
        <v>134.38999999999999</v>
      </c>
      <c r="C46" s="12">
        <v>37812.94</v>
      </c>
      <c r="D46" s="115">
        <f t="shared" si="0"/>
        <v>131.26301564330697</v>
      </c>
      <c r="E46" s="133">
        <f t="shared" si="1"/>
        <v>3.1269843566930149</v>
      </c>
      <c r="F46" s="115">
        <f t="shared" si="2"/>
        <v>2.3267983902768177</v>
      </c>
      <c r="G46" s="114">
        <f t="shared" si="3"/>
        <v>9.7780311670028279</v>
      </c>
      <c r="H46" s="121">
        <f t="shared" si="4"/>
        <v>-0.68001010142427276</v>
      </c>
      <c r="I46" s="121"/>
      <c r="J46" s="113">
        <v>5.5163630863263933</v>
      </c>
      <c r="K46" s="114">
        <f t="shared" si="6"/>
        <v>0.72881355932203384</v>
      </c>
      <c r="L46" s="114">
        <f t="shared" si="5"/>
        <v>0.60922866701399803</v>
      </c>
      <c r="M46" s="114"/>
      <c r="N46" s="114"/>
      <c r="O46" s="116">
        <v>5.3293351286322295E-2</v>
      </c>
      <c r="P46" s="116">
        <v>0.41578518649900503</v>
      </c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</row>
    <row r="47" spans="1:35" x14ac:dyDescent="0.25">
      <c r="A47" s="114">
        <v>45</v>
      </c>
      <c r="B47" s="118">
        <v>134.51</v>
      </c>
      <c r="C47" s="12">
        <v>38081.755000000005</v>
      </c>
      <c r="D47" s="115">
        <f t="shared" si="0"/>
        <v>132.06302574473125</v>
      </c>
      <c r="E47" s="133">
        <f t="shared" si="1"/>
        <v>2.4469742552687421</v>
      </c>
      <c r="F47" s="115">
        <f t="shared" si="2"/>
        <v>1.8191764591991244</v>
      </c>
      <c r="G47" s="114">
        <f t="shared" si="3"/>
        <v>5.9876830059480151</v>
      </c>
      <c r="H47" s="121">
        <f t="shared" si="4"/>
        <v>-1.406087282575271</v>
      </c>
      <c r="I47" s="121"/>
      <c r="J47" s="113">
        <v>6.1665227769549915</v>
      </c>
      <c r="K47" s="114">
        <f t="shared" si="6"/>
        <v>0.74576271186440679</v>
      </c>
      <c r="L47" s="114">
        <f t="shared" si="5"/>
        <v>0.66121479220131485</v>
      </c>
      <c r="M47" s="114"/>
      <c r="N47" s="114"/>
      <c r="O47" s="116">
        <v>0.84156538748669452</v>
      </c>
      <c r="P47" s="116">
        <v>3.1386320441647837</v>
      </c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</row>
    <row r="48" spans="1:35" x14ac:dyDescent="0.25">
      <c r="A48" s="114">
        <v>46</v>
      </c>
      <c r="B48" s="118">
        <v>134.46</v>
      </c>
      <c r="C48" s="12">
        <v>38537.42</v>
      </c>
      <c r="D48" s="115">
        <f t="shared" si="0"/>
        <v>133.41911302730654</v>
      </c>
      <c r="E48" s="133">
        <f t="shared" si="1"/>
        <v>1.0408869726934711</v>
      </c>
      <c r="F48" s="115">
        <f t="shared" si="2"/>
        <v>0.77412388271119359</v>
      </c>
      <c r="G48" s="114">
        <f t="shared" si="3"/>
        <v>1.0834456899229787</v>
      </c>
      <c r="H48" s="121">
        <f t="shared" si="4"/>
        <v>-0.2429739032619409</v>
      </c>
      <c r="I48" s="121"/>
      <c r="J48" s="113">
        <v>6.2066406837906953</v>
      </c>
      <c r="K48" s="114">
        <f t="shared" si="6"/>
        <v>0.76271186440677963</v>
      </c>
      <c r="L48" s="114">
        <f t="shared" si="5"/>
        <v>0.71505303754992222</v>
      </c>
      <c r="M48" s="114"/>
      <c r="N48" s="114"/>
      <c r="O48" s="116">
        <v>292.14636610974787</v>
      </c>
      <c r="P48" s="116">
        <v>55</v>
      </c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</row>
    <row r="49" spans="1:35" x14ac:dyDescent="0.25">
      <c r="A49" s="114">
        <v>47</v>
      </c>
      <c r="B49" s="118">
        <v>134.27000000000001</v>
      </c>
      <c r="C49" s="12">
        <v>38555.22</v>
      </c>
      <c r="D49" s="115">
        <f t="shared" si="0"/>
        <v>133.47208693056848</v>
      </c>
      <c r="E49" s="133">
        <f t="shared" si="1"/>
        <v>0.79791306943153018</v>
      </c>
      <c r="F49" s="115">
        <f t="shared" si="2"/>
        <v>0.59426012469764655</v>
      </c>
      <c r="G49" s="114">
        <f t="shared" si="3"/>
        <v>0.63666526636964593</v>
      </c>
      <c r="H49" s="121">
        <f t="shared" si="4"/>
        <v>1.2933285818495506</v>
      </c>
      <c r="I49" s="121"/>
      <c r="J49" s="113">
        <v>6.3051361166508286</v>
      </c>
      <c r="K49" s="114">
        <f t="shared" si="6"/>
        <v>0.77966101694915257</v>
      </c>
      <c r="L49" s="114">
        <f t="shared" si="5"/>
        <v>0.77104886863964417</v>
      </c>
      <c r="M49" s="114"/>
      <c r="N49" s="114"/>
      <c r="O49" s="116">
        <v>2877.937097901196</v>
      </c>
      <c r="P49" s="116">
        <v>541.80561097619045</v>
      </c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</row>
    <row r="50" spans="1:35" x14ac:dyDescent="0.25">
      <c r="A50" s="114">
        <v>48</v>
      </c>
      <c r="B50" s="118">
        <v>133.72999999999999</v>
      </c>
      <c r="C50" s="12">
        <v>37939.195</v>
      </c>
      <c r="D50" s="115">
        <f t="shared" si="0"/>
        <v>131.63875834871891</v>
      </c>
      <c r="E50" s="133">
        <f t="shared" si="1"/>
        <v>2.0912416512810807</v>
      </c>
      <c r="F50" s="115">
        <f t="shared" si="2"/>
        <v>1.5637789959478658</v>
      </c>
      <c r="G50" s="114">
        <f t="shared" si="3"/>
        <v>4.3732916440528218</v>
      </c>
      <c r="H50" s="121">
        <f t="shared" si="4"/>
        <v>1.0732871344430066</v>
      </c>
      <c r="I50" s="121"/>
      <c r="J50" s="113">
        <v>6.3806396725965726</v>
      </c>
      <c r="K50" s="114">
        <f t="shared" si="6"/>
        <v>0.79661016949152541</v>
      </c>
      <c r="L50" s="114">
        <f t="shared" si="5"/>
        <v>0.82957403698182763</v>
      </c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</row>
    <row r="51" spans="1:35" x14ac:dyDescent="0.25">
      <c r="A51" s="114">
        <v>49</v>
      </c>
      <c r="B51" s="118">
        <v>132.01</v>
      </c>
      <c r="C51" s="12">
        <v>37000.61</v>
      </c>
      <c r="D51" s="115">
        <f t="shared" si="0"/>
        <v>128.8454712142759</v>
      </c>
      <c r="E51" s="133">
        <f t="shared" si="1"/>
        <v>3.1645287857240874</v>
      </c>
      <c r="F51" s="115">
        <f t="shared" si="2"/>
        <v>2.3971886870116563</v>
      </c>
      <c r="G51" s="114">
        <f t="shared" si="3"/>
        <v>10.014242435676367</v>
      </c>
      <c r="H51" s="121">
        <f t="shared" si="4"/>
        <v>-1.0779909571427311</v>
      </c>
      <c r="I51" s="121"/>
      <c r="J51" s="113">
        <v>6.4627527380925756</v>
      </c>
      <c r="K51" s="114">
        <f t="shared" si="6"/>
        <v>0.81355932203389836</v>
      </c>
      <c r="L51" s="114">
        <f t="shared" si="5"/>
        <v>0.89108913003410994</v>
      </c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  <c r="AI51" s="114"/>
    </row>
    <row r="52" spans="1:35" x14ac:dyDescent="0.25">
      <c r="A52" s="114">
        <v>50</v>
      </c>
      <c r="B52" s="118">
        <v>130.59</v>
      </c>
      <c r="C52" s="12">
        <v>36885.69</v>
      </c>
      <c r="D52" s="115">
        <f t="shared" si="0"/>
        <v>128.50346217141865</v>
      </c>
      <c r="E52" s="133">
        <f t="shared" si="1"/>
        <v>2.0865378285813563</v>
      </c>
      <c r="F52" s="115">
        <f t="shared" si="2"/>
        <v>1.5977776465130225</v>
      </c>
      <c r="G52" s="114">
        <f t="shared" si="3"/>
        <v>4.3536401101010016</v>
      </c>
      <c r="H52" s="121">
        <f t="shared" si="4"/>
        <v>0.44661911774119289</v>
      </c>
      <c r="I52" s="121"/>
      <c r="J52" s="113">
        <v>6.9605325407224683</v>
      </c>
      <c r="K52" s="114">
        <f t="shared" si="6"/>
        <v>0.83050847457627119</v>
      </c>
      <c r="L52" s="114">
        <f t="shared" si="5"/>
        <v>0.95617653892006238</v>
      </c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</row>
    <row r="53" spans="1:35" x14ac:dyDescent="0.25">
      <c r="A53" s="114">
        <v>51</v>
      </c>
      <c r="B53" s="118">
        <v>130.28</v>
      </c>
      <c r="C53" s="12">
        <v>36631.455000000002</v>
      </c>
      <c r="D53" s="115">
        <f t="shared" si="0"/>
        <v>127.74684305367745</v>
      </c>
      <c r="E53" s="133">
        <f t="shared" si="1"/>
        <v>2.5331569463225492</v>
      </c>
      <c r="F53" s="115">
        <f t="shared" si="2"/>
        <v>1.9443943401309096</v>
      </c>
      <c r="G53" s="114">
        <f t="shared" si="3"/>
        <v>6.4168841147021825</v>
      </c>
      <c r="H53" s="121">
        <f t="shared" si="4"/>
        <v>-1.8639262133922045</v>
      </c>
      <c r="I53" s="121"/>
      <c r="J53" s="113">
        <v>7.2027557879207222</v>
      </c>
      <c r="K53" s="114">
        <f t="shared" si="6"/>
        <v>0.84745762711864403</v>
      </c>
      <c r="L53" s="114">
        <f t="shared" si="5"/>
        <v>1.0255902911278738</v>
      </c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</row>
    <row r="54" spans="1:35" x14ac:dyDescent="0.25">
      <c r="A54" s="114">
        <v>52</v>
      </c>
      <c r="B54" s="118">
        <v>129.16</v>
      </c>
      <c r="C54" s="12">
        <v>36881.425000000003</v>
      </c>
      <c r="D54" s="115">
        <f t="shared" si="0"/>
        <v>128.49076926706965</v>
      </c>
      <c r="E54" s="133">
        <f t="shared" si="1"/>
        <v>0.66923073293034463</v>
      </c>
      <c r="F54" s="115">
        <f t="shared" si="2"/>
        <v>0.51814085857103176</v>
      </c>
      <c r="G54" s="114">
        <f t="shared" si="3"/>
        <v>0.44786977389848626</v>
      </c>
      <c r="H54" s="121">
        <f t="shared" si="4"/>
        <v>0.39336637428544918</v>
      </c>
      <c r="I54" s="121"/>
      <c r="J54" s="113">
        <v>7.6297722080730068</v>
      </c>
      <c r="K54" s="114">
        <f t="shared" si="6"/>
        <v>0.86440677966101698</v>
      </c>
      <c r="L54" s="114">
        <f t="shared" si="5"/>
        <v>1.1003344194590818</v>
      </c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</row>
    <row r="55" spans="1:35" x14ac:dyDescent="0.25">
      <c r="A55" s="114">
        <v>53</v>
      </c>
      <c r="B55" s="118">
        <v>128.94</v>
      </c>
      <c r="C55" s="12">
        <v>36675.324999999997</v>
      </c>
      <c r="D55" s="115">
        <f t="shared" si="0"/>
        <v>127.8774028927842</v>
      </c>
      <c r="E55" s="133">
        <f t="shared" si="1"/>
        <v>1.0625971072157938</v>
      </c>
      <c r="F55" s="115">
        <f t="shared" si="2"/>
        <v>0.82410199101581649</v>
      </c>
      <c r="G55" s="114">
        <f t="shared" si="3"/>
        <v>1.1291126122633732</v>
      </c>
      <c r="H55" s="121">
        <f t="shared" si="4"/>
        <v>-3.1644758025564954</v>
      </c>
      <c r="I55" s="121"/>
      <c r="J55" s="113">
        <v>7.7565246158394388</v>
      </c>
      <c r="K55" s="114">
        <f t="shared" si="6"/>
        <v>0.88135593220338981</v>
      </c>
      <c r="L55" s="114">
        <f t="shared" si="5"/>
        <v>1.1817922703491182</v>
      </c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  <c r="AI55" s="114"/>
    </row>
    <row r="56" spans="1:35" x14ac:dyDescent="0.25">
      <c r="A56" s="114">
        <v>54</v>
      </c>
      <c r="B56" s="118">
        <v>129.30000000000001</v>
      </c>
      <c r="C56" s="12">
        <v>37859.599999999999</v>
      </c>
      <c r="D56" s="115">
        <f t="shared" si="0"/>
        <v>131.40187869534071</v>
      </c>
      <c r="E56" s="109">
        <f t="shared" si="1"/>
        <v>-2.1018786953407016</v>
      </c>
      <c r="F56" s="115">
        <f t="shared" si="2"/>
        <v>1.6255829043624916</v>
      </c>
      <c r="G56" s="114">
        <f t="shared" si="3"/>
        <v>4.4178940499271295</v>
      </c>
      <c r="H56" s="121">
        <f t="shared" si="4"/>
        <v>-0.40055456907003872</v>
      </c>
      <c r="I56" s="121"/>
      <c r="J56" s="113">
        <v>10.951230218016335</v>
      </c>
      <c r="K56" s="114">
        <f t="shared" si="6"/>
        <v>0.89830508474576276</v>
      </c>
      <c r="L56" s="114">
        <f t="shared" si="5"/>
        <v>1.2719529676842083</v>
      </c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</row>
    <row r="57" spans="1:35" x14ac:dyDescent="0.25">
      <c r="A57" s="114">
        <v>55</v>
      </c>
      <c r="B57" s="118">
        <v>131.22</v>
      </c>
      <c r="C57" s="12">
        <v>38639.339999999997</v>
      </c>
      <c r="D57" s="115">
        <f t="shared" si="0"/>
        <v>133.72243326441074</v>
      </c>
      <c r="E57" s="109">
        <f t="shared" si="1"/>
        <v>-2.5024332644107403</v>
      </c>
      <c r="F57" s="115">
        <f t="shared" si="2"/>
        <v>1.907051718038973</v>
      </c>
      <c r="G57" s="114">
        <f t="shared" si="3"/>
        <v>6.2621722428293944</v>
      </c>
      <c r="H57" s="121">
        <f t="shared" si="4"/>
        <v>2.8512574272897666</v>
      </c>
      <c r="I57" s="121"/>
      <c r="J57" s="113">
        <v>11.578286680516712</v>
      </c>
      <c r="K57" s="114">
        <f t="shared" si="6"/>
        <v>0.9152542372881356</v>
      </c>
      <c r="L57" s="114">
        <f t="shared" si="5"/>
        <v>1.3738394673770855</v>
      </c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</row>
    <row r="58" spans="1:35" x14ac:dyDescent="0.25">
      <c r="A58" s="114">
        <v>56</v>
      </c>
      <c r="B58" s="118">
        <v>132.52000000000001</v>
      </c>
      <c r="C58" s="12">
        <v>38118.095000000001</v>
      </c>
      <c r="D58" s="115">
        <f t="shared" si="0"/>
        <v>132.17117583712098</v>
      </c>
      <c r="E58" s="133">
        <f t="shared" si="1"/>
        <v>0.34882416287902629</v>
      </c>
      <c r="F58" s="115">
        <f t="shared" si="2"/>
        <v>0.26322378726156526</v>
      </c>
      <c r="G58" s="114">
        <f t="shared" si="3"/>
        <v>0.12167829660825347</v>
      </c>
      <c r="H58" s="121">
        <f t="shared" si="4"/>
        <v>1.9868639095806486</v>
      </c>
      <c r="I58" s="121"/>
      <c r="J58" s="113">
        <v>12.075001471986866</v>
      </c>
      <c r="K58" s="114">
        <f t="shared" si="6"/>
        <v>0.93220338983050843</v>
      </c>
      <c r="L58" s="114">
        <f t="shared" si="5"/>
        <v>1.4924041783203592</v>
      </c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  <c r="AI58" s="114"/>
    </row>
    <row r="59" spans="1:35" x14ac:dyDescent="0.25">
      <c r="A59" s="114">
        <v>57</v>
      </c>
      <c r="B59" s="118">
        <v>134.25</v>
      </c>
      <c r="C59" s="12">
        <v>38031.785000000003</v>
      </c>
      <c r="D59" s="115">
        <f t="shared" si="0"/>
        <v>131.91431192754033</v>
      </c>
      <c r="E59" s="133">
        <f t="shared" si="1"/>
        <v>2.3356880724596749</v>
      </c>
      <c r="F59" s="115">
        <f t="shared" si="2"/>
        <v>1.7398048956869088</v>
      </c>
      <c r="G59" s="114">
        <f t="shared" si="3"/>
        <v>5.4554387718303916</v>
      </c>
      <c r="H59" s="121">
        <f t="shared" si="4"/>
        <v>1.0026836664123664</v>
      </c>
      <c r="I59" s="121"/>
      <c r="J59" s="113">
        <v>12.899486886898742</v>
      </c>
      <c r="K59" s="114">
        <f t="shared" si="6"/>
        <v>0.94915254237288138</v>
      </c>
      <c r="L59" s="114">
        <f t="shared" si="5"/>
        <v>1.6366916466733989</v>
      </c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</row>
    <row r="60" spans="1:35" x14ac:dyDescent="0.25">
      <c r="A60" s="114">
        <v>58</v>
      </c>
      <c r="B60" s="118">
        <v>136.06</v>
      </c>
      <c r="C60" s="12">
        <v>38303.055</v>
      </c>
      <c r="D60" s="115">
        <f t="shared" si="0"/>
        <v>132.72162826112796</v>
      </c>
      <c r="E60" s="133">
        <f t="shared" si="1"/>
        <v>3.3383717388720413</v>
      </c>
      <c r="F60" s="115">
        <f t="shared" si="2"/>
        <v>2.4536026303631053</v>
      </c>
      <c r="G60" s="114">
        <f t="shared" si="3"/>
        <v>11.144725866899536</v>
      </c>
      <c r="H60" s="121"/>
      <c r="I60" s="121"/>
      <c r="J60" s="113">
        <v>13.470852042217544</v>
      </c>
      <c r="K60" s="114">
        <f t="shared" si="6"/>
        <v>0.96610169491525422</v>
      </c>
      <c r="L60" s="114">
        <f t="shared" si="5"/>
        <v>1.8263562979439059</v>
      </c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</row>
    <row r="61" spans="1:35" x14ac:dyDescent="0.25">
      <c r="A61" s="114" t="s">
        <v>76</v>
      </c>
      <c r="B61" s="121">
        <f t="shared" ref="B61:H61" si="7">SUM(B3:B60)</f>
        <v>7013.130000000001</v>
      </c>
      <c r="C61" s="121">
        <f t="shared" si="7"/>
        <v>1991499.8450000004</v>
      </c>
      <c r="D61" s="121">
        <f t="shared" si="7"/>
        <v>7013.1299999999992</v>
      </c>
      <c r="E61" s="121">
        <f t="shared" si="7"/>
        <v>6.8212102632969618E-13</v>
      </c>
      <c r="F61" s="121">
        <f t="shared" si="7"/>
        <v>310.59610486095022</v>
      </c>
      <c r="G61" s="121">
        <f t="shared" si="7"/>
        <v>3529.6306945678825</v>
      </c>
      <c r="H61" s="121">
        <f t="shared" si="7"/>
        <v>11.092808177866246</v>
      </c>
      <c r="I61" s="121"/>
      <c r="J61" s="113">
        <v>13.77419634988955</v>
      </c>
      <c r="K61" s="114">
        <f t="shared" si="6"/>
        <v>0.98305084745762716</v>
      </c>
      <c r="L61" s="114">
        <f t="shared" si="5"/>
        <v>2.1212793024540031</v>
      </c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</row>
    <row r="62" spans="1:35" x14ac:dyDescent="0.25">
      <c r="A62" s="114" t="s">
        <v>77</v>
      </c>
      <c r="B62" s="121">
        <f t="shared" ref="B62:H62" si="8">AVERAGE(B3:B60)</f>
        <v>120.91603448275863</v>
      </c>
      <c r="C62" s="121">
        <f t="shared" si="8"/>
        <v>34336.204224137939</v>
      </c>
      <c r="D62" s="121">
        <f t="shared" si="8"/>
        <v>120.9160344827586</v>
      </c>
      <c r="E62" s="121">
        <f t="shared" si="8"/>
        <v>1.1760707350512003E-14</v>
      </c>
      <c r="F62" s="121">
        <f t="shared" si="8"/>
        <v>5.3551052562232799</v>
      </c>
      <c r="G62" s="121">
        <f t="shared" si="8"/>
        <v>60.855701630480731</v>
      </c>
      <c r="H62" s="121">
        <f t="shared" si="8"/>
        <v>0.19461066978712713</v>
      </c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</row>
    <row r="63" spans="1:35" x14ac:dyDescent="0.25">
      <c r="A63" s="114"/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</row>
    <row r="64" spans="1:35" x14ac:dyDescent="0.25">
      <c r="A64" s="114"/>
      <c r="B64" s="114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</row>
  </sheetData>
  <sortState ref="J4:J61">
    <sortCondition ref="J4:J61"/>
  </sortState>
  <mergeCells count="1">
    <mergeCell ref="J2:L2"/>
  </mergeCells>
  <hyperlinks>
    <hyperlink ref="Q23" location="'Y от Х3'!E62" display="2) Значение ячейки E63=0, т.е. средняя величина остатков равна 0 и не зависит от Xi."/>
    <hyperlink ref="Q26" location="'Y от Х3'!U27:AD46" display="5)Нанесенные на график проверки распределения на нормальность точки укладываются вдоль линии тренда,"/>
    <hyperlink ref="Q25" location="'Y от Х3'!R20" display="4) Коэффициент корреляции rɛiɛj  существенно отличен от 0, что говорит о наличии автокорреляции остатков."/>
    <hyperlink ref="Q24" location="'Y от Х3'!N28:W46" display="3) Наличие гомоскедастичности можно видеть на графике зависимости остатков ɛi от теоретических значений Ŷₓ. "/>
    <hyperlink ref="Q22" location="'Y от Х3'!N28:W46" display="1) Из графика зависимости случайных остатков ɛi от теоретического Ŷₓ видно, что остаткиимеют случайный характер.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2"/>
  <sheetViews>
    <sheetView zoomScaleNormal="100" workbookViewId="0">
      <selection activeCell="N26" sqref="N26"/>
    </sheetView>
  </sheetViews>
  <sheetFormatPr defaultRowHeight="15" x14ac:dyDescent="0.25"/>
  <cols>
    <col min="9" max="9" width="8.42578125" customWidth="1"/>
    <col min="10" max="10" width="14.7109375" customWidth="1"/>
    <col min="11" max="11" width="13.140625" customWidth="1"/>
    <col min="12" max="12" width="15" customWidth="1"/>
  </cols>
  <sheetData>
    <row r="1" spans="1:35" x14ac:dyDescent="0.25">
      <c r="A1" s="114"/>
      <c r="B1" s="119">
        <v>1</v>
      </c>
      <c r="C1" s="119">
        <v>2</v>
      </c>
      <c r="D1" s="119">
        <v>3</v>
      </c>
      <c r="E1" s="119">
        <v>4</v>
      </c>
      <c r="F1" s="119">
        <v>5</v>
      </c>
      <c r="G1" s="119">
        <v>6</v>
      </c>
      <c r="H1" s="119">
        <v>7</v>
      </c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</row>
    <row r="2" spans="1:35" ht="18" x14ac:dyDescent="0.25">
      <c r="A2" s="114"/>
      <c r="B2" s="117" t="s">
        <v>48</v>
      </c>
      <c r="C2" s="117" t="s">
        <v>667</v>
      </c>
      <c r="D2" s="67" t="s">
        <v>646</v>
      </c>
      <c r="E2" s="67" t="s">
        <v>576</v>
      </c>
      <c r="F2" s="117" t="s">
        <v>620</v>
      </c>
      <c r="G2" s="111" t="s">
        <v>653</v>
      </c>
      <c r="H2" s="111" t="s">
        <v>652</v>
      </c>
      <c r="I2" s="111"/>
      <c r="J2" s="207" t="s">
        <v>604</v>
      </c>
      <c r="K2" s="207"/>
      <c r="L2" s="207"/>
      <c r="M2" s="120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</row>
    <row r="3" spans="1:35" ht="75" x14ac:dyDescent="0.25">
      <c r="A3" s="114">
        <v>1</v>
      </c>
      <c r="B3" s="118">
        <v>102.32</v>
      </c>
      <c r="C3" s="12">
        <v>495852.6</v>
      </c>
      <c r="D3" s="115">
        <f>$N$21*C3+$O$21</f>
        <v>104.76475068144373</v>
      </c>
      <c r="E3" s="109">
        <f>B3-D3</f>
        <v>-2.4447506814437361</v>
      </c>
      <c r="F3" s="115">
        <f>ABS(E3/B3)*100</f>
        <v>2.3893184924196018</v>
      </c>
      <c r="G3" s="115">
        <f>E3*E3</f>
        <v>5.9768058944196119</v>
      </c>
      <c r="H3" s="108">
        <f>(E4-E3)</f>
        <v>0.60292591787678873</v>
      </c>
      <c r="I3" s="121"/>
      <c r="J3" s="117" t="s">
        <v>632</v>
      </c>
      <c r="K3" s="124" t="s">
        <v>608</v>
      </c>
      <c r="L3" s="124" t="s">
        <v>609</v>
      </c>
      <c r="M3" s="12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</row>
    <row r="4" spans="1:35" ht="18" x14ac:dyDescent="0.35">
      <c r="A4" s="114">
        <v>2</v>
      </c>
      <c r="B4" s="118">
        <v>102.21</v>
      </c>
      <c r="C4" s="116">
        <v>494356.21</v>
      </c>
      <c r="D4" s="115">
        <f t="shared" ref="D4:D60" si="0">$N$21*C4+$O$21</f>
        <v>104.05182476356694</v>
      </c>
      <c r="E4" s="109">
        <f t="shared" ref="E4:E60" si="1">B4-D4</f>
        <v>-1.8418247635669474</v>
      </c>
      <c r="F4" s="115">
        <f t="shared" ref="F4:F60" si="2">ABS(E4/B4)*100</f>
        <v>1.8020005513814181</v>
      </c>
      <c r="G4" s="114">
        <f t="shared" ref="G4:G60" si="3">E4*E4</f>
        <v>3.3923184596884415</v>
      </c>
      <c r="H4" s="121">
        <f t="shared" ref="H4:H59" si="4">(E5-E4)</f>
        <v>0.20244149375913878</v>
      </c>
      <c r="I4" s="121"/>
      <c r="J4" s="113">
        <v>-13.149640104457845</v>
      </c>
      <c r="K4" s="114">
        <f>A3/59</f>
        <v>1.6949152542372881E-2</v>
      </c>
      <c r="L4" s="114">
        <f t="shared" ref="L4:L35" si="5">_xlfn.NORM.S.INV(K4)</f>
        <v>-2.1212793024540013</v>
      </c>
      <c r="M4" s="114"/>
      <c r="N4" s="114" t="s">
        <v>610</v>
      </c>
      <c r="O4" s="114">
        <f>N24</f>
        <v>208.19547359054559</v>
      </c>
      <c r="P4" s="120" t="s">
        <v>580</v>
      </c>
      <c r="Q4" s="114" t="s">
        <v>611</v>
      </c>
      <c r="R4" s="114">
        <f>_xlfn.F.INV.RT(0.05,1,56)</f>
        <v>4.0129733776501437</v>
      </c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</row>
    <row r="5" spans="1:35" ht="18" x14ac:dyDescent="0.35">
      <c r="A5" s="114">
        <v>3</v>
      </c>
      <c r="B5" s="118">
        <v>102.16</v>
      </c>
      <c r="C5" s="116">
        <v>493826.35</v>
      </c>
      <c r="D5" s="115">
        <f t="shared" si="0"/>
        <v>103.79938326980781</v>
      </c>
      <c r="E5" s="109">
        <f t="shared" si="1"/>
        <v>-1.6393832698078086</v>
      </c>
      <c r="F5" s="115">
        <f t="shared" si="2"/>
        <v>1.6047212899449967</v>
      </c>
      <c r="G5" s="114">
        <f t="shared" si="3"/>
        <v>2.6875775053257422</v>
      </c>
      <c r="H5" s="121">
        <f t="shared" si="4"/>
        <v>0.80705707603561905</v>
      </c>
      <c r="I5" s="121"/>
      <c r="J5" s="113">
        <v>-11.085144758501627</v>
      </c>
      <c r="K5" s="114">
        <f t="shared" ref="K5:K61" si="6">A4/59</f>
        <v>3.3898305084745763E-2</v>
      </c>
      <c r="L5" s="114">
        <f t="shared" si="5"/>
        <v>-1.8263562979439061</v>
      </c>
      <c r="M5" s="114"/>
      <c r="N5" s="114" t="s">
        <v>612</v>
      </c>
      <c r="O5" s="114">
        <f>O21/O22</f>
        <v>-7.5085293223768304</v>
      </c>
      <c r="P5" s="120" t="s">
        <v>580</v>
      </c>
      <c r="Q5" s="114" t="s">
        <v>614</v>
      </c>
      <c r="R5" s="114">
        <f>_xlfn.T.INV.2T(0.05,56)</f>
        <v>2.0032407188478727</v>
      </c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  <c r="AG5" s="114"/>
      <c r="AH5" s="114"/>
      <c r="AI5" s="114"/>
    </row>
    <row r="6" spans="1:35" ht="18" x14ac:dyDescent="0.35">
      <c r="A6" s="114">
        <v>4</v>
      </c>
      <c r="B6" s="118">
        <v>102.06</v>
      </c>
      <c r="C6" s="116">
        <v>491922.49</v>
      </c>
      <c r="D6" s="115">
        <f t="shared" si="0"/>
        <v>102.89232619377219</v>
      </c>
      <c r="E6" s="109">
        <f t="shared" si="1"/>
        <v>-0.83232619377218953</v>
      </c>
      <c r="F6" s="115">
        <f t="shared" si="2"/>
        <v>0.81552635094276849</v>
      </c>
      <c r="G6" s="114">
        <f t="shared" si="3"/>
        <v>0.69276689283930037</v>
      </c>
      <c r="H6" s="121">
        <f t="shared" si="4"/>
        <v>-0.970216771670394</v>
      </c>
      <c r="I6" s="121"/>
      <c r="J6" s="113">
        <v>-10.573893429514129</v>
      </c>
      <c r="K6" s="114">
        <f t="shared" si="6"/>
        <v>5.0847457627118647E-2</v>
      </c>
      <c r="L6" s="114">
        <f t="shared" si="5"/>
        <v>-1.6366916466733989</v>
      </c>
      <c r="M6" s="114"/>
      <c r="N6" s="114" t="s">
        <v>613</v>
      </c>
      <c r="O6" s="114">
        <f>N21/N22</f>
        <v>14.428980337866765</v>
      </c>
      <c r="P6" s="120" t="s">
        <v>580</v>
      </c>
      <c r="Q6" s="114" t="s">
        <v>614</v>
      </c>
      <c r="R6" s="114">
        <f>_xlfn.T.INV.2T(0.05,56)</f>
        <v>2.0032407188478727</v>
      </c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</row>
    <row r="7" spans="1:35" x14ac:dyDescent="0.25">
      <c r="A7" s="114">
        <v>5</v>
      </c>
      <c r="B7" s="118">
        <v>102.55</v>
      </c>
      <c r="C7" s="116">
        <v>494987.4</v>
      </c>
      <c r="D7" s="115">
        <f t="shared" si="0"/>
        <v>104.35254296544258</v>
      </c>
      <c r="E7" s="109">
        <f t="shared" si="1"/>
        <v>-1.8025429654425835</v>
      </c>
      <c r="F7" s="115">
        <f t="shared" si="2"/>
        <v>1.7577210779547376</v>
      </c>
      <c r="G7" s="114">
        <f t="shared" si="3"/>
        <v>3.249161142266543</v>
      </c>
      <c r="H7" s="121">
        <f t="shared" si="4"/>
        <v>-0.55633023786252522</v>
      </c>
      <c r="I7" s="121"/>
      <c r="J7" s="113">
        <v>-8.6345839957753299</v>
      </c>
      <c r="K7" s="114">
        <f t="shared" si="6"/>
        <v>6.7796610169491525E-2</v>
      </c>
      <c r="L7" s="114">
        <f t="shared" si="5"/>
        <v>-1.492404178320359</v>
      </c>
      <c r="M7" s="114"/>
      <c r="N7" s="114" t="s">
        <v>615</v>
      </c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</row>
    <row r="8" spans="1:35" x14ac:dyDescent="0.25">
      <c r="A8" s="114">
        <v>6</v>
      </c>
      <c r="B8" s="118">
        <v>104.35</v>
      </c>
      <c r="C8" s="116">
        <v>499933.2</v>
      </c>
      <c r="D8" s="115">
        <f t="shared" si="0"/>
        <v>106.7088732033051</v>
      </c>
      <c r="E8" s="109">
        <f t="shared" si="1"/>
        <v>-2.3588732033051087</v>
      </c>
      <c r="F8" s="115">
        <f t="shared" si="2"/>
        <v>2.2605397252564532</v>
      </c>
      <c r="G8" s="114">
        <f t="shared" si="3"/>
        <v>5.564282789270905</v>
      </c>
      <c r="H8" s="121">
        <f t="shared" si="4"/>
        <v>0.97072847210350233</v>
      </c>
      <c r="I8" s="121"/>
      <c r="J8" s="113">
        <v>-7.5824885719726609</v>
      </c>
      <c r="K8" s="114">
        <f t="shared" si="6"/>
        <v>8.4745762711864403E-2</v>
      </c>
      <c r="L8" s="114">
        <f t="shared" si="5"/>
        <v>-1.3738394673770855</v>
      </c>
      <c r="M8" s="114"/>
      <c r="N8" s="114" t="s">
        <v>616</v>
      </c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</row>
    <row r="9" spans="1:35" ht="18" x14ac:dyDescent="0.35">
      <c r="A9" s="114">
        <v>7</v>
      </c>
      <c r="B9" s="118">
        <v>107.57</v>
      </c>
      <c r="C9" s="116">
        <v>504654.29</v>
      </c>
      <c r="D9" s="115">
        <f t="shared" si="0"/>
        <v>108.9581447312016</v>
      </c>
      <c r="E9" s="109">
        <f t="shared" si="1"/>
        <v>-1.3881447312016064</v>
      </c>
      <c r="F9" s="115">
        <f t="shared" si="2"/>
        <v>1.2904571267096834</v>
      </c>
      <c r="G9" s="114">
        <f t="shared" si="3"/>
        <v>1.9269457947627802</v>
      </c>
      <c r="H9" s="121">
        <f t="shared" si="4"/>
        <v>5.5372304830089973</v>
      </c>
      <c r="I9" s="121"/>
      <c r="J9" s="113">
        <v>-6.1058963382819655</v>
      </c>
      <c r="K9" s="114">
        <f t="shared" si="6"/>
        <v>0.10169491525423729</v>
      </c>
      <c r="L9" s="114">
        <f t="shared" si="5"/>
        <v>-1.2719529676842081</v>
      </c>
      <c r="M9" s="114"/>
      <c r="N9" s="68" t="s">
        <v>617</v>
      </c>
      <c r="O9" s="114">
        <f>N23</f>
        <v>0.78803573263791149</v>
      </c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</row>
    <row r="10" spans="1:35" x14ac:dyDescent="0.25">
      <c r="A10" s="114">
        <v>8</v>
      </c>
      <c r="B10" s="118">
        <v>111.96</v>
      </c>
      <c r="C10" s="116">
        <v>502246.32</v>
      </c>
      <c r="D10" s="115">
        <f t="shared" si="0"/>
        <v>107.8109142481926</v>
      </c>
      <c r="E10" s="110">
        <f t="shared" si="1"/>
        <v>4.1490857518073909</v>
      </c>
      <c r="F10" s="115">
        <f t="shared" si="2"/>
        <v>3.7058643728183203</v>
      </c>
      <c r="G10" s="114">
        <f t="shared" si="3"/>
        <v>17.214912575851102</v>
      </c>
      <c r="H10" s="121">
        <f t="shared" si="4"/>
        <v>0.90960470012527139</v>
      </c>
      <c r="I10" s="121"/>
      <c r="J10" s="113">
        <v>-5.7210822203600316</v>
      </c>
      <c r="K10" s="114">
        <f t="shared" si="6"/>
        <v>0.11864406779661017</v>
      </c>
      <c r="L10" s="114">
        <f t="shared" si="5"/>
        <v>-1.1817922703491182</v>
      </c>
      <c r="M10" s="114"/>
      <c r="N10" s="114" t="s">
        <v>650</v>
      </c>
      <c r="O10" s="114"/>
      <c r="P10" s="66"/>
      <c r="Q10" s="66"/>
      <c r="R10" s="66"/>
      <c r="S10" s="66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</row>
    <row r="11" spans="1:35" x14ac:dyDescent="0.25">
      <c r="A11" s="114">
        <v>9</v>
      </c>
      <c r="B11" s="118">
        <v>115.27</v>
      </c>
      <c r="C11" s="116">
        <v>507284.61</v>
      </c>
      <c r="D11" s="115">
        <f t="shared" si="0"/>
        <v>110.21130954806733</v>
      </c>
      <c r="E11" s="110">
        <f t="shared" si="1"/>
        <v>5.0586904519326623</v>
      </c>
      <c r="F11" s="115">
        <f t="shared" si="2"/>
        <v>4.3885576923160077</v>
      </c>
      <c r="G11" s="114">
        <f t="shared" si="3"/>
        <v>25.590349088474682</v>
      </c>
      <c r="H11" s="121">
        <f t="shared" si="4"/>
        <v>4.0493715330853775E-3</v>
      </c>
      <c r="I11" s="121"/>
      <c r="J11" s="113">
        <v>-5.509057185303476</v>
      </c>
      <c r="K11" s="114">
        <f t="shared" si="6"/>
        <v>0.13559322033898305</v>
      </c>
      <c r="L11" s="114">
        <f t="shared" si="5"/>
        <v>-1.1003344194590818</v>
      </c>
      <c r="M11" s="114"/>
      <c r="N11" s="114" t="s">
        <v>618</v>
      </c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</row>
    <row r="12" spans="1:35" x14ac:dyDescent="0.25">
      <c r="A12" s="114">
        <v>10</v>
      </c>
      <c r="B12" s="118">
        <v>117.17</v>
      </c>
      <c r="C12" s="116">
        <v>511264.1</v>
      </c>
      <c r="D12" s="115">
        <f t="shared" si="0"/>
        <v>112.10726017653425</v>
      </c>
      <c r="E12" s="110">
        <f t="shared" si="1"/>
        <v>5.0627398234657477</v>
      </c>
      <c r="F12" s="115">
        <f t="shared" si="2"/>
        <v>4.3208498962752824</v>
      </c>
      <c r="G12" s="114">
        <f t="shared" si="3"/>
        <v>25.631334520105991</v>
      </c>
      <c r="H12" s="121">
        <f t="shared" si="4"/>
        <v>2.0457377203243254</v>
      </c>
      <c r="I12" s="121"/>
      <c r="J12" s="113">
        <v>-5.3427546893717874</v>
      </c>
      <c r="K12" s="114">
        <f t="shared" si="6"/>
        <v>0.15254237288135594</v>
      </c>
      <c r="L12" s="114">
        <f t="shared" si="5"/>
        <v>-1.0255902911278738</v>
      </c>
      <c r="M12" s="114"/>
      <c r="N12" s="114" t="s">
        <v>621</v>
      </c>
      <c r="O12" s="121">
        <f>F62</f>
        <v>4.1105350412532147</v>
      </c>
      <c r="P12" s="120" t="s">
        <v>579</v>
      </c>
      <c r="Q12" s="114">
        <v>10</v>
      </c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</row>
    <row r="13" spans="1:35" x14ac:dyDescent="0.25">
      <c r="A13" s="114">
        <v>11</v>
      </c>
      <c r="B13" s="118">
        <v>117.61</v>
      </c>
      <c r="C13" s="116">
        <v>507893.75</v>
      </c>
      <c r="D13" s="115">
        <f t="shared" si="0"/>
        <v>110.50152245620993</v>
      </c>
      <c r="E13" s="110">
        <f t="shared" si="1"/>
        <v>7.1084775437900731</v>
      </c>
      <c r="F13" s="115">
        <f t="shared" si="2"/>
        <v>6.0441098068107078</v>
      </c>
      <c r="G13" s="114">
        <f t="shared" si="3"/>
        <v>50.530452990567753</v>
      </c>
      <c r="H13" s="121">
        <f t="shared" si="4"/>
        <v>1.5199089343422827</v>
      </c>
      <c r="I13" s="121"/>
      <c r="J13" s="113">
        <v>-5.1177638363368629</v>
      </c>
      <c r="K13" s="114">
        <f t="shared" si="6"/>
        <v>0.16949152542372881</v>
      </c>
      <c r="L13" s="114">
        <f t="shared" si="5"/>
        <v>-0.95617653892006238</v>
      </c>
      <c r="M13" s="114"/>
      <c r="N13" s="114" t="s">
        <v>622</v>
      </c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</row>
    <row r="14" spans="1:35" x14ac:dyDescent="0.25">
      <c r="A14" s="114">
        <v>12</v>
      </c>
      <c r="B14" s="118">
        <v>117.26</v>
      </c>
      <c r="C14" s="116">
        <v>503968.92</v>
      </c>
      <c r="D14" s="115">
        <f t="shared" si="0"/>
        <v>108.63161352186765</v>
      </c>
      <c r="E14" s="110">
        <f t="shared" si="1"/>
        <v>8.6283864781323558</v>
      </c>
      <c r="F14" s="115">
        <f t="shared" si="2"/>
        <v>7.3583374365788465</v>
      </c>
      <c r="G14" s="114">
        <f t="shared" si="3"/>
        <v>74.449053216017276</v>
      </c>
      <c r="H14" s="121">
        <f t="shared" si="4"/>
        <v>3.0938877745827966</v>
      </c>
      <c r="I14" s="121"/>
      <c r="J14" s="113">
        <v>-4.9920142924646314</v>
      </c>
      <c r="K14" s="114">
        <f t="shared" si="6"/>
        <v>0.1864406779661017</v>
      </c>
      <c r="L14" s="114">
        <f t="shared" si="5"/>
        <v>-0.89108913003410894</v>
      </c>
      <c r="M14" s="114"/>
      <c r="N14" s="114"/>
      <c r="O14" s="103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</row>
    <row r="15" spans="1:35" x14ac:dyDescent="0.25">
      <c r="A15" s="114">
        <v>13</v>
      </c>
      <c r="B15" s="118">
        <v>115.88</v>
      </c>
      <c r="C15" s="116">
        <v>494578.49</v>
      </c>
      <c r="D15" s="115">
        <f t="shared" si="0"/>
        <v>104.15772574728484</v>
      </c>
      <c r="E15" s="110">
        <f t="shared" si="1"/>
        <v>11.722274252715152</v>
      </c>
      <c r="F15" s="115">
        <f t="shared" si="2"/>
        <v>10.115873535308209</v>
      </c>
      <c r="G15" s="114">
        <f t="shared" si="3"/>
        <v>137.4117136558686</v>
      </c>
      <c r="H15" s="121">
        <f t="shared" si="4"/>
        <v>-4.1088479798121966</v>
      </c>
      <c r="I15" s="121"/>
      <c r="J15" s="113">
        <v>-4.8721022470489856</v>
      </c>
      <c r="K15" s="114">
        <f t="shared" si="6"/>
        <v>0.20338983050847459</v>
      </c>
      <c r="L15" s="114">
        <f t="shared" si="5"/>
        <v>-0.82957403698182763</v>
      </c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</row>
    <row r="16" spans="1:35" x14ac:dyDescent="0.25">
      <c r="A16" s="114">
        <v>14</v>
      </c>
      <c r="B16" s="118">
        <v>113.35</v>
      </c>
      <c r="C16" s="116">
        <v>497892.4</v>
      </c>
      <c r="D16" s="115">
        <f t="shared" si="0"/>
        <v>105.73657372709704</v>
      </c>
      <c r="E16" s="110">
        <f t="shared" si="1"/>
        <v>7.6134262729029558</v>
      </c>
      <c r="F16" s="115">
        <f t="shared" si="2"/>
        <v>6.7167413082513949</v>
      </c>
      <c r="G16" s="114">
        <f t="shared" si="3"/>
        <v>57.964259612928991</v>
      </c>
      <c r="H16" s="121">
        <f t="shared" si="4"/>
        <v>-4.2234024581514547</v>
      </c>
      <c r="I16" s="121"/>
      <c r="J16" s="113">
        <v>-4.8156170962811871</v>
      </c>
      <c r="K16" s="114">
        <f t="shared" si="6"/>
        <v>0.22033898305084745</v>
      </c>
      <c r="L16" s="114">
        <f t="shared" si="5"/>
        <v>-0.77104886863964417</v>
      </c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</row>
    <row r="17" spans="1:35" x14ac:dyDescent="0.25">
      <c r="A17" s="114">
        <v>15</v>
      </c>
      <c r="B17" s="118">
        <v>111.39</v>
      </c>
      <c r="C17" s="116">
        <v>502643.15</v>
      </c>
      <c r="D17" s="115">
        <f t="shared" si="0"/>
        <v>107.9999761852485</v>
      </c>
      <c r="E17" s="110">
        <f t="shared" si="1"/>
        <v>3.3900238147515012</v>
      </c>
      <c r="F17" s="115">
        <f t="shared" si="2"/>
        <v>3.0433825430931871</v>
      </c>
      <c r="G17" s="114">
        <f t="shared" si="3"/>
        <v>11.49226146458232</v>
      </c>
      <c r="H17" s="121">
        <f t="shared" si="4"/>
        <v>-2.9227180815240956</v>
      </c>
      <c r="I17" s="121"/>
      <c r="J17" s="113">
        <v>-4.7607724006401639</v>
      </c>
      <c r="K17" s="114">
        <f t="shared" si="6"/>
        <v>0.23728813559322035</v>
      </c>
      <c r="L17" s="114">
        <f t="shared" si="5"/>
        <v>-0.71505303754992222</v>
      </c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</row>
    <row r="18" spans="1:35" x14ac:dyDescent="0.25">
      <c r="A18" s="114">
        <v>16</v>
      </c>
      <c r="B18" s="118">
        <v>109.76</v>
      </c>
      <c r="C18" s="116">
        <v>505356.49</v>
      </c>
      <c r="D18" s="115">
        <f t="shared" si="0"/>
        <v>109.2926942667726</v>
      </c>
      <c r="E18" s="110">
        <f t="shared" si="1"/>
        <v>0.46730573322740554</v>
      </c>
      <c r="F18" s="115">
        <f t="shared" si="2"/>
        <v>0.42575230796957503</v>
      </c>
      <c r="G18" s="114">
        <f t="shared" si="3"/>
        <v>0.2183746483072031</v>
      </c>
      <c r="H18" s="121">
        <f t="shared" si="4"/>
        <v>-0.51621005944748788</v>
      </c>
      <c r="I18" s="121"/>
      <c r="J18" s="113">
        <v>-4.2902419514990697</v>
      </c>
      <c r="K18" s="114">
        <f t="shared" si="6"/>
        <v>0.25423728813559321</v>
      </c>
      <c r="L18" s="114">
        <f t="shared" si="5"/>
        <v>-0.66121479220131485</v>
      </c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</row>
    <row r="19" spans="1:35" x14ac:dyDescent="0.25">
      <c r="A19" s="114">
        <v>17</v>
      </c>
      <c r="B19" s="118">
        <v>109.5</v>
      </c>
      <c r="C19" s="116">
        <v>505894.26</v>
      </c>
      <c r="D19" s="115">
        <f t="shared" si="0"/>
        <v>109.54890432622008</v>
      </c>
      <c r="E19" s="109">
        <f t="shared" si="1"/>
        <v>-4.8904326220082339E-2</v>
      </c>
      <c r="F19" s="115">
        <f t="shared" si="2"/>
        <v>4.4661485132495286E-2</v>
      </c>
      <c r="G19" s="114">
        <f t="shared" si="3"/>
        <v>2.3916331230402332E-3</v>
      </c>
      <c r="H19" s="121">
        <f t="shared" si="4"/>
        <v>-2.3519769697361284</v>
      </c>
      <c r="I19" s="121"/>
      <c r="J19" s="113">
        <v>-4.2804164861241816</v>
      </c>
      <c r="K19" s="114">
        <f t="shared" si="6"/>
        <v>0.2711864406779661</v>
      </c>
      <c r="L19" s="114">
        <f t="shared" si="5"/>
        <v>-0.60922866701399825</v>
      </c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</row>
    <row r="20" spans="1:35" ht="18" x14ac:dyDescent="0.35">
      <c r="A20" s="114">
        <v>18</v>
      </c>
      <c r="B20" s="118">
        <v>108.86</v>
      </c>
      <c r="C20" s="116">
        <v>509487.6</v>
      </c>
      <c r="D20" s="115">
        <f t="shared" si="0"/>
        <v>111.26088129595621</v>
      </c>
      <c r="E20" s="109">
        <f t="shared" si="1"/>
        <v>-2.4008812959562107</v>
      </c>
      <c r="F20" s="115">
        <f t="shared" si="2"/>
        <v>2.2054761123977684</v>
      </c>
      <c r="G20" s="114">
        <f t="shared" si="3"/>
        <v>5.7642309972723735</v>
      </c>
      <c r="H20" s="121">
        <f t="shared" si="4"/>
        <v>-3.3202009244038209</v>
      </c>
      <c r="I20" s="121"/>
      <c r="J20" s="113">
        <v>-4.1287440784210503</v>
      </c>
      <c r="K20" s="114">
        <f t="shared" si="6"/>
        <v>0.28813559322033899</v>
      </c>
      <c r="L20" s="114">
        <f t="shared" si="5"/>
        <v>-0.55883961079677569</v>
      </c>
      <c r="M20" s="114"/>
      <c r="N20" s="114" t="s">
        <v>566</v>
      </c>
      <c r="O20" s="114" t="s">
        <v>567</v>
      </c>
      <c r="P20" s="114"/>
      <c r="Q20" s="114" t="s">
        <v>605</v>
      </c>
      <c r="R20" s="114">
        <f>CORREL(E4:E60,E5:E61)</f>
        <v>0.92353740016114816</v>
      </c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</row>
    <row r="21" spans="1:35" x14ac:dyDescent="0.25">
      <c r="A21" s="114">
        <v>19</v>
      </c>
      <c r="B21" s="118">
        <v>108.49</v>
      </c>
      <c r="C21" s="116">
        <v>515679.9</v>
      </c>
      <c r="D21" s="115">
        <f t="shared" si="0"/>
        <v>114.21108222036003</v>
      </c>
      <c r="E21" s="109">
        <f t="shared" si="1"/>
        <v>-5.7210822203600316</v>
      </c>
      <c r="F21" s="115">
        <f t="shared" si="2"/>
        <v>5.2733728641902777</v>
      </c>
      <c r="G21" s="114">
        <f t="shared" si="3"/>
        <v>32.73078177211967</v>
      </c>
      <c r="H21" s="121">
        <f t="shared" si="4"/>
        <v>-0.38481411792193398</v>
      </c>
      <c r="I21" s="121"/>
      <c r="J21" s="113">
        <v>-3.7671181600130978</v>
      </c>
      <c r="K21" s="114">
        <f t="shared" si="6"/>
        <v>0.30508474576271188</v>
      </c>
      <c r="L21" s="114">
        <f t="shared" si="5"/>
        <v>-0.50983153383249025</v>
      </c>
      <c r="M21" s="114"/>
      <c r="N21" s="116">
        <f t="array" ref="N21:O25">LINEST(B3:B60,C3:C60,1,1)</f>
        <v>4.764305547863942E-4</v>
      </c>
      <c r="O21" s="116">
        <v>-131.47457862883226</v>
      </c>
      <c r="P21" s="114"/>
      <c r="Q21" s="114" t="s">
        <v>602</v>
      </c>
      <c r="R21" s="114"/>
      <c r="S21" s="114"/>
      <c r="T21" s="66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</row>
    <row r="22" spans="1:35" x14ac:dyDescent="0.25">
      <c r="A22" s="114">
        <v>20</v>
      </c>
      <c r="B22" s="118">
        <v>108.36</v>
      </c>
      <c r="C22" s="116">
        <v>516214.74</v>
      </c>
      <c r="D22" s="115">
        <f t="shared" si="0"/>
        <v>114.46589633828196</v>
      </c>
      <c r="E22" s="109">
        <f t="shared" si="1"/>
        <v>-6.1058963382819655</v>
      </c>
      <c r="F22" s="115">
        <f t="shared" si="2"/>
        <v>5.6348249707290199</v>
      </c>
      <c r="G22" s="114">
        <f t="shared" si="3"/>
        <v>37.281970093845118</v>
      </c>
      <c r="H22" s="121">
        <f t="shared" si="4"/>
        <v>0.76314164891017811</v>
      </c>
      <c r="I22" s="121"/>
      <c r="J22" s="113">
        <v>-3.1718723256983452</v>
      </c>
      <c r="K22" s="114">
        <f t="shared" si="6"/>
        <v>0.32203389830508472</v>
      </c>
      <c r="L22" s="114">
        <f t="shared" si="5"/>
        <v>-0.46201885864912079</v>
      </c>
      <c r="M22" s="114"/>
      <c r="N22" s="116">
        <v>3.3019003673882023E-5</v>
      </c>
      <c r="O22" s="116">
        <v>17.510030657669976</v>
      </c>
      <c r="P22" s="114"/>
      <c r="Q22" s="125" t="s">
        <v>649</v>
      </c>
      <c r="R22" s="114"/>
      <c r="S22" s="114"/>
      <c r="T22" s="66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</row>
    <row r="23" spans="1:35" x14ac:dyDescent="0.25">
      <c r="A23" s="114">
        <v>21</v>
      </c>
      <c r="B23" s="118">
        <v>108.19</v>
      </c>
      <c r="C23" s="116">
        <v>514256.13</v>
      </c>
      <c r="D23" s="115">
        <f t="shared" si="0"/>
        <v>113.53275468937179</v>
      </c>
      <c r="E23" s="109">
        <f t="shared" si="1"/>
        <v>-5.3427546893717874</v>
      </c>
      <c r="F23" s="115">
        <f t="shared" si="2"/>
        <v>4.9383073198740988</v>
      </c>
      <c r="G23" s="114">
        <f t="shared" si="3"/>
        <v>28.545027670804224</v>
      </c>
      <c r="H23" s="121">
        <f t="shared" si="4"/>
        <v>0.2249908530349245</v>
      </c>
      <c r="I23" s="121"/>
      <c r="J23" s="113">
        <v>-2.4447506814437361</v>
      </c>
      <c r="K23" s="114">
        <f t="shared" si="6"/>
        <v>0.33898305084745761</v>
      </c>
      <c r="L23" s="114">
        <f t="shared" si="5"/>
        <v>-0.4152401608260714</v>
      </c>
      <c r="M23" s="114"/>
      <c r="N23" s="116">
        <v>0.78803573263791149</v>
      </c>
      <c r="O23" s="116">
        <v>6.063050932191687</v>
      </c>
      <c r="P23" s="114"/>
      <c r="Q23" s="125" t="s">
        <v>633</v>
      </c>
      <c r="R23" s="114"/>
      <c r="S23" s="114"/>
      <c r="T23" s="66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</row>
    <row r="24" spans="1:35" x14ac:dyDescent="0.25">
      <c r="A24" s="114">
        <v>22</v>
      </c>
      <c r="B24" s="118">
        <v>107.8</v>
      </c>
      <c r="C24" s="116">
        <v>512965.3</v>
      </c>
      <c r="D24" s="115">
        <f t="shared" si="0"/>
        <v>112.91776383633686</v>
      </c>
      <c r="E24" s="109">
        <f t="shared" si="1"/>
        <v>-5.1177638363368629</v>
      </c>
      <c r="F24" s="115">
        <f t="shared" si="2"/>
        <v>4.7474618147837324</v>
      </c>
      <c r="G24" s="114">
        <f t="shared" si="3"/>
        <v>26.191506684517403</v>
      </c>
      <c r="H24" s="121">
        <f t="shared" si="4"/>
        <v>-3.5168201594384669</v>
      </c>
      <c r="I24" s="121"/>
      <c r="J24" s="113">
        <v>-2.4008812959562107</v>
      </c>
      <c r="K24" s="114">
        <f t="shared" si="6"/>
        <v>0.3559322033898305</v>
      </c>
      <c r="L24" s="114">
        <f t="shared" si="5"/>
        <v>-0.36935329360674307</v>
      </c>
      <c r="M24" s="114"/>
      <c r="N24" s="116">
        <v>208.19547359054559</v>
      </c>
      <c r="O24" s="116">
        <v>56</v>
      </c>
      <c r="P24" s="114"/>
      <c r="Q24" s="69" t="s">
        <v>630</v>
      </c>
      <c r="R24" s="130"/>
      <c r="S24" s="114"/>
      <c r="T24" s="66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</row>
    <row r="25" spans="1:35" x14ac:dyDescent="0.25">
      <c r="A25" s="114">
        <v>23</v>
      </c>
      <c r="B25" s="118">
        <v>107.47</v>
      </c>
      <c r="C25" s="116">
        <v>519654.25</v>
      </c>
      <c r="D25" s="115">
        <f t="shared" si="0"/>
        <v>116.10458399577533</v>
      </c>
      <c r="E25" s="109">
        <f t="shared" si="1"/>
        <v>-8.6345839957753299</v>
      </c>
      <c r="F25" s="115">
        <f t="shared" si="2"/>
        <v>8.0344133207177162</v>
      </c>
      <c r="G25" s="114">
        <f t="shared" si="3"/>
        <v>74.556040780099465</v>
      </c>
      <c r="H25" s="121">
        <f t="shared" si="4"/>
        <v>-2.4505607627262975</v>
      </c>
      <c r="I25" s="121"/>
      <c r="J25" s="113">
        <v>-2.3588732033051087</v>
      </c>
      <c r="K25" s="114">
        <f t="shared" si="6"/>
        <v>0.3728813559322034</v>
      </c>
      <c r="L25" s="114">
        <f t="shared" si="5"/>
        <v>-0.32423158413730258</v>
      </c>
      <c r="M25" s="114"/>
      <c r="N25" s="116">
        <v>7653.3877379754067</v>
      </c>
      <c r="O25" s="116">
        <v>2058.5928499556271</v>
      </c>
      <c r="P25" s="114"/>
      <c r="Q25" s="125" t="s">
        <v>629</v>
      </c>
      <c r="R25" s="114"/>
      <c r="S25" s="114"/>
      <c r="T25" s="66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</row>
    <row r="26" spans="1:35" ht="18" x14ac:dyDescent="0.35">
      <c r="A26" s="114">
        <v>24</v>
      </c>
      <c r="B26" s="118">
        <v>107.03</v>
      </c>
      <c r="C26" s="116">
        <v>523874.3</v>
      </c>
      <c r="D26" s="115">
        <f t="shared" si="0"/>
        <v>118.11514475850163</v>
      </c>
      <c r="E26" s="109">
        <f t="shared" si="1"/>
        <v>-11.085144758501627</v>
      </c>
      <c r="F26" s="115">
        <f t="shared" si="2"/>
        <v>10.357044528171192</v>
      </c>
      <c r="G26" s="114">
        <f t="shared" si="3"/>
        <v>122.8804343169361</v>
      </c>
      <c r="H26" s="121">
        <f t="shared" si="4"/>
        <v>-2.0644953459562174</v>
      </c>
      <c r="I26" s="121"/>
      <c r="J26" s="113">
        <v>-2.2613213157697771</v>
      </c>
      <c r="K26" s="114">
        <f t="shared" si="6"/>
        <v>0.38983050847457629</v>
      </c>
      <c r="L26" s="114">
        <f t="shared" si="5"/>
        <v>-0.27976081477122972</v>
      </c>
      <c r="M26" s="114"/>
      <c r="N26" s="131" t="s">
        <v>668</v>
      </c>
      <c r="O26" s="131"/>
      <c r="P26" s="114"/>
      <c r="Q26" s="69" t="s">
        <v>606</v>
      </c>
      <c r="R26" s="130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</row>
    <row r="27" spans="1:35" x14ac:dyDescent="0.25">
      <c r="A27" s="114">
        <v>25</v>
      </c>
      <c r="B27" s="118">
        <v>106.61</v>
      </c>
      <c r="C27" s="116">
        <v>527326</v>
      </c>
      <c r="D27" s="115">
        <f t="shared" si="0"/>
        <v>119.75964010445784</v>
      </c>
      <c r="E27" s="109">
        <f t="shared" si="1"/>
        <v>-13.149640104457845</v>
      </c>
      <c r="F27" s="115">
        <f t="shared" si="2"/>
        <v>12.334340216169069</v>
      </c>
      <c r="G27" s="114">
        <f t="shared" si="3"/>
        <v>172.91303487676612</v>
      </c>
      <c r="H27" s="121">
        <f t="shared" si="4"/>
        <v>2.5757466749437157</v>
      </c>
      <c r="I27" s="121"/>
      <c r="J27" s="113">
        <v>-2.1624083624020329</v>
      </c>
      <c r="K27" s="114">
        <f t="shared" si="6"/>
        <v>0.40677966101694918</v>
      </c>
      <c r="L27" s="114">
        <f t="shared" si="5"/>
        <v>-0.23583678601109134</v>
      </c>
      <c r="M27" s="114"/>
      <c r="N27" s="114"/>
      <c r="O27" s="114"/>
      <c r="P27" s="114"/>
      <c r="Q27" s="114" t="s">
        <v>654</v>
      </c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</row>
    <row r="28" spans="1:35" x14ac:dyDescent="0.25">
      <c r="A28" s="114">
        <v>26</v>
      </c>
      <c r="B28" s="118">
        <v>106.57</v>
      </c>
      <c r="C28" s="116">
        <v>521835.7</v>
      </c>
      <c r="D28" s="115">
        <f t="shared" si="0"/>
        <v>117.14389342951412</v>
      </c>
      <c r="E28" s="109">
        <f t="shared" si="1"/>
        <v>-10.573893429514129</v>
      </c>
      <c r="F28" s="115">
        <f t="shared" si="2"/>
        <v>9.9220169180014359</v>
      </c>
      <c r="G28" s="114">
        <f t="shared" si="3"/>
        <v>111.80722225872208</v>
      </c>
      <c r="H28" s="121">
        <f t="shared" si="4"/>
        <v>2.9914048575414682</v>
      </c>
      <c r="I28" s="121"/>
      <c r="J28" s="113">
        <v>-2.0159230114962554</v>
      </c>
      <c r="K28" s="114">
        <f t="shared" si="6"/>
        <v>0.42372881355932202</v>
      </c>
      <c r="L28" s="114">
        <f t="shared" si="5"/>
        <v>-0.19236331372250978</v>
      </c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</row>
    <row r="29" spans="1:35" x14ac:dyDescent="0.25">
      <c r="A29" s="114">
        <v>27</v>
      </c>
      <c r="B29" s="118">
        <v>106.49</v>
      </c>
      <c r="C29" s="116">
        <v>515389</v>
      </c>
      <c r="D29" s="115">
        <f t="shared" si="0"/>
        <v>114.07248857197266</v>
      </c>
      <c r="E29" s="109">
        <f t="shared" si="1"/>
        <v>-7.5824885719726609</v>
      </c>
      <c r="F29" s="115">
        <f t="shared" si="2"/>
        <v>7.1203761592381083</v>
      </c>
      <c r="G29" s="114">
        <f t="shared" si="3"/>
        <v>57.494132944096002</v>
      </c>
      <c r="H29" s="121">
        <f t="shared" si="4"/>
        <v>2.821716171332497</v>
      </c>
      <c r="I29" s="121"/>
      <c r="J29" s="113">
        <v>-1.9988256879275781</v>
      </c>
      <c r="K29" s="114">
        <f t="shared" si="6"/>
        <v>0.44067796610169491</v>
      </c>
      <c r="L29" s="114">
        <f t="shared" si="5"/>
        <v>-0.14925055165580312</v>
      </c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</row>
    <row r="30" spans="1:35" x14ac:dyDescent="0.25">
      <c r="A30" s="114">
        <v>28</v>
      </c>
      <c r="B30" s="118">
        <v>107.04</v>
      </c>
      <c r="C30" s="116">
        <v>510620.8</v>
      </c>
      <c r="D30" s="115">
        <f t="shared" si="0"/>
        <v>111.80077240064017</v>
      </c>
      <c r="E30" s="109">
        <f t="shared" si="1"/>
        <v>-4.7607724006401639</v>
      </c>
      <c r="F30" s="115">
        <f t="shared" si="2"/>
        <v>4.4476573249627833</v>
      </c>
      <c r="G30" s="114">
        <f t="shared" si="3"/>
        <v>22.66495385069711</v>
      </c>
      <c r="H30" s="121">
        <f t="shared" si="4"/>
        <v>0.48035591451598236</v>
      </c>
      <c r="I30" s="121"/>
      <c r="J30" s="113">
        <v>-1.8418247635669474</v>
      </c>
      <c r="K30" s="114">
        <f t="shared" si="6"/>
        <v>0.4576271186440678</v>
      </c>
      <c r="L30" s="114">
        <f t="shared" si="5"/>
        <v>-0.1064135569156504</v>
      </c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</row>
    <row r="31" spans="1:35" x14ac:dyDescent="0.25">
      <c r="A31" s="114">
        <v>29</v>
      </c>
      <c r="B31" s="118">
        <v>111.35</v>
      </c>
      <c r="C31" s="116">
        <v>518659</v>
      </c>
      <c r="D31" s="115">
        <f t="shared" si="0"/>
        <v>115.63041648612418</v>
      </c>
      <c r="E31" s="109">
        <f t="shared" si="1"/>
        <v>-4.2804164861241816</v>
      </c>
      <c r="F31" s="115">
        <f t="shared" si="2"/>
        <v>3.844110001009593</v>
      </c>
      <c r="G31" s="114">
        <f t="shared" si="3"/>
        <v>18.321965294683686</v>
      </c>
      <c r="H31" s="121">
        <f t="shared" si="4"/>
        <v>1.1085441604258364</v>
      </c>
      <c r="I31" s="121"/>
      <c r="J31" s="113">
        <v>-1.8025429654425835</v>
      </c>
      <c r="K31" s="114">
        <f t="shared" si="6"/>
        <v>0.47457627118644069</v>
      </c>
      <c r="L31" s="114">
        <f t="shared" si="5"/>
        <v>-6.377103455763064E-2</v>
      </c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</row>
    <row r="32" spans="1:35" x14ac:dyDescent="0.25">
      <c r="A32" s="114">
        <v>30</v>
      </c>
      <c r="B32" s="118">
        <v>117.54</v>
      </c>
      <c r="C32" s="116">
        <v>529324.68000000005</v>
      </c>
      <c r="D32" s="115">
        <f t="shared" si="0"/>
        <v>120.71187232569835</v>
      </c>
      <c r="E32" s="109">
        <f t="shared" si="1"/>
        <v>-3.1718723256983452</v>
      </c>
      <c r="F32" s="115">
        <f t="shared" si="2"/>
        <v>2.69854715475442</v>
      </c>
      <c r="G32" s="114">
        <f t="shared" si="3"/>
        <v>10.060774050531029</v>
      </c>
      <c r="H32" s="121">
        <f t="shared" si="4"/>
        <v>1.1730466377707671</v>
      </c>
      <c r="I32" s="121"/>
      <c r="J32" s="113">
        <v>-1.6393832698078086</v>
      </c>
      <c r="K32" s="114">
        <f t="shared" si="6"/>
        <v>0.49152542372881358</v>
      </c>
      <c r="L32" s="114">
        <f t="shared" si="5"/>
        <v>-2.1244210365719055E-2</v>
      </c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</row>
    <row r="33" spans="1:35" x14ac:dyDescent="0.25">
      <c r="A33" s="114">
        <v>31</v>
      </c>
      <c r="B33" s="118">
        <v>122.58</v>
      </c>
      <c r="C33" s="116">
        <v>537441.18999999994</v>
      </c>
      <c r="D33" s="115">
        <f t="shared" si="0"/>
        <v>124.57882568792758</v>
      </c>
      <c r="E33" s="109">
        <f t="shared" si="1"/>
        <v>-1.9988256879275781</v>
      </c>
      <c r="F33" s="115">
        <f t="shared" si="2"/>
        <v>1.6306295382016462</v>
      </c>
      <c r="G33" s="114">
        <f t="shared" si="3"/>
        <v>3.9953041307191559</v>
      </c>
      <c r="H33" s="121">
        <f t="shared" si="4"/>
        <v>3.2340464196206682</v>
      </c>
      <c r="I33" s="121"/>
      <c r="J33" s="113">
        <v>-1.419061271988113</v>
      </c>
      <c r="K33" s="114">
        <f t="shared" si="6"/>
        <v>0.50847457627118642</v>
      </c>
      <c r="L33" s="114">
        <f t="shared" si="5"/>
        <v>2.1244210365719055E-2</v>
      </c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</row>
    <row r="34" spans="1:35" x14ac:dyDescent="0.25">
      <c r="A34" s="114">
        <v>32</v>
      </c>
      <c r="B34" s="118">
        <v>128.16</v>
      </c>
      <c r="C34" s="116">
        <v>542365.21</v>
      </c>
      <c r="D34" s="115">
        <f t="shared" si="0"/>
        <v>126.92477926830691</v>
      </c>
      <c r="E34" s="110">
        <f t="shared" si="1"/>
        <v>1.2352207316930901</v>
      </c>
      <c r="F34" s="115">
        <f t="shared" si="2"/>
        <v>0.96381143234479572</v>
      </c>
      <c r="G34" s="114">
        <f t="shared" si="3"/>
        <v>1.5257702560044129</v>
      </c>
      <c r="H34" s="121">
        <f t="shared" si="4"/>
        <v>2.9747925537574531</v>
      </c>
      <c r="I34" s="121"/>
      <c r="J34" s="113">
        <v>-1.3881447312016064</v>
      </c>
      <c r="K34" s="114">
        <f t="shared" si="6"/>
        <v>0.52542372881355937</v>
      </c>
      <c r="L34" s="114">
        <f t="shared" si="5"/>
        <v>6.3771034557630793E-2</v>
      </c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</row>
    <row r="35" spans="1:35" x14ac:dyDescent="0.25">
      <c r="A35" s="114">
        <v>33</v>
      </c>
      <c r="B35" s="118">
        <v>132.86000000000001</v>
      </c>
      <c r="C35" s="116">
        <v>545986.31999999995</v>
      </c>
      <c r="D35" s="115">
        <f t="shared" si="0"/>
        <v>128.64998671454947</v>
      </c>
      <c r="E35" s="110">
        <f t="shared" si="1"/>
        <v>4.2100132854505432</v>
      </c>
      <c r="F35" s="115">
        <f t="shared" si="2"/>
        <v>3.1687590587464571</v>
      </c>
      <c r="G35" s="114">
        <f t="shared" si="3"/>
        <v>17.724211863670078</v>
      </c>
      <c r="H35" s="121">
        <f t="shared" si="4"/>
        <v>1.422307231029464</v>
      </c>
      <c r="I35" s="121"/>
      <c r="J35" s="113">
        <v>-0.83232619377218953</v>
      </c>
      <c r="K35" s="114">
        <f t="shared" si="6"/>
        <v>0.5423728813559322</v>
      </c>
      <c r="L35" s="114">
        <f t="shared" si="5"/>
        <v>0.1064135569156504</v>
      </c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</row>
    <row r="36" spans="1:35" x14ac:dyDescent="0.25">
      <c r="A36" s="114">
        <v>34</v>
      </c>
      <c r="B36" s="118">
        <v>134.91999999999999</v>
      </c>
      <c r="C36" s="116">
        <v>547324.80000000005</v>
      </c>
      <c r="D36" s="115">
        <f t="shared" si="0"/>
        <v>129.28767948351998</v>
      </c>
      <c r="E36" s="110">
        <f t="shared" si="1"/>
        <v>5.6323205164800072</v>
      </c>
      <c r="F36" s="115">
        <f t="shared" si="2"/>
        <v>4.174563086629119</v>
      </c>
      <c r="G36" s="114">
        <f t="shared" si="3"/>
        <v>31.723034400361616</v>
      </c>
      <c r="H36" s="121">
        <f t="shared" si="4"/>
        <v>1.4611051211226425</v>
      </c>
      <c r="I36" s="121"/>
      <c r="J36" s="113">
        <v>-0.55750628752218745</v>
      </c>
      <c r="K36" s="114">
        <f t="shared" si="6"/>
        <v>0.55932203389830504</v>
      </c>
      <c r="L36" s="114">
        <f t="shared" ref="L36:L61" si="7">_xlfn.NORM.S.INV(K36)</f>
        <v>0.14925055165580298</v>
      </c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</row>
    <row r="37" spans="1:35" x14ac:dyDescent="0.25">
      <c r="A37" s="114">
        <v>35</v>
      </c>
      <c r="B37" s="118">
        <v>135.69999999999999</v>
      </c>
      <c r="C37" s="116">
        <v>545895.19999999995</v>
      </c>
      <c r="D37" s="115">
        <f t="shared" si="0"/>
        <v>128.60657436239734</v>
      </c>
      <c r="E37" s="110">
        <f t="shared" si="1"/>
        <v>7.0934256376026497</v>
      </c>
      <c r="F37" s="115">
        <f t="shared" si="2"/>
        <v>5.2272849208567802</v>
      </c>
      <c r="G37" s="114">
        <f t="shared" si="3"/>
        <v>50.316687276198557</v>
      </c>
      <c r="H37" s="121">
        <f t="shared" si="4"/>
        <v>-1.0185254432009287</v>
      </c>
      <c r="I37" s="121"/>
      <c r="J37" s="113">
        <v>-0.43513728814573938</v>
      </c>
      <c r="K37" s="114">
        <f t="shared" si="6"/>
        <v>0.57627118644067798</v>
      </c>
      <c r="L37" s="114">
        <f t="shared" si="7"/>
        <v>0.19236331372250978</v>
      </c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</row>
    <row r="38" spans="1:35" x14ac:dyDescent="0.25">
      <c r="A38" s="114">
        <v>36</v>
      </c>
      <c r="B38" s="118">
        <v>136.13999999999999</v>
      </c>
      <c r="C38" s="116">
        <v>548956.56000000006</v>
      </c>
      <c r="D38" s="115">
        <f t="shared" si="0"/>
        <v>130.06509980559827</v>
      </c>
      <c r="E38" s="110">
        <f t="shared" si="1"/>
        <v>6.0749001944017209</v>
      </c>
      <c r="F38" s="115">
        <f t="shared" si="2"/>
        <v>4.4622448908489218</v>
      </c>
      <c r="G38" s="114">
        <f t="shared" si="3"/>
        <v>36.904412371942065</v>
      </c>
      <c r="H38" s="121">
        <f t="shared" si="4"/>
        <v>4.8491180789231123</v>
      </c>
      <c r="I38" s="121"/>
      <c r="J38" s="113">
        <v>-4.8904326220082339E-2</v>
      </c>
      <c r="K38" s="114">
        <f t="shared" si="6"/>
        <v>0.59322033898305082</v>
      </c>
      <c r="L38" s="114">
        <f t="shared" si="7"/>
        <v>0.23583678601109134</v>
      </c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</row>
    <row r="39" spans="1:35" x14ac:dyDescent="0.25">
      <c r="A39" s="114">
        <v>37</v>
      </c>
      <c r="B39" s="118">
        <v>140.15</v>
      </c>
      <c r="C39" s="116">
        <v>547195.30000000005</v>
      </c>
      <c r="D39" s="115">
        <f t="shared" si="0"/>
        <v>129.22598172667517</v>
      </c>
      <c r="E39" s="110">
        <f t="shared" si="1"/>
        <v>10.924018273324833</v>
      </c>
      <c r="F39" s="115">
        <f t="shared" si="2"/>
        <v>7.7945189249552866</v>
      </c>
      <c r="G39" s="114">
        <f t="shared" si="3"/>
        <v>119.33417523593486</v>
      </c>
      <c r="H39" s="121">
        <f t="shared" si="4"/>
        <v>0.26540206891911566</v>
      </c>
      <c r="I39" s="121"/>
      <c r="J39" s="113">
        <v>1.348407543656549E-2</v>
      </c>
      <c r="K39" s="114">
        <f t="shared" si="6"/>
        <v>0.61016949152542377</v>
      </c>
      <c r="L39" s="114">
        <f t="shared" si="7"/>
        <v>0.27976081477122983</v>
      </c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</row>
    <row r="40" spans="1:35" x14ac:dyDescent="0.25">
      <c r="A40" s="114">
        <v>38</v>
      </c>
      <c r="B40" s="118">
        <v>140.09</v>
      </c>
      <c r="C40" s="116">
        <v>546512.30000000005</v>
      </c>
      <c r="D40" s="115">
        <f t="shared" si="0"/>
        <v>128.90057965775605</v>
      </c>
      <c r="E40" s="110">
        <f t="shared" si="1"/>
        <v>11.189420342243949</v>
      </c>
      <c r="F40" s="115">
        <f t="shared" si="2"/>
        <v>7.987308403343528</v>
      </c>
      <c r="G40" s="114">
        <f t="shared" si="3"/>
        <v>125.20312759542269</v>
      </c>
      <c r="H40" s="121">
        <f t="shared" si="4"/>
        <v>-9.0832613951647545E-2</v>
      </c>
      <c r="I40" s="121"/>
      <c r="J40" s="113">
        <v>0.46730573322740554</v>
      </c>
      <c r="K40" s="114">
        <f t="shared" si="6"/>
        <v>0.6271186440677966</v>
      </c>
      <c r="L40" s="114">
        <f t="shared" si="7"/>
        <v>0.32423158413730258</v>
      </c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</row>
    <row r="41" spans="1:35" x14ac:dyDescent="0.25">
      <c r="A41" s="114">
        <v>39</v>
      </c>
      <c r="B41" s="118">
        <v>139.1</v>
      </c>
      <c r="C41" s="116">
        <v>544625</v>
      </c>
      <c r="D41" s="115">
        <f t="shared" si="0"/>
        <v>128.00141227170769</v>
      </c>
      <c r="E41" s="110">
        <f t="shared" si="1"/>
        <v>11.098587728292301</v>
      </c>
      <c r="F41" s="115">
        <f t="shared" si="2"/>
        <v>7.9788553043079098</v>
      </c>
      <c r="G41" s="114">
        <f t="shared" si="3"/>
        <v>123.17864956260047</v>
      </c>
      <c r="H41" s="121">
        <f t="shared" si="4"/>
        <v>-1.8023876996732895</v>
      </c>
      <c r="I41" s="121"/>
      <c r="J41" s="113">
        <v>1.2352207316930901</v>
      </c>
      <c r="K41" s="114">
        <f t="shared" si="6"/>
        <v>0.64406779661016944</v>
      </c>
      <c r="L41" s="114">
        <f t="shared" si="7"/>
        <v>0.36935329360674291</v>
      </c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</row>
    <row r="42" spans="1:35" x14ac:dyDescent="0.25">
      <c r="A42" s="114">
        <v>40</v>
      </c>
      <c r="B42" s="118">
        <v>137.5</v>
      </c>
      <c r="C42" s="116">
        <v>545049.80000000005</v>
      </c>
      <c r="D42" s="115">
        <f t="shared" si="0"/>
        <v>128.20379997138099</v>
      </c>
      <c r="E42" s="110">
        <f t="shared" si="1"/>
        <v>9.2962000286190118</v>
      </c>
      <c r="F42" s="115">
        <f t="shared" si="2"/>
        <v>6.7608727480865536</v>
      </c>
      <c r="G42" s="114">
        <f t="shared" si="3"/>
        <v>86.419334972096124</v>
      </c>
      <c r="H42" s="121">
        <f t="shared" si="4"/>
        <v>-2.3677834692385886</v>
      </c>
      <c r="I42" s="121"/>
      <c r="J42" s="113">
        <v>3.1209411252343671</v>
      </c>
      <c r="K42" s="114">
        <f t="shared" si="6"/>
        <v>0.66101694915254239</v>
      </c>
      <c r="L42" s="114">
        <f t="shared" si="7"/>
        <v>0.4152401608260714</v>
      </c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</row>
    <row r="43" spans="1:35" x14ac:dyDescent="0.25">
      <c r="A43" s="114">
        <v>41</v>
      </c>
      <c r="B43" s="118">
        <v>136.12</v>
      </c>
      <c r="C43" s="116">
        <v>547123.1</v>
      </c>
      <c r="D43" s="115">
        <f t="shared" si="0"/>
        <v>129.19158344061958</v>
      </c>
      <c r="E43" s="110">
        <f t="shared" si="1"/>
        <v>6.9284165593804232</v>
      </c>
      <c r="F43" s="115">
        <f t="shared" si="2"/>
        <v>5.0899328235236725</v>
      </c>
      <c r="G43" s="114">
        <f t="shared" si="3"/>
        <v>48.002956020296864</v>
      </c>
      <c r="H43" s="121">
        <f t="shared" si="4"/>
        <v>3.7043615153862675E-2</v>
      </c>
      <c r="I43" s="121"/>
      <c r="J43" s="113">
        <v>3.3900238147515012</v>
      </c>
      <c r="K43" s="114">
        <f t="shared" si="6"/>
        <v>0.67796610169491522</v>
      </c>
      <c r="L43" s="114">
        <f t="shared" si="7"/>
        <v>0.46201885864912062</v>
      </c>
      <c r="M43" s="114"/>
      <c r="N43" s="114"/>
      <c r="O43" s="114" t="s">
        <v>634</v>
      </c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  <c r="AI43" s="114"/>
    </row>
    <row r="44" spans="1:35" x14ac:dyDescent="0.25">
      <c r="A44" s="114">
        <v>42</v>
      </c>
      <c r="B44" s="118">
        <v>135.22</v>
      </c>
      <c r="C44" s="116">
        <v>545156.30000000005</v>
      </c>
      <c r="D44" s="115">
        <f t="shared" si="0"/>
        <v>128.25453982546571</v>
      </c>
      <c r="E44" s="110">
        <f t="shared" si="1"/>
        <v>6.9654601745342859</v>
      </c>
      <c r="F44" s="115">
        <f t="shared" si="2"/>
        <v>5.1512055720561198</v>
      </c>
      <c r="G44" s="114">
        <f t="shared" si="3"/>
        <v>48.517635443023202</v>
      </c>
      <c r="H44" s="121">
        <f t="shared" si="4"/>
        <v>-0.43926014591528428</v>
      </c>
      <c r="I44" s="121"/>
      <c r="J44" s="113">
        <v>4.1490857518073909</v>
      </c>
      <c r="K44" s="114">
        <f t="shared" si="6"/>
        <v>0.69491525423728817</v>
      </c>
      <c r="L44" s="114">
        <f t="shared" si="7"/>
        <v>0.50983153383249047</v>
      </c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</row>
    <row r="45" spans="1:35" x14ac:dyDescent="0.25">
      <c r="A45" s="114">
        <v>43</v>
      </c>
      <c r="B45" s="118">
        <v>134.72999999999999</v>
      </c>
      <c r="C45" s="116">
        <v>545049.80000000005</v>
      </c>
      <c r="D45" s="115">
        <f t="shared" si="0"/>
        <v>128.20379997138099</v>
      </c>
      <c r="E45" s="110">
        <f t="shared" si="1"/>
        <v>6.5262000286190016</v>
      </c>
      <c r="F45" s="115">
        <f t="shared" si="2"/>
        <v>4.8439100635485799</v>
      </c>
      <c r="G45" s="114">
        <f t="shared" si="3"/>
        <v>42.59128681354666</v>
      </c>
      <c r="H45" s="121">
        <f t="shared" si="4"/>
        <v>-3.4052589033846346</v>
      </c>
      <c r="I45" s="121"/>
      <c r="J45" s="113">
        <v>4.2100132854505432</v>
      </c>
      <c r="K45" s="114">
        <f t="shared" si="6"/>
        <v>0.71186440677966101</v>
      </c>
      <c r="L45" s="114">
        <f t="shared" si="7"/>
        <v>0.55883961079677569</v>
      </c>
      <c r="M45" s="114"/>
      <c r="N45" s="114"/>
      <c r="O45" s="116">
        <f t="array" ref="O45:P49">LINEST(E5:E61,E4:E60,1,1)</f>
        <v>0.92272491340239138</v>
      </c>
      <c r="P45" s="116">
        <v>3.5627071652437947E-2</v>
      </c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</row>
    <row r="46" spans="1:35" x14ac:dyDescent="0.25">
      <c r="A46" s="114">
        <v>44</v>
      </c>
      <c r="B46" s="118">
        <v>134.38999999999999</v>
      </c>
      <c r="C46" s="116">
        <v>551483.6</v>
      </c>
      <c r="D46" s="115">
        <f t="shared" si="0"/>
        <v>131.26905887476562</v>
      </c>
      <c r="E46" s="110">
        <f t="shared" si="1"/>
        <v>3.1209411252343671</v>
      </c>
      <c r="F46" s="115">
        <f t="shared" si="2"/>
        <v>2.3223016037163235</v>
      </c>
      <c r="G46" s="114">
        <f t="shared" si="3"/>
        <v>9.7402735071791575</v>
      </c>
      <c r="H46" s="121">
        <f t="shared" si="4"/>
        <v>-3.6784474127565545</v>
      </c>
      <c r="I46" s="121"/>
      <c r="J46" s="113">
        <v>5.0586904519326623</v>
      </c>
      <c r="K46" s="114">
        <f t="shared" si="6"/>
        <v>0.72881355932203384</v>
      </c>
      <c r="L46" s="114">
        <f t="shared" si="7"/>
        <v>0.60922866701399803</v>
      </c>
      <c r="M46" s="114"/>
      <c r="N46" s="114"/>
      <c r="O46" s="116">
        <v>5.1666764050598515E-2</v>
      </c>
      <c r="P46" s="116">
        <v>0.31004711444191935</v>
      </c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</row>
    <row r="47" spans="1:35" x14ac:dyDescent="0.25">
      <c r="A47" s="114">
        <v>45</v>
      </c>
      <c r="B47" s="118">
        <v>134.51</v>
      </c>
      <c r="C47" s="116">
        <v>559456.31999999995</v>
      </c>
      <c r="D47" s="115">
        <f t="shared" si="0"/>
        <v>135.06750628752218</v>
      </c>
      <c r="E47" s="109">
        <f t="shared" si="1"/>
        <v>-0.55750628752218745</v>
      </c>
      <c r="F47" s="115">
        <f t="shared" si="2"/>
        <v>0.41447200023952679</v>
      </c>
      <c r="G47" s="114">
        <f t="shared" si="3"/>
        <v>0.31081326062677195</v>
      </c>
      <c r="H47" s="121">
        <f t="shared" si="4"/>
        <v>-4.9515508977812885</v>
      </c>
      <c r="I47" s="121"/>
      <c r="J47" s="113">
        <v>5.0627398234657477</v>
      </c>
      <c r="K47" s="114">
        <f t="shared" si="6"/>
        <v>0.74576271186440679</v>
      </c>
      <c r="L47" s="114">
        <f t="shared" si="7"/>
        <v>0.66121479220131485</v>
      </c>
      <c r="M47" s="114"/>
      <c r="N47" s="114"/>
      <c r="O47" s="116">
        <v>0.85292132949641253</v>
      </c>
      <c r="P47" s="116">
        <v>2.3407445913494724</v>
      </c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</row>
    <row r="48" spans="1:35" x14ac:dyDescent="0.25">
      <c r="A48" s="114">
        <v>46</v>
      </c>
      <c r="B48" s="118">
        <v>134.46</v>
      </c>
      <c r="C48" s="116">
        <v>569744.39</v>
      </c>
      <c r="D48" s="115">
        <f t="shared" si="0"/>
        <v>139.96905718530348</v>
      </c>
      <c r="E48" s="109">
        <f t="shared" si="1"/>
        <v>-5.509057185303476</v>
      </c>
      <c r="F48" s="115">
        <f t="shared" si="2"/>
        <v>4.0971717873742941</v>
      </c>
      <c r="G48" s="114">
        <f t="shared" si="3"/>
        <v>30.349711070943858</v>
      </c>
      <c r="H48" s="121">
        <f t="shared" si="4"/>
        <v>3.3466488229014431</v>
      </c>
      <c r="I48" s="121"/>
      <c r="J48" s="113">
        <v>5.6323205164800072</v>
      </c>
      <c r="K48" s="114">
        <f t="shared" si="6"/>
        <v>0.76271186440677963</v>
      </c>
      <c r="L48" s="114">
        <f t="shared" si="7"/>
        <v>0.71505303754992222</v>
      </c>
      <c r="M48" s="114"/>
      <c r="N48" s="114"/>
      <c r="O48" s="116">
        <v>318.94953198641036</v>
      </c>
      <c r="P48" s="116">
        <v>55</v>
      </c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</row>
    <row r="49" spans="1:35" x14ac:dyDescent="0.25">
      <c r="A49" s="114">
        <v>47</v>
      </c>
      <c r="B49" s="118">
        <v>134.27000000000001</v>
      </c>
      <c r="C49" s="116">
        <v>562321.17000000004</v>
      </c>
      <c r="D49" s="115">
        <f t="shared" si="0"/>
        <v>136.43240836240204</v>
      </c>
      <c r="E49" s="109">
        <f t="shared" si="1"/>
        <v>-2.1624083624020329</v>
      </c>
      <c r="F49" s="115">
        <f t="shared" si="2"/>
        <v>1.6104925615565895</v>
      </c>
      <c r="G49" s="114">
        <f t="shared" si="3"/>
        <v>4.676009925786242</v>
      </c>
      <c r="H49" s="121">
        <f t="shared" si="4"/>
        <v>1.7272710742562936</v>
      </c>
      <c r="I49" s="121"/>
      <c r="J49" s="113">
        <v>6.0749001944017209</v>
      </c>
      <c r="K49" s="114">
        <f t="shared" si="6"/>
        <v>0.77966101694915257</v>
      </c>
      <c r="L49" s="114">
        <f t="shared" si="7"/>
        <v>0.77104886863964417</v>
      </c>
      <c r="M49" s="114"/>
      <c r="N49" s="114"/>
      <c r="O49" s="116">
        <v>1747.5516736277987</v>
      </c>
      <c r="P49" s="116">
        <v>301.3496883062495</v>
      </c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</row>
    <row r="50" spans="1:35" x14ac:dyDescent="0.25">
      <c r="A50" s="114">
        <v>48</v>
      </c>
      <c r="B50" s="118">
        <v>133.72999999999999</v>
      </c>
      <c r="C50" s="116">
        <v>557562.30000000005</v>
      </c>
      <c r="D50" s="115">
        <f t="shared" si="0"/>
        <v>134.16513728814573</v>
      </c>
      <c r="E50" s="109">
        <f t="shared" si="1"/>
        <v>-0.43513728814573938</v>
      </c>
      <c r="F50" s="115">
        <f t="shared" si="2"/>
        <v>0.32538494589526618</v>
      </c>
      <c r="G50" s="114">
        <f t="shared" si="3"/>
        <v>0.18934445953482823</v>
      </c>
      <c r="H50" s="121">
        <f t="shared" si="4"/>
        <v>0.44862136358230487</v>
      </c>
      <c r="I50" s="121"/>
      <c r="J50" s="113">
        <v>6.5262000286190016</v>
      </c>
      <c r="K50" s="114">
        <f t="shared" si="6"/>
        <v>0.79661016949152541</v>
      </c>
      <c r="L50" s="114">
        <f t="shared" si="7"/>
        <v>0.82957403698182763</v>
      </c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</row>
    <row r="51" spans="1:35" x14ac:dyDescent="0.25">
      <c r="A51" s="114">
        <v>49</v>
      </c>
      <c r="B51" s="118">
        <v>132.01</v>
      </c>
      <c r="C51" s="116">
        <v>553010.49</v>
      </c>
      <c r="D51" s="115">
        <f t="shared" si="0"/>
        <v>131.99651592456343</v>
      </c>
      <c r="E51" s="110">
        <f t="shared" si="1"/>
        <v>1.348407543656549E-2</v>
      </c>
      <c r="F51" s="115">
        <f t="shared" si="2"/>
        <v>1.0214434843243308E-2</v>
      </c>
      <c r="G51" s="114">
        <f t="shared" si="3"/>
        <v>1.818202903789888E-4</v>
      </c>
      <c r="H51" s="121">
        <f t="shared" si="4"/>
        <v>-2.0294070869328209</v>
      </c>
      <c r="I51" s="121"/>
      <c r="J51" s="113">
        <v>6.9284165593804232</v>
      </c>
      <c r="K51" s="114">
        <f t="shared" si="6"/>
        <v>0.81355932203389836</v>
      </c>
      <c r="L51" s="114">
        <f t="shared" si="7"/>
        <v>0.89108913003410994</v>
      </c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  <c r="AI51" s="114"/>
    </row>
    <row r="52" spans="1:35" x14ac:dyDescent="0.25">
      <c r="A52" s="114">
        <v>50</v>
      </c>
      <c r="B52" s="118">
        <v>130.59</v>
      </c>
      <c r="C52" s="116">
        <v>554289.6</v>
      </c>
      <c r="D52" s="115">
        <f t="shared" si="0"/>
        <v>132.60592301149626</v>
      </c>
      <c r="E52" s="109">
        <f t="shared" si="1"/>
        <v>-2.0159230114962554</v>
      </c>
      <c r="F52" s="115">
        <f t="shared" si="2"/>
        <v>1.5437039677588293</v>
      </c>
      <c r="G52" s="114">
        <f t="shared" si="3"/>
        <v>4.0639455882801316</v>
      </c>
      <c r="H52" s="121">
        <f t="shared" si="4"/>
        <v>0.59686173950814236</v>
      </c>
      <c r="I52" s="121"/>
      <c r="J52" s="113">
        <v>6.9654601745342859</v>
      </c>
      <c r="K52" s="114">
        <f t="shared" si="6"/>
        <v>0.83050847457627119</v>
      </c>
      <c r="L52" s="114">
        <f t="shared" si="7"/>
        <v>0.95617653892006238</v>
      </c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</row>
    <row r="53" spans="1:35" x14ac:dyDescent="0.25">
      <c r="A53" s="114">
        <v>51</v>
      </c>
      <c r="B53" s="118">
        <v>130.28</v>
      </c>
      <c r="C53" s="116">
        <v>552386.15</v>
      </c>
      <c r="D53" s="115">
        <f t="shared" si="0"/>
        <v>131.69906127198811</v>
      </c>
      <c r="E53" s="109">
        <f t="shared" si="1"/>
        <v>-1.419061271988113</v>
      </c>
      <c r="F53" s="115">
        <f t="shared" si="2"/>
        <v>1.0892395394443608</v>
      </c>
      <c r="G53" s="114">
        <f t="shared" si="3"/>
        <v>2.0137348936565211</v>
      </c>
      <c r="H53" s="121">
        <f t="shared" si="4"/>
        <v>-0.84226004378166408</v>
      </c>
      <c r="I53" s="121"/>
      <c r="J53" s="113">
        <v>7.0934256376026497</v>
      </c>
      <c r="K53" s="114">
        <f t="shared" si="6"/>
        <v>0.84745762711864403</v>
      </c>
      <c r="L53" s="114">
        <f t="shared" si="7"/>
        <v>1.0255902911278738</v>
      </c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</row>
    <row r="54" spans="1:35" x14ac:dyDescent="0.25">
      <c r="A54" s="114">
        <v>52</v>
      </c>
      <c r="B54" s="118">
        <v>129.16</v>
      </c>
      <c r="C54" s="116">
        <v>551803.18999999994</v>
      </c>
      <c r="D54" s="115">
        <f t="shared" si="0"/>
        <v>131.42132131576977</v>
      </c>
      <c r="E54" s="109">
        <f t="shared" si="1"/>
        <v>-2.2613213157697771</v>
      </c>
      <c r="F54" s="115">
        <f t="shared" si="2"/>
        <v>1.7507907368920543</v>
      </c>
      <c r="G54" s="114">
        <f t="shared" si="3"/>
        <v>5.1135740931547558</v>
      </c>
      <c r="H54" s="121">
        <f t="shared" si="4"/>
        <v>-2.6107809312792085</v>
      </c>
      <c r="I54" s="121"/>
      <c r="J54" s="113">
        <v>7.1084775437900731</v>
      </c>
      <c r="K54" s="114">
        <f t="shared" si="6"/>
        <v>0.86440677966101698</v>
      </c>
      <c r="L54" s="114">
        <f t="shared" si="7"/>
        <v>1.1003344194590818</v>
      </c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</row>
    <row r="55" spans="1:35" x14ac:dyDescent="0.25">
      <c r="A55" s="114">
        <v>53</v>
      </c>
      <c r="B55" s="118">
        <v>128.94</v>
      </c>
      <c r="C55" s="116">
        <v>556821.30000000005</v>
      </c>
      <c r="D55" s="115">
        <f t="shared" si="0"/>
        <v>133.81210224704898</v>
      </c>
      <c r="E55" s="109">
        <f t="shared" si="1"/>
        <v>-4.8721022470489856</v>
      </c>
      <c r="F55" s="115">
        <f t="shared" si="2"/>
        <v>3.7785809268256441</v>
      </c>
      <c r="G55" s="114">
        <f t="shared" si="3"/>
        <v>23.737380305699777</v>
      </c>
      <c r="H55" s="121">
        <f t="shared" si="4"/>
        <v>5.6485150767798586E-2</v>
      </c>
      <c r="I55" s="121"/>
      <c r="J55" s="113">
        <v>7.6134262729029558</v>
      </c>
      <c r="K55" s="114">
        <f t="shared" si="6"/>
        <v>0.88135593220338981</v>
      </c>
      <c r="L55" s="114">
        <f t="shared" si="7"/>
        <v>1.1817922703491182</v>
      </c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  <c r="AI55" s="114"/>
    </row>
    <row r="56" spans="1:35" x14ac:dyDescent="0.25">
      <c r="A56" s="114">
        <v>54</v>
      </c>
      <c r="B56" s="118">
        <v>129.30000000000001</v>
      </c>
      <c r="C56" s="116">
        <v>557458.36</v>
      </c>
      <c r="D56" s="115">
        <f t="shared" si="0"/>
        <v>134.1156170962812</v>
      </c>
      <c r="E56" s="109">
        <f t="shared" si="1"/>
        <v>-4.8156170962811871</v>
      </c>
      <c r="F56" s="115">
        <f t="shared" si="2"/>
        <v>3.7243751711378086</v>
      </c>
      <c r="G56" s="114">
        <f t="shared" si="3"/>
        <v>23.190168017995653</v>
      </c>
      <c r="H56" s="121">
        <f t="shared" si="4"/>
        <v>1.0484989362680892</v>
      </c>
      <c r="I56" s="121"/>
      <c r="J56" s="113">
        <v>8.6283864781323558</v>
      </c>
      <c r="K56" s="114">
        <f t="shared" si="6"/>
        <v>0.89830508474576276</v>
      </c>
      <c r="L56" s="114">
        <f t="shared" si="7"/>
        <v>1.2719529676842083</v>
      </c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</row>
    <row r="57" spans="1:35" x14ac:dyDescent="0.25">
      <c r="A57" s="114">
        <v>55</v>
      </c>
      <c r="B57" s="118">
        <v>131.22</v>
      </c>
      <c r="C57" s="116">
        <v>559287.59</v>
      </c>
      <c r="D57" s="115">
        <f t="shared" si="0"/>
        <v>134.9871181600131</v>
      </c>
      <c r="E57" s="109">
        <f t="shared" si="1"/>
        <v>-3.7671181600130978</v>
      </c>
      <c r="F57" s="115">
        <f t="shared" si="2"/>
        <v>2.8708414571049365</v>
      </c>
      <c r="G57" s="114">
        <f t="shared" si="3"/>
        <v>14.191179231500469</v>
      </c>
      <c r="H57" s="121">
        <f t="shared" si="4"/>
        <v>-1.2248961324515335</v>
      </c>
      <c r="I57" s="121"/>
      <c r="J57" s="113">
        <v>9.2962000286190118</v>
      </c>
      <c r="K57" s="114">
        <f t="shared" si="6"/>
        <v>0.9152542372881356</v>
      </c>
      <c r="L57" s="114">
        <f t="shared" si="7"/>
        <v>1.3738394673770855</v>
      </c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</row>
    <row r="58" spans="1:35" x14ac:dyDescent="0.25">
      <c r="A58" s="114">
        <v>56</v>
      </c>
      <c r="B58" s="118">
        <v>132.52000000000001</v>
      </c>
      <c r="C58" s="116">
        <v>564587.19999999995</v>
      </c>
      <c r="D58" s="115">
        <f t="shared" si="0"/>
        <v>137.51201429246464</v>
      </c>
      <c r="E58" s="109">
        <f t="shared" si="1"/>
        <v>-4.9920142924646314</v>
      </c>
      <c r="F58" s="115">
        <f t="shared" si="2"/>
        <v>3.7669893544103763</v>
      </c>
      <c r="G58" s="114">
        <f t="shared" si="3"/>
        <v>24.920206696171153</v>
      </c>
      <c r="H58" s="121">
        <f t="shared" si="4"/>
        <v>0.70177234096556163</v>
      </c>
      <c r="I58" s="121"/>
      <c r="J58" s="113">
        <v>10.924018273324833</v>
      </c>
      <c r="K58" s="114">
        <f t="shared" si="6"/>
        <v>0.93220338983050843</v>
      </c>
      <c r="L58" s="114">
        <f t="shared" si="7"/>
        <v>1.4924041783203592</v>
      </c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  <c r="AI58" s="114"/>
    </row>
    <row r="59" spans="1:35" x14ac:dyDescent="0.25">
      <c r="A59" s="114">
        <v>57</v>
      </c>
      <c r="B59" s="118">
        <v>134.25</v>
      </c>
      <c r="C59" s="116">
        <v>566745.39</v>
      </c>
      <c r="D59" s="115">
        <f t="shared" si="0"/>
        <v>138.54024195149907</v>
      </c>
      <c r="E59" s="109">
        <f t="shared" si="1"/>
        <v>-4.2902419514990697</v>
      </c>
      <c r="F59" s="115">
        <f t="shared" si="2"/>
        <v>3.1957109508372961</v>
      </c>
      <c r="G59" s="114">
        <f t="shared" si="3"/>
        <v>18.406176002402546</v>
      </c>
      <c r="H59" s="121">
        <f t="shared" si="4"/>
        <v>0.16149787307801944</v>
      </c>
      <c r="I59" s="121"/>
      <c r="J59" s="113">
        <v>11.098587728292301</v>
      </c>
      <c r="K59" s="114">
        <f t="shared" si="6"/>
        <v>0.94915254237288138</v>
      </c>
      <c r="L59" s="114">
        <f t="shared" si="7"/>
        <v>1.6366916466733989</v>
      </c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</row>
    <row r="60" spans="1:35" x14ac:dyDescent="0.25">
      <c r="A60" s="114">
        <v>58</v>
      </c>
      <c r="B60" s="118">
        <v>136.06</v>
      </c>
      <c r="C60" s="116">
        <v>570205.5</v>
      </c>
      <c r="D60" s="115">
        <f t="shared" si="0"/>
        <v>140.18874407842105</v>
      </c>
      <c r="E60" s="109">
        <f t="shared" si="1"/>
        <v>-4.1287440784210503</v>
      </c>
      <c r="F60" s="115">
        <f t="shared" si="2"/>
        <v>3.0345024830376675</v>
      </c>
      <c r="G60" s="114">
        <f t="shared" si="3"/>
        <v>17.046527665096889</v>
      </c>
      <c r="H60" s="121"/>
      <c r="I60" s="121"/>
      <c r="J60" s="113">
        <v>11.189420342243949</v>
      </c>
      <c r="K60" s="114">
        <f t="shared" si="6"/>
        <v>0.96610169491525422</v>
      </c>
      <c r="L60" s="114">
        <f t="shared" si="7"/>
        <v>1.8263562979439059</v>
      </c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</row>
    <row r="61" spans="1:35" x14ac:dyDescent="0.25">
      <c r="A61" s="114" t="s">
        <v>76</v>
      </c>
      <c r="B61" s="121">
        <f t="shared" ref="B61:H61" si="8">SUM(B3:B60)</f>
        <v>7013.130000000001</v>
      </c>
      <c r="C61" s="121">
        <f t="shared" si="8"/>
        <v>30725685.860000011</v>
      </c>
      <c r="D61" s="121">
        <f t="shared" si="8"/>
        <v>7013.1299999999974</v>
      </c>
      <c r="E61" s="121">
        <f t="shared" si="8"/>
        <v>3.6095570976613089E-12</v>
      </c>
      <c r="F61" s="121">
        <f t="shared" si="8"/>
        <v>238.41103239268645</v>
      </c>
      <c r="G61" s="121">
        <f t="shared" si="8"/>
        <v>2058.5928499556267</v>
      </c>
      <c r="H61" s="121">
        <f t="shared" si="8"/>
        <v>-1.6839933969773142</v>
      </c>
      <c r="I61" s="121"/>
      <c r="J61" s="113">
        <v>11.722274252715152</v>
      </c>
      <c r="K61" s="114">
        <f t="shared" si="6"/>
        <v>0.98305084745762716</v>
      </c>
      <c r="L61" s="114">
        <f t="shared" si="7"/>
        <v>2.1212793024540031</v>
      </c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</row>
    <row r="62" spans="1:35" x14ac:dyDescent="0.25">
      <c r="A62" s="114" t="s">
        <v>77</v>
      </c>
      <c r="B62" s="121">
        <f t="shared" ref="B62:H62" si="9">AVERAGE(B3:B60)</f>
        <v>120.91603448275863</v>
      </c>
      <c r="C62" s="121">
        <f t="shared" si="9"/>
        <v>529753.20448275877</v>
      </c>
      <c r="D62" s="121">
        <f t="shared" si="9"/>
        <v>120.91603448275858</v>
      </c>
      <c r="E62" s="121">
        <f t="shared" si="9"/>
        <v>6.2233743063126018E-14</v>
      </c>
      <c r="F62" s="121">
        <f t="shared" si="9"/>
        <v>4.1105350412532147</v>
      </c>
      <c r="G62" s="121">
        <f t="shared" si="9"/>
        <v>35.492980171648739</v>
      </c>
      <c r="H62" s="121">
        <f t="shared" si="9"/>
        <v>-2.9543743806619546E-2</v>
      </c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</row>
  </sheetData>
  <sortState ref="J4:J61">
    <sortCondition ref="J4:J61"/>
  </sortState>
  <mergeCells count="1">
    <mergeCell ref="J2:L2"/>
  </mergeCells>
  <hyperlinks>
    <hyperlink ref="Q23" location="'Y от Х2'!E62" display="2) Значение ячейки D63=0, т.е. средняя величина остатков равна 0 и не зависит от Xi."/>
    <hyperlink ref="Q26" location="'Y от Х2'!U27:AD46" display="5)Нанесенные на график проверки распределения на нормальность точки не укладываются вдоль линии тренда,"/>
    <hyperlink ref="Q25" location="'Y от Х2'!R20" display="4) Коэффициент корреляции rɛiɛj  существенно отличен от 0, что говорит о наличии автокорреляции остатков."/>
    <hyperlink ref="Q24" location="'Y от Х2'!N28:W46" display="3) Наличие гомоскедастичности можно видеть на графике зависимости остатков ɛi от теоретических значений Ŷₓ. "/>
    <hyperlink ref="Q22" location="'Y от Х2'!N28:W46" display="1) Из графика зависимости случайных остатков ɛi от теоретического Ŷₓ видно, что остаткиимеют случайный характер.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2"/>
  <sheetViews>
    <sheetView zoomScaleNormal="100" workbookViewId="0">
      <selection activeCell="M3" sqref="M3"/>
    </sheetView>
  </sheetViews>
  <sheetFormatPr defaultRowHeight="15" x14ac:dyDescent="0.25"/>
  <cols>
    <col min="3" max="3" width="10.42578125" customWidth="1"/>
    <col min="8" max="8" width="13.85546875" customWidth="1"/>
    <col min="9" max="9" width="13.85546875" style="74" customWidth="1"/>
    <col min="10" max="10" width="14.85546875" customWidth="1"/>
    <col min="11" max="11" width="16.42578125" customWidth="1"/>
    <col min="12" max="12" width="16.7109375" customWidth="1"/>
    <col min="13" max="13" width="16.7109375" style="74" customWidth="1"/>
  </cols>
  <sheetData>
    <row r="1" spans="1:33" x14ac:dyDescent="0.25">
      <c r="B1" s="84">
        <v>1</v>
      </c>
      <c r="C1" s="84">
        <v>2</v>
      </c>
      <c r="D1" s="84">
        <v>3</v>
      </c>
      <c r="E1" s="84">
        <v>4</v>
      </c>
      <c r="F1" s="84">
        <v>5</v>
      </c>
      <c r="G1" s="119">
        <v>6</v>
      </c>
      <c r="H1" s="119">
        <v>7</v>
      </c>
      <c r="J1" s="74"/>
      <c r="K1" s="74"/>
      <c r="L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</row>
    <row r="2" spans="1:33" ht="18" x14ac:dyDescent="0.25">
      <c r="B2" s="77" t="s">
        <v>48</v>
      </c>
      <c r="C2" s="77" t="s">
        <v>49</v>
      </c>
      <c r="D2" s="67" t="s">
        <v>646</v>
      </c>
      <c r="E2" s="67" t="s">
        <v>576</v>
      </c>
      <c r="F2" s="77" t="s">
        <v>620</v>
      </c>
      <c r="G2" s="111" t="s">
        <v>653</v>
      </c>
      <c r="H2" s="111" t="s">
        <v>652</v>
      </c>
      <c r="I2" s="111"/>
      <c r="J2" s="207" t="s">
        <v>604</v>
      </c>
      <c r="K2" s="207"/>
      <c r="L2" s="207"/>
      <c r="M2" s="85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</row>
    <row r="3" spans="1:33" ht="60" x14ac:dyDescent="0.25">
      <c r="A3">
        <v>1</v>
      </c>
      <c r="B3" s="79">
        <v>102.32</v>
      </c>
      <c r="C3" s="79">
        <v>70893.600000000006</v>
      </c>
      <c r="D3" s="75">
        <f>$N$21*C3+$O$21</f>
        <v>105.48456955930988</v>
      </c>
      <c r="E3" s="109">
        <f>B3-D3</f>
        <v>-3.1645695593098822</v>
      </c>
      <c r="F3" s="75">
        <f>ABS(E3/B3)*100</f>
        <v>3.092816222937727</v>
      </c>
      <c r="G3" s="115">
        <f>E3*E3</f>
        <v>10.014500495710742</v>
      </c>
      <c r="H3" s="108">
        <f>(E4-E3)</f>
        <v>0.42529576485331688</v>
      </c>
      <c r="I3" s="86"/>
      <c r="J3" s="77" t="s">
        <v>632</v>
      </c>
      <c r="K3" s="89" t="s">
        <v>608</v>
      </c>
      <c r="L3" s="89" t="s">
        <v>609</v>
      </c>
      <c r="M3" s="89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</row>
    <row r="4" spans="1:33" ht="18" x14ac:dyDescent="0.35">
      <c r="A4">
        <v>2</v>
      </c>
      <c r="B4" s="79">
        <v>102.21</v>
      </c>
      <c r="C4" s="79">
        <v>70392.98</v>
      </c>
      <c r="D4" s="75">
        <f t="shared" ref="D4:D60" si="0">$N$21*C4+$O$21</f>
        <v>104.94927379445656</v>
      </c>
      <c r="E4" s="109">
        <f t="shared" ref="E4:E60" si="1">B4-D4</f>
        <v>-2.7392737944565653</v>
      </c>
      <c r="F4" s="75">
        <f t="shared" ref="F4:F60" si="2">ABS(E4/B4)*100</f>
        <v>2.6800448042819345</v>
      </c>
      <c r="G4" s="74">
        <f t="shared" ref="G4:G60" si="3">E4*E4</f>
        <v>7.503620920996469</v>
      </c>
      <c r="H4" s="86">
        <f t="shared" ref="H4:H59" si="4">(E5-E4)</f>
        <v>9.5794370056623279E-2</v>
      </c>
      <c r="I4" s="86"/>
      <c r="J4" s="108">
        <v>-6.787621644413079</v>
      </c>
      <c r="K4">
        <f>A3/59</f>
        <v>1.6949152542372881E-2</v>
      </c>
      <c r="L4">
        <f t="shared" ref="L4:L35" si="5">_xlfn.NORM.S.INV(K4)</f>
        <v>-2.1212793024540013</v>
      </c>
      <c r="N4" s="74" t="s">
        <v>610</v>
      </c>
      <c r="O4" s="74">
        <f>N24</f>
        <v>861.27672972585003</v>
      </c>
      <c r="P4" s="85" t="s">
        <v>580</v>
      </c>
      <c r="Q4" s="74" t="s">
        <v>611</v>
      </c>
      <c r="R4" s="74">
        <f>_xlfn.F.INV.RT(0.05,1,56)</f>
        <v>4.0129733776501437</v>
      </c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</row>
    <row r="5" spans="1:33" ht="18" x14ac:dyDescent="0.35">
      <c r="A5" s="74">
        <v>3</v>
      </c>
      <c r="B5" s="79">
        <v>102.16</v>
      </c>
      <c r="C5" s="79">
        <v>70256.63</v>
      </c>
      <c r="D5" s="75">
        <f t="shared" si="0"/>
        <v>104.80347942439994</v>
      </c>
      <c r="E5" s="109">
        <f t="shared" si="1"/>
        <v>-2.643479424399942</v>
      </c>
      <c r="F5" s="75">
        <f t="shared" si="2"/>
        <v>2.5875875336726137</v>
      </c>
      <c r="G5" s="74">
        <f t="shared" si="3"/>
        <v>6.987983467225849</v>
      </c>
      <c r="H5" s="86">
        <f t="shared" si="4"/>
        <v>-2.8498206632278311E-2</v>
      </c>
      <c r="I5" s="86"/>
      <c r="J5" s="108">
        <v>-6.1749069901732554</v>
      </c>
      <c r="K5" s="74">
        <f t="shared" ref="K5:K61" si="6">A4/59</f>
        <v>3.3898305084745763E-2</v>
      </c>
      <c r="L5" s="74">
        <f t="shared" si="5"/>
        <v>-1.8263562979439061</v>
      </c>
      <c r="N5" s="74" t="s">
        <v>612</v>
      </c>
      <c r="O5" s="74">
        <f>O21/O22</f>
        <v>9.4583383044503826</v>
      </c>
      <c r="P5" s="85" t="s">
        <v>580</v>
      </c>
      <c r="Q5" s="74" t="s">
        <v>614</v>
      </c>
      <c r="R5" s="74">
        <f>_xlfn.T.INV.2T(0.05,56)</f>
        <v>2.0032407188478727</v>
      </c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</row>
    <row r="6" spans="1:33" ht="18" x14ac:dyDescent="0.35">
      <c r="A6" s="74">
        <v>4</v>
      </c>
      <c r="B6" s="79">
        <v>102.06</v>
      </c>
      <c r="C6" s="79">
        <v>70189.759999999995</v>
      </c>
      <c r="D6" s="75">
        <f t="shared" si="0"/>
        <v>104.73197763103222</v>
      </c>
      <c r="E6" s="109">
        <f t="shared" si="1"/>
        <v>-2.6719776310322203</v>
      </c>
      <c r="F6" s="75">
        <f t="shared" si="2"/>
        <v>2.6180458857850484</v>
      </c>
      <c r="G6" s="74">
        <f t="shared" si="3"/>
        <v>7.1394644607365558</v>
      </c>
      <c r="H6" s="86">
        <f t="shared" si="4"/>
        <v>0.19148241853750392</v>
      </c>
      <c r="I6" s="86"/>
      <c r="J6" s="108">
        <v>-5.3066791409046772</v>
      </c>
      <c r="K6" s="74">
        <f t="shared" si="6"/>
        <v>5.0847457627118647E-2</v>
      </c>
      <c r="L6" s="74">
        <f t="shared" si="5"/>
        <v>-1.6366916466733989</v>
      </c>
      <c r="N6" s="74" t="s">
        <v>613</v>
      </c>
      <c r="O6" s="74">
        <f>N21/N22</f>
        <v>29.347516585323714</v>
      </c>
      <c r="P6" s="85" t="s">
        <v>580</v>
      </c>
      <c r="Q6" s="74" t="s">
        <v>614</v>
      </c>
      <c r="R6" s="74">
        <f>_xlfn.T.INV.2T(0.05,56)</f>
        <v>2.0032407188478727</v>
      </c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</row>
    <row r="7" spans="1:33" x14ac:dyDescent="0.25">
      <c r="A7" s="74">
        <v>5</v>
      </c>
      <c r="B7" s="79">
        <v>102.55</v>
      </c>
      <c r="C7" s="79">
        <v>70468.94</v>
      </c>
      <c r="D7" s="75">
        <f t="shared" si="0"/>
        <v>105.03049521249471</v>
      </c>
      <c r="E7" s="109">
        <f t="shared" si="1"/>
        <v>-2.4804952124947164</v>
      </c>
      <c r="F7" s="75">
        <f t="shared" si="2"/>
        <v>2.4188154193025024</v>
      </c>
      <c r="G7" s="74">
        <f t="shared" si="3"/>
        <v>6.1528564992092081</v>
      </c>
      <c r="H7" s="86">
        <f t="shared" si="4"/>
        <v>1.7449755901495223</v>
      </c>
      <c r="I7" s="86"/>
      <c r="J7" s="108">
        <v>-5.2354240102456799</v>
      </c>
      <c r="K7" s="74">
        <f t="shared" si="6"/>
        <v>6.7796610169491525E-2</v>
      </c>
      <c r="L7" s="74">
        <f t="shared" si="5"/>
        <v>-1.492404178320359</v>
      </c>
      <c r="N7" s="74" t="s">
        <v>615</v>
      </c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</row>
    <row r="8" spans="1:33" x14ac:dyDescent="0.25">
      <c r="A8" s="74">
        <v>6</v>
      </c>
      <c r="B8" s="79">
        <v>104.35</v>
      </c>
      <c r="C8" s="79">
        <v>70520.399999999994</v>
      </c>
      <c r="D8" s="75">
        <f t="shared" si="0"/>
        <v>105.08551962234519</v>
      </c>
      <c r="E8" s="109">
        <f t="shared" si="1"/>
        <v>-0.73551962234519408</v>
      </c>
      <c r="F8" s="75">
        <f t="shared" si="2"/>
        <v>0.70485828686650132</v>
      </c>
      <c r="G8" s="74">
        <f t="shared" si="3"/>
        <v>0.54098911485481693</v>
      </c>
      <c r="H8" s="86">
        <f t="shared" si="4"/>
        <v>-0.84841675685628104</v>
      </c>
      <c r="I8" s="86"/>
      <c r="J8" s="108">
        <v>-4.7408615537505341</v>
      </c>
      <c r="K8" s="74">
        <f t="shared" si="6"/>
        <v>8.4745762711864403E-2</v>
      </c>
      <c r="L8" s="74">
        <f t="shared" si="5"/>
        <v>-1.3738394673770855</v>
      </c>
      <c r="N8" s="74" t="s">
        <v>616</v>
      </c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</row>
    <row r="9" spans="1:33" ht="18" x14ac:dyDescent="0.35">
      <c r="A9" s="74">
        <v>7</v>
      </c>
      <c r="B9" s="79">
        <v>107.57</v>
      </c>
      <c r="C9" s="79">
        <v>74325.27</v>
      </c>
      <c r="D9" s="75">
        <f t="shared" si="0"/>
        <v>109.15393637920147</v>
      </c>
      <c r="E9" s="109">
        <f t="shared" si="1"/>
        <v>-1.5839363792014751</v>
      </c>
      <c r="F9" s="75">
        <f t="shared" si="2"/>
        <v>1.4724703720381846</v>
      </c>
      <c r="G9" s="74">
        <f t="shared" si="3"/>
        <v>2.5088544533578792</v>
      </c>
      <c r="H9" s="86">
        <f t="shared" si="4"/>
        <v>2.1946693285613605</v>
      </c>
      <c r="I9" s="86"/>
      <c r="J9" s="108">
        <v>-4.513452394636289</v>
      </c>
      <c r="K9" s="74">
        <f t="shared" si="6"/>
        <v>0.10169491525423729</v>
      </c>
      <c r="L9" s="74">
        <f t="shared" si="5"/>
        <v>-1.2719529676842081</v>
      </c>
      <c r="N9" s="68" t="s">
        <v>617</v>
      </c>
      <c r="O9" s="74">
        <f>N23</f>
        <v>0.93894972129431753</v>
      </c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</row>
    <row r="10" spans="1:33" x14ac:dyDescent="0.25">
      <c r="A10" s="74">
        <v>8</v>
      </c>
      <c r="B10" s="79">
        <v>111.96</v>
      </c>
      <c r="C10" s="79">
        <v>76378.39</v>
      </c>
      <c r="D10" s="75">
        <f t="shared" si="0"/>
        <v>111.34926705064011</v>
      </c>
      <c r="E10" s="110">
        <f t="shared" si="1"/>
        <v>0.61073294935988542</v>
      </c>
      <c r="F10" s="75">
        <f t="shared" si="2"/>
        <v>0.54549209481947614</v>
      </c>
      <c r="G10" s="74">
        <f t="shared" si="3"/>
        <v>0.37299473543382439</v>
      </c>
      <c r="H10" s="86">
        <f t="shared" si="4"/>
        <v>-0.21732557223246829</v>
      </c>
      <c r="I10" s="86"/>
      <c r="J10" s="108">
        <v>-4.3703306013196084</v>
      </c>
      <c r="K10" s="74">
        <f t="shared" si="6"/>
        <v>0.11864406779661017</v>
      </c>
      <c r="L10" s="74">
        <f t="shared" si="5"/>
        <v>-1.1817922703491182</v>
      </c>
      <c r="N10" s="74" t="s">
        <v>650</v>
      </c>
      <c r="O10" s="74"/>
      <c r="P10" s="66"/>
      <c r="Q10" s="66"/>
      <c r="R10" s="66"/>
      <c r="S10" s="66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</row>
    <row r="11" spans="1:33" x14ac:dyDescent="0.25">
      <c r="A11" s="74">
        <v>9</v>
      </c>
      <c r="B11" s="79">
        <v>115.27</v>
      </c>
      <c r="C11" s="79">
        <v>79677.22</v>
      </c>
      <c r="D11" s="75">
        <f t="shared" si="0"/>
        <v>114.87659262287258</v>
      </c>
      <c r="E11" s="110">
        <f t="shared" si="1"/>
        <v>0.39340737712741713</v>
      </c>
      <c r="F11" s="75">
        <f t="shared" si="2"/>
        <v>0.34129207697355524</v>
      </c>
      <c r="G11" s="74">
        <f t="shared" si="3"/>
        <v>0.15476936437827382</v>
      </c>
      <c r="H11" s="86">
        <f t="shared" si="4"/>
        <v>0.84385424909403639</v>
      </c>
      <c r="I11" s="86"/>
      <c r="J11" s="108">
        <v>-3.6077926355473835</v>
      </c>
      <c r="K11" s="74">
        <f t="shared" si="6"/>
        <v>0.13559322033898305</v>
      </c>
      <c r="L11" s="74">
        <f t="shared" si="5"/>
        <v>-1.1003344194590818</v>
      </c>
      <c r="N11" s="74" t="s">
        <v>618</v>
      </c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</row>
    <row r="12" spans="1:33" x14ac:dyDescent="0.25">
      <c r="A12" s="74">
        <v>10</v>
      </c>
      <c r="B12" s="79">
        <v>117.17</v>
      </c>
      <c r="C12" s="79">
        <v>80664.95</v>
      </c>
      <c r="D12" s="75">
        <f t="shared" si="0"/>
        <v>115.93273837377855</v>
      </c>
      <c r="E12" s="110">
        <f t="shared" si="1"/>
        <v>1.2372616262214535</v>
      </c>
      <c r="F12" s="75">
        <f t="shared" si="2"/>
        <v>1.0559542768809878</v>
      </c>
      <c r="G12" s="74">
        <f t="shared" si="3"/>
        <v>1.5308163317201557</v>
      </c>
      <c r="H12" s="86">
        <f t="shared" si="4"/>
        <v>-1.2514820090669474</v>
      </c>
      <c r="I12" s="86"/>
      <c r="J12" s="108">
        <v>-3.1645695593098822</v>
      </c>
      <c r="K12" s="74">
        <f t="shared" si="6"/>
        <v>0.15254237288135594</v>
      </c>
      <c r="L12" s="74">
        <f t="shared" si="5"/>
        <v>-1.0255902911278738</v>
      </c>
      <c r="N12" s="74" t="s">
        <v>621</v>
      </c>
      <c r="O12" s="86">
        <f>F62</f>
        <v>2.2385668929726665</v>
      </c>
      <c r="P12" s="85" t="s">
        <v>579</v>
      </c>
      <c r="Q12" s="74">
        <v>10</v>
      </c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</row>
    <row r="13" spans="1:33" x14ac:dyDescent="0.25">
      <c r="A13" s="74">
        <v>11</v>
      </c>
      <c r="B13" s="79">
        <v>117.61</v>
      </c>
      <c r="C13" s="79">
        <v>82246.86</v>
      </c>
      <c r="D13" s="75">
        <f t="shared" si="0"/>
        <v>117.62422038284549</v>
      </c>
      <c r="E13" s="109">
        <f t="shared" si="1"/>
        <v>-1.4220382845493873E-2</v>
      </c>
      <c r="F13" s="75">
        <f t="shared" si="2"/>
        <v>1.2091134125919457E-2</v>
      </c>
      <c r="G13" s="74">
        <f t="shared" si="3"/>
        <v>2.0221928827241642E-4</v>
      </c>
      <c r="H13" s="86">
        <f t="shared" si="4"/>
        <v>8.8505839092221095E-2</v>
      </c>
      <c r="I13" s="86"/>
      <c r="J13" s="108">
        <v>-3.10651811000767</v>
      </c>
      <c r="K13" s="74">
        <f t="shared" si="6"/>
        <v>0.16949152542372881</v>
      </c>
      <c r="L13" s="74">
        <f t="shared" si="5"/>
        <v>-0.95617653892006238</v>
      </c>
      <c r="N13" s="74" t="s">
        <v>622</v>
      </c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</row>
    <row r="14" spans="1:33" x14ac:dyDescent="0.25">
      <c r="A14" s="74">
        <v>12</v>
      </c>
      <c r="B14" s="79">
        <v>117.26</v>
      </c>
      <c r="C14" s="79">
        <v>81836.759999999995</v>
      </c>
      <c r="D14" s="75">
        <f t="shared" si="0"/>
        <v>117.18571454375328</v>
      </c>
      <c r="E14" s="110">
        <f t="shared" si="1"/>
        <v>7.4285456246727222E-2</v>
      </c>
      <c r="F14" s="75">
        <f t="shared" si="2"/>
        <v>6.3351062806351027E-2</v>
      </c>
      <c r="G14" s="74">
        <f t="shared" si="3"/>
        <v>5.5183290097844248E-3</v>
      </c>
      <c r="H14" s="86">
        <f t="shared" si="4"/>
        <v>2.4281468073477583</v>
      </c>
      <c r="I14" s="86"/>
      <c r="J14" s="108">
        <v>-2.8451150947008728</v>
      </c>
      <c r="K14" s="74">
        <f t="shared" si="6"/>
        <v>0.1864406779661017</v>
      </c>
      <c r="L14" s="74">
        <f t="shared" si="5"/>
        <v>-0.89108913003410894</v>
      </c>
      <c r="N14" s="74"/>
      <c r="O14" s="103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</row>
    <row r="15" spans="1:33" x14ac:dyDescent="0.25">
      <c r="A15" s="74">
        <v>13</v>
      </c>
      <c r="B15" s="79">
        <v>115.88</v>
      </c>
      <c r="C15" s="79">
        <v>78275.3</v>
      </c>
      <c r="D15" s="75">
        <f t="shared" si="0"/>
        <v>113.37756773640551</v>
      </c>
      <c r="E15" s="110">
        <f t="shared" si="1"/>
        <v>2.5024322635944856</v>
      </c>
      <c r="F15" s="75">
        <f t="shared" si="2"/>
        <v>2.1595031615416689</v>
      </c>
      <c r="G15" s="74">
        <f t="shared" si="3"/>
        <v>6.2621672338786212</v>
      </c>
      <c r="H15" s="86">
        <f t="shared" si="4"/>
        <v>2.3296840233440008</v>
      </c>
      <c r="I15" s="86"/>
      <c r="J15" s="108">
        <v>-2.7392737944565653</v>
      </c>
      <c r="K15" s="74">
        <f t="shared" si="6"/>
        <v>0.20338983050847459</v>
      </c>
      <c r="L15" s="74">
        <f t="shared" si="5"/>
        <v>-0.82957403698182763</v>
      </c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</row>
    <row r="16" spans="1:33" x14ac:dyDescent="0.25">
      <c r="A16" s="74">
        <v>14</v>
      </c>
      <c r="B16" s="79">
        <v>113.35</v>
      </c>
      <c r="C16" s="79">
        <v>73730.42</v>
      </c>
      <c r="D16" s="75">
        <f t="shared" si="0"/>
        <v>108.51788371306151</v>
      </c>
      <c r="E16" s="110">
        <f t="shared" si="1"/>
        <v>4.8321162869384864</v>
      </c>
      <c r="F16" s="75">
        <f t="shared" si="2"/>
        <v>4.2630051053714046</v>
      </c>
      <c r="G16" s="74">
        <f t="shared" si="3"/>
        <v>23.349347810496184</v>
      </c>
      <c r="H16" s="86">
        <f t="shared" si="4"/>
        <v>0.65022712519275672</v>
      </c>
      <c r="I16" s="86"/>
      <c r="J16" s="108">
        <v>-2.6719776310322203</v>
      </c>
      <c r="K16" s="74">
        <f t="shared" si="6"/>
        <v>0.22033898305084745</v>
      </c>
      <c r="L16" s="74">
        <f t="shared" si="5"/>
        <v>-0.77104886863964417</v>
      </c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</row>
    <row r="17" spans="1:33" x14ac:dyDescent="0.25">
      <c r="A17" s="74">
        <v>15</v>
      </c>
      <c r="B17" s="79">
        <v>111.39</v>
      </c>
      <c r="C17" s="79">
        <v>71289.279999999999</v>
      </c>
      <c r="D17" s="75">
        <f t="shared" si="0"/>
        <v>105.90765658786876</v>
      </c>
      <c r="E17" s="110">
        <f t="shared" si="1"/>
        <v>5.4823434121312431</v>
      </c>
      <c r="F17" s="75">
        <f t="shared" si="2"/>
        <v>4.9217554647017172</v>
      </c>
      <c r="G17" s="74">
        <f t="shared" si="3"/>
        <v>30.056089288538843</v>
      </c>
      <c r="H17" s="86">
        <f t="shared" si="4"/>
        <v>-3.2877359854586672</v>
      </c>
      <c r="I17" s="86"/>
      <c r="J17" s="108">
        <v>-2.643479424399942</v>
      </c>
      <c r="K17" s="74">
        <f t="shared" si="6"/>
        <v>0.23728813559322035</v>
      </c>
      <c r="L17" s="74">
        <f t="shared" si="5"/>
        <v>-0.71505303754992222</v>
      </c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</row>
    <row r="18" spans="1:33" x14ac:dyDescent="0.25">
      <c r="A18" s="74">
        <v>16</v>
      </c>
      <c r="B18" s="79">
        <v>109.76</v>
      </c>
      <c r="C18" s="79">
        <v>72839.63</v>
      </c>
      <c r="D18" s="75">
        <f t="shared" si="0"/>
        <v>107.56539257332743</v>
      </c>
      <c r="E18" s="110">
        <f t="shared" si="1"/>
        <v>2.1946074266725759</v>
      </c>
      <c r="F18" s="75">
        <f t="shared" si="2"/>
        <v>1.9994601190530026</v>
      </c>
      <c r="G18" s="74">
        <f t="shared" si="3"/>
        <v>4.8163017572064257</v>
      </c>
      <c r="H18" s="86">
        <f t="shared" si="4"/>
        <v>1.847779200809839</v>
      </c>
      <c r="I18" s="86"/>
      <c r="J18" s="108">
        <v>-2.5349290669963978</v>
      </c>
      <c r="K18" s="74">
        <f t="shared" si="6"/>
        <v>0.25423728813559321</v>
      </c>
      <c r="L18" s="74">
        <f t="shared" si="5"/>
        <v>-0.66121479220131485</v>
      </c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</row>
    <row r="19" spans="1:33" x14ac:dyDescent="0.25">
      <c r="A19" s="74">
        <v>17</v>
      </c>
      <c r="B19" s="79">
        <v>109.5</v>
      </c>
      <c r="C19" s="79">
        <v>70868.39</v>
      </c>
      <c r="D19" s="75">
        <f t="shared" si="0"/>
        <v>105.45761337251759</v>
      </c>
      <c r="E19" s="110">
        <f t="shared" si="1"/>
        <v>4.042386627482415</v>
      </c>
      <c r="F19" s="75">
        <f t="shared" si="2"/>
        <v>3.6916772853720685</v>
      </c>
      <c r="G19" s="74">
        <f t="shared" si="3"/>
        <v>16.340889646048652</v>
      </c>
      <c r="H19" s="86">
        <f t="shared" si="4"/>
        <v>-2.5399139603330667</v>
      </c>
      <c r="I19" s="86"/>
      <c r="J19" s="108">
        <v>-2.4804952124947164</v>
      </c>
      <c r="K19" s="74">
        <f t="shared" si="6"/>
        <v>0.2711864406779661</v>
      </c>
      <c r="L19" s="74">
        <f t="shared" si="5"/>
        <v>-0.60922866701399825</v>
      </c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</row>
    <row r="20" spans="1:33" ht="18" x14ac:dyDescent="0.35">
      <c r="A20" s="74">
        <v>18</v>
      </c>
      <c r="B20" s="79">
        <v>108.86</v>
      </c>
      <c r="C20" s="79">
        <v>72645.23</v>
      </c>
      <c r="D20" s="75">
        <f t="shared" si="0"/>
        <v>107.35752733285065</v>
      </c>
      <c r="E20" s="110">
        <f t="shared" si="1"/>
        <v>1.5024726671493482</v>
      </c>
      <c r="F20" s="75">
        <f t="shared" si="2"/>
        <v>1.3801880095070258</v>
      </c>
      <c r="G20" s="74">
        <f t="shared" si="3"/>
        <v>2.2574241155308763</v>
      </c>
      <c r="H20" s="86">
        <f t="shared" si="4"/>
        <v>-0.43052043524170358</v>
      </c>
      <c r="I20" s="86"/>
      <c r="J20" s="108">
        <v>-2.4299205839749334</v>
      </c>
      <c r="K20" s="74">
        <f t="shared" si="6"/>
        <v>0.28813559322033899</v>
      </c>
      <c r="L20" s="74">
        <f t="shared" si="5"/>
        <v>-0.55883961079677569</v>
      </c>
      <c r="N20" s="74" t="s">
        <v>566</v>
      </c>
      <c r="O20" s="74" t="s">
        <v>567</v>
      </c>
      <c r="P20" s="74"/>
      <c r="Q20" s="74" t="s">
        <v>605</v>
      </c>
      <c r="R20" s="74">
        <f>CORREL(E4:E60,E5:E61)</f>
        <v>0.84314693671696861</v>
      </c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</row>
    <row r="21" spans="1:33" x14ac:dyDescent="0.25">
      <c r="A21" s="74">
        <v>19</v>
      </c>
      <c r="B21" s="79">
        <v>108.49</v>
      </c>
      <c r="C21" s="79">
        <v>72701.83</v>
      </c>
      <c r="D21" s="75">
        <f t="shared" si="0"/>
        <v>107.41804776809235</v>
      </c>
      <c r="E21" s="110">
        <f t="shared" si="1"/>
        <v>1.0719522319076447</v>
      </c>
      <c r="F21" s="75">
        <f t="shared" si="2"/>
        <v>0.98806547323038507</v>
      </c>
      <c r="G21" s="74">
        <f t="shared" si="3"/>
        <v>1.1490815874917808</v>
      </c>
      <c r="H21" s="86">
        <f t="shared" si="4"/>
        <v>-0.25200320955966049</v>
      </c>
      <c r="I21" s="86"/>
      <c r="J21" s="108">
        <v>-2.1333865487407309</v>
      </c>
      <c r="K21" s="74">
        <f t="shared" si="6"/>
        <v>0.30508474576271188</v>
      </c>
      <c r="L21" s="74">
        <f t="shared" si="5"/>
        <v>-0.50983153383249025</v>
      </c>
      <c r="N21" s="76">
        <f t="array" ref="N21:O25">LINEST(B3:B60,C3:C60,1,1)</f>
        <v>1.069265640312617E-3</v>
      </c>
      <c r="O21" s="76">
        <v>29.680478961243324</v>
      </c>
      <c r="P21" s="74"/>
      <c r="Q21" s="74" t="s">
        <v>602</v>
      </c>
      <c r="R21" s="74"/>
      <c r="S21" s="74"/>
      <c r="T21" s="66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</row>
    <row r="22" spans="1:33" x14ac:dyDescent="0.25">
      <c r="A22" s="74">
        <v>20</v>
      </c>
      <c r="B22" s="79">
        <v>108.36</v>
      </c>
      <c r="C22" s="79">
        <v>72815.929999999993</v>
      </c>
      <c r="D22" s="75">
        <f t="shared" si="0"/>
        <v>107.54005097765202</v>
      </c>
      <c r="E22" s="110">
        <f t="shared" si="1"/>
        <v>0.81994902234798417</v>
      </c>
      <c r="F22" s="75">
        <f t="shared" si="2"/>
        <v>0.75668975853449993</v>
      </c>
      <c r="G22" s="74">
        <f t="shared" si="3"/>
        <v>0.672316399249415</v>
      </c>
      <c r="H22" s="86">
        <f t="shared" si="4"/>
        <v>-0.13799687938545446</v>
      </c>
      <c r="I22" s="86"/>
      <c r="J22" s="108">
        <v>-2.0505568202414111</v>
      </c>
      <c r="K22" s="74">
        <f t="shared" si="6"/>
        <v>0.32203389830508472</v>
      </c>
      <c r="L22" s="74">
        <f t="shared" si="5"/>
        <v>-0.46201885864912079</v>
      </c>
      <c r="N22" s="76">
        <v>3.6434620871714301E-5</v>
      </c>
      <c r="O22" s="76">
        <v>3.1380225580721639</v>
      </c>
      <c r="P22" s="74"/>
      <c r="Q22" s="90" t="s">
        <v>649</v>
      </c>
      <c r="R22" s="74"/>
      <c r="S22" s="74"/>
      <c r="T22" s="66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</row>
    <row r="23" spans="1:33" x14ac:dyDescent="0.25">
      <c r="A23" s="74">
        <v>21</v>
      </c>
      <c r="B23" s="79">
        <v>108.19</v>
      </c>
      <c r="C23" s="78">
        <v>72786</v>
      </c>
      <c r="D23" s="75">
        <f t="shared" si="0"/>
        <v>107.50804785703747</v>
      </c>
      <c r="E23" s="110">
        <f t="shared" si="1"/>
        <v>0.68195214296252971</v>
      </c>
      <c r="F23" s="75">
        <f t="shared" si="2"/>
        <v>0.63032825858446218</v>
      </c>
      <c r="G23" s="74">
        <f t="shared" si="3"/>
        <v>0.46505872529118658</v>
      </c>
      <c r="H23" s="86">
        <f t="shared" si="4"/>
        <v>2.8931480706106925</v>
      </c>
      <c r="I23" s="86"/>
      <c r="J23" s="108">
        <v>-1.963367619443801</v>
      </c>
      <c r="K23" s="74">
        <f t="shared" si="6"/>
        <v>0.33898305084745761</v>
      </c>
      <c r="L23" s="74">
        <f t="shared" si="5"/>
        <v>-0.4152401608260714</v>
      </c>
      <c r="N23" s="76">
        <v>0.93894972129431753</v>
      </c>
      <c r="O23" s="76">
        <v>3.2538963503044158</v>
      </c>
      <c r="P23" s="74"/>
      <c r="Q23" s="90" t="s">
        <v>633</v>
      </c>
      <c r="R23" s="74"/>
      <c r="S23" s="74"/>
      <c r="T23" s="66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</row>
    <row r="24" spans="1:33" x14ac:dyDescent="0.25">
      <c r="A24" s="74">
        <v>22</v>
      </c>
      <c r="B24" s="79">
        <v>107.8</v>
      </c>
      <c r="C24" s="79">
        <v>69715.53</v>
      </c>
      <c r="D24" s="75">
        <f t="shared" si="0"/>
        <v>104.22489978642677</v>
      </c>
      <c r="E24" s="110">
        <f t="shared" si="1"/>
        <v>3.5751002135732222</v>
      </c>
      <c r="F24" s="75">
        <f t="shared" si="2"/>
        <v>3.3164194931105957</v>
      </c>
      <c r="G24" s="74">
        <f t="shared" si="3"/>
        <v>12.781341537091299</v>
      </c>
      <c r="H24" s="86">
        <f t="shared" si="4"/>
        <v>-1.1774037126041463</v>
      </c>
      <c r="I24" s="86"/>
      <c r="J24" s="108">
        <v>-1.8146885271037547</v>
      </c>
      <c r="K24" s="74">
        <f t="shared" si="6"/>
        <v>0.3559322033898305</v>
      </c>
      <c r="L24" s="74">
        <f t="shared" si="5"/>
        <v>-0.36935329360674307</v>
      </c>
      <c r="N24" s="76">
        <v>861.27672972585003</v>
      </c>
      <c r="O24" s="76">
        <v>56</v>
      </c>
      <c r="P24" s="74"/>
      <c r="Q24" s="69" t="s">
        <v>630</v>
      </c>
      <c r="R24" s="95"/>
      <c r="S24" s="74"/>
      <c r="T24" s="66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</row>
    <row r="25" spans="1:33" x14ac:dyDescent="0.25">
      <c r="A25" s="74">
        <v>23</v>
      </c>
      <c r="B25" s="79">
        <v>107.47</v>
      </c>
      <c r="C25" s="79">
        <v>70508.039999999994</v>
      </c>
      <c r="D25" s="75">
        <f t="shared" si="0"/>
        <v>105.07230349903092</v>
      </c>
      <c r="E25" s="110">
        <f t="shared" si="1"/>
        <v>2.3976965009690758</v>
      </c>
      <c r="F25" s="75">
        <f t="shared" si="2"/>
        <v>2.2310379649847176</v>
      </c>
      <c r="G25" s="74">
        <f t="shared" si="3"/>
        <v>5.7489485107593499</v>
      </c>
      <c r="H25" s="86">
        <f t="shared" si="4"/>
        <v>0.23223661540812657</v>
      </c>
      <c r="I25" s="86"/>
      <c r="J25" s="108">
        <v>-1.5839363792014751</v>
      </c>
      <c r="K25" s="74">
        <f t="shared" si="6"/>
        <v>0.3728813559322034</v>
      </c>
      <c r="L25" s="74">
        <f t="shared" si="5"/>
        <v>-0.32423158413730258</v>
      </c>
      <c r="N25" s="76">
        <v>9119.0614662536664</v>
      </c>
      <c r="O25" s="76">
        <v>592.91912167736621</v>
      </c>
      <c r="P25" s="74"/>
      <c r="Q25" s="90" t="s">
        <v>629</v>
      </c>
      <c r="R25" s="74"/>
      <c r="S25" s="74"/>
      <c r="T25" s="66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1:33" ht="18" x14ac:dyDescent="0.35">
      <c r="A26" s="74">
        <v>24</v>
      </c>
      <c r="B26" s="79">
        <v>107.03</v>
      </c>
      <c r="C26" s="79">
        <v>69879.350000000006</v>
      </c>
      <c r="D26" s="75">
        <f t="shared" si="0"/>
        <v>104.4000668836228</v>
      </c>
      <c r="E26" s="110">
        <f t="shared" si="1"/>
        <v>2.6299331163772024</v>
      </c>
      <c r="F26" s="75">
        <f t="shared" si="2"/>
        <v>2.4571924847026092</v>
      </c>
      <c r="G26" s="74">
        <f t="shared" si="3"/>
        <v>6.9165481966175033</v>
      </c>
      <c r="H26" s="86">
        <f t="shared" si="4"/>
        <v>-5.0598537003521358</v>
      </c>
      <c r="I26" s="86"/>
      <c r="J26" s="108">
        <v>-1.4190195866177078</v>
      </c>
      <c r="K26" s="74">
        <f t="shared" si="6"/>
        <v>0.38983050847457629</v>
      </c>
      <c r="L26" s="74">
        <f t="shared" si="5"/>
        <v>-0.27976081477122972</v>
      </c>
      <c r="N26" s="96" t="s">
        <v>648</v>
      </c>
      <c r="O26" s="96"/>
      <c r="P26" s="74"/>
      <c r="Q26" s="69" t="s">
        <v>606</v>
      </c>
      <c r="R26" s="95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</row>
    <row r="27" spans="1:33" x14ac:dyDescent="0.25">
      <c r="A27" s="74">
        <v>25</v>
      </c>
      <c r="B27" s="79">
        <v>106.61</v>
      </c>
      <c r="C27" s="79">
        <v>74218.64</v>
      </c>
      <c r="D27" s="75">
        <f t="shared" si="0"/>
        <v>109.03992058397493</v>
      </c>
      <c r="E27" s="109">
        <f t="shared" si="1"/>
        <v>-2.4299205839749334</v>
      </c>
      <c r="F27" s="75">
        <f t="shared" si="2"/>
        <v>2.2792614050979583</v>
      </c>
      <c r="G27" s="74">
        <f t="shared" si="3"/>
        <v>5.9045140444250812</v>
      </c>
      <c r="H27" s="86">
        <f t="shared" si="4"/>
        <v>1.7792485604278738</v>
      </c>
      <c r="I27" s="86"/>
      <c r="J27" s="108">
        <v>-0.73551962234519408</v>
      </c>
      <c r="K27" s="74">
        <f t="shared" si="6"/>
        <v>0.40677966101694918</v>
      </c>
      <c r="L27" s="74">
        <f t="shared" si="5"/>
        <v>-0.23583678601109134</v>
      </c>
      <c r="N27" s="74"/>
      <c r="O27" s="74"/>
      <c r="P27" s="74"/>
      <c r="Q27" s="74" t="s">
        <v>654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</row>
    <row r="28" spans="1:33" x14ac:dyDescent="0.25">
      <c r="A28" s="74">
        <v>26</v>
      </c>
      <c r="B28" s="79">
        <v>106.57</v>
      </c>
      <c r="C28" s="79">
        <v>72517.240000000005</v>
      </c>
      <c r="D28" s="75">
        <f t="shared" si="0"/>
        <v>107.22067202354705</v>
      </c>
      <c r="E28" s="109">
        <f t="shared" si="1"/>
        <v>-0.65067202354705955</v>
      </c>
      <c r="F28" s="75">
        <f t="shared" si="2"/>
        <v>0.61055834057151126</v>
      </c>
      <c r="G28" s="74">
        <f t="shared" si="3"/>
        <v>0.42337408222682521</v>
      </c>
      <c r="H28" s="86">
        <f t="shared" si="4"/>
        <v>-4.5847519866986204</v>
      </c>
      <c r="I28" s="86"/>
      <c r="J28" s="108">
        <v>-0.65067202354705955</v>
      </c>
      <c r="K28" s="74">
        <f t="shared" si="6"/>
        <v>0.42372881355932202</v>
      </c>
      <c r="L28" s="74">
        <f t="shared" si="5"/>
        <v>-0.19236331372250978</v>
      </c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</row>
    <row r="29" spans="1:33" x14ac:dyDescent="0.25">
      <c r="A29" s="74">
        <v>27</v>
      </c>
      <c r="B29" s="79">
        <v>106.49</v>
      </c>
      <c r="C29" s="79">
        <v>76730.179999999993</v>
      </c>
      <c r="D29" s="75">
        <f t="shared" si="0"/>
        <v>111.72542401024567</v>
      </c>
      <c r="E29" s="109">
        <f t="shared" si="1"/>
        <v>-5.2354240102456799</v>
      </c>
      <c r="F29" s="75">
        <f t="shared" si="2"/>
        <v>4.9163527187958307</v>
      </c>
      <c r="G29" s="74">
        <f t="shared" si="3"/>
        <v>27.409664567056957</v>
      </c>
      <c r="H29" s="86">
        <f t="shared" si="4"/>
        <v>-1.5521976341673991</v>
      </c>
      <c r="I29" s="86"/>
      <c r="J29" s="108">
        <v>-0.32927688667732014</v>
      </c>
      <c r="K29" s="74">
        <f t="shared" si="6"/>
        <v>0.44067796610169491</v>
      </c>
      <c r="L29" s="74">
        <f t="shared" si="5"/>
        <v>-0.14925055165580312</v>
      </c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</row>
    <row r="30" spans="1:33" x14ac:dyDescent="0.25">
      <c r="A30" s="74">
        <v>28</v>
      </c>
      <c r="B30" s="79">
        <v>107.04</v>
      </c>
      <c r="C30" s="79">
        <v>78696.2</v>
      </c>
      <c r="D30" s="75">
        <f t="shared" si="0"/>
        <v>113.82762164441309</v>
      </c>
      <c r="E30" s="109">
        <f t="shared" si="1"/>
        <v>-6.787621644413079</v>
      </c>
      <c r="F30" s="75">
        <f t="shared" si="2"/>
        <v>6.3412010878298561</v>
      </c>
      <c r="G30" s="74">
        <f t="shared" si="3"/>
        <v>46.07180758770491</v>
      </c>
      <c r="H30" s="86">
        <f t="shared" si="4"/>
        <v>0.61271465423982363</v>
      </c>
      <c r="I30" s="86"/>
      <c r="J30" s="108">
        <v>-1.4220382845493873E-2</v>
      </c>
      <c r="K30" s="74">
        <f t="shared" si="6"/>
        <v>0.4576271186440678</v>
      </c>
      <c r="L30" s="74">
        <f t="shared" si="5"/>
        <v>-0.1064135569156504</v>
      </c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</row>
    <row r="31" spans="1:33" x14ac:dyDescent="0.25">
      <c r="A31" s="74">
        <v>29</v>
      </c>
      <c r="B31" s="79">
        <v>111.35</v>
      </c>
      <c r="C31" s="79">
        <v>82153.98</v>
      </c>
      <c r="D31" s="75">
        <f t="shared" si="0"/>
        <v>117.52490699017325</v>
      </c>
      <c r="E31" s="109">
        <f t="shared" si="1"/>
        <v>-6.1749069901732554</v>
      </c>
      <c r="F31" s="75">
        <f t="shared" si="2"/>
        <v>5.5454934801735574</v>
      </c>
      <c r="G31" s="74">
        <f t="shared" si="3"/>
        <v>38.129476337290534</v>
      </c>
      <c r="H31" s="86">
        <f t="shared" si="4"/>
        <v>1.4340454364227213</v>
      </c>
      <c r="I31" s="86"/>
      <c r="J31" s="108">
        <v>7.4285456246727222E-2</v>
      </c>
      <c r="K31" s="74">
        <f t="shared" si="6"/>
        <v>0.47457627118644069</v>
      </c>
      <c r="L31" s="74">
        <f t="shared" si="5"/>
        <v>-6.377103455763064E-2</v>
      </c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</row>
    <row r="32" spans="1:33" x14ac:dyDescent="0.25">
      <c r="A32" s="74">
        <v>30</v>
      </c>
      <c r="B32" s="79">
        <v>117.54</v>
      </c>
      <c r="C32" s="79">
        <v>86601.85</v>
      </c>
      <c r="D32" s="75">
        <f t="shared" si="0"/>
        <v>122.28086155375054</v>
      </c>
      <c r="E32" s="109">
        <f t="shared" si="1"/>
        <v>-4.7408615537505341</v>
      </c>
      <c r="F32" s="75">
        <f t="shared" si="2"/>
        <v>4.0334027171605698</v>
      </c>
      <c r="G32" s="74">
        <f t="shared" si="3"/>
        <v>22.475768271829928</v>
      </c>
      <c r="H32" s="86">
        <f t="shared" si="4"/>
        <v>-0.5658175871541431</v>
      </c>
      <c r="I32" s="86"/>
      <c r="J32" s="74">
        <v>0.39340737712741713</v>
      </c>
      <c r="K32" s="74">
        <f t="shared" si="6"/>
        <v>0.49152542372881358</v>
      </c>
      <c r="L32" s="74">
        <f t="shared" si="5"/>
        <v>-2.1244210365719055E-2</v>
      </c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</row>
    <row r="33" spans="1:33" x14ac:dyDescent="0.25">
      <c r="A33" s="74">
        <v>31</v>
      </c>
      <c r="B33" s="79">
        <v>122.58</v>
      </c>
      <c r="C33" s="79">
        <v>91844.53</v>
      </c>
      <c r="D33" s="75">
        <f t="shared" si="0"/>
        <v>127.88667914090468</v>
      </c>
      <c r="E33" s="109">
        <f t="shared" si="1"/>
        <v>-5.3066791409046772</v>
      </c>
      <c r="F33" s="75">
        <f t="shared" si="2"/>
        <v>4.3291557683999651</v>
      </c>
      <c r="G33" s="74">
        <f t="shared" si="3"/>
        <v>28.160843504512801</v>
      </c>
      <c r="H33" s="86">
        <f t="shared" si="4"/>
        <v>1.6988865053572937</v>
      </c>
      <c r="I33" s="86"/>
      <c r="J33" s="108">
        <v>0.61073294935988542</v>
      </c>
      <c r="K33" s="74">
        <f t="shared" si="6"/>
        <v>0.50847457627118642</v>
      </c>
      <c r="L33" s="74">
        <f t="shared" si="5"/>
        <v>2.1244210365719055E-2</v>
      </c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</row>
    <row r="34" spans="1:33" x14ac:dyDescent="0.25">
      <c r="A34" s="74">
        <v>32</v>
      </c>
      <c r="B34" s="79">
        <v>128.16</v>
      </c>
      <c r="C34" s="79">
        <v>95474.23</v>
      </c>
      <c r="D34" s="75">
        <f t="shared" si="0"/>
        <v>131.76779263554738</v>
      </c>
      <c r="E34" s="109">
        <f t="shared" si="1"/>
        <v>-3.6077926355473835</v>
      </c>
      <c r="F34" s="75">
        <f t="shared" si="2"/>
        <v>2.8150691600713045</v>
      </c>
      <c r="G34" s="74">
        <f t="shared" si="3"/>
        <v>13.016167701109936</v>
      </c>
      <c r="H34" s="86">
        <f t="shared" si="4"/>
        <v>1.5572358153059724</v>
      </c>
      <c r="I34" s="86"/>
      <c r="J34" s="108">
        <v>0.64581251568026232</v>
      </c>
      <c r="K34" s="74">
        <f t="shared" si="6"/>
        <v>0.52542372881355937</v>
      </c>
      <c r="L34" s="74">
        <f t="shared" si="5"/>
        <v>6.3771034557630793E-2</v>
      </c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</row>
    <row r="35" spans="1:33" x14ac:dyDescent="0.25">
      <c r="A35" s="74">
        <v>33</v>
      </c>
      <c r="B35" s="79">
        <v>132.86000000000001</v>
      </c>
      <c r="C35" s="79">
        <v>98413.41</v>
      </c>
      <c r="D35" s="75">
        <f t="shared" si="0"/>
        <v>134.91055682024142</v>
      </c>
      <c r="E35" s="109">
        <f t="shared" si="1"/>
        <v>-2.0505568202414111</v>
      </c>
      <c r="F35" s="75">
        <f t="shared" si="2"/>
        <v>1.5433966733715272</v>
      </c>
      <c r="G35" s="74">
        <f t="shared" si="3"/>
        <v>4.2047832730385668</v>
      </c>
      <c r="H35" s="86">
        <f t="shared" si="4"/>
        <v>-8.2829728499319799E-2</v>
      </c>
      <c r="I35" s="86"/>
      <c r="J35" s="108">
        <v>0.68195214296252971</v>
      </c>
      <c r="K35" s="74">
        <f t="shared" si="6"/>
        <v>0.5423728813559322</v>
      </c>
      <c r="L35" s="74">
        <f t="shared" si="5"/>
        <v>0.1064135569156504</v>
      </c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</row>
    <row r="36" spans="1:33" x14ac:dyDescent="0.25">
      <c r="A36" s="74">
        <v>34</v>
      </c>
      <c r="B36" s="79">
        <v>134.91999999999999</v>
      </c>
      <c r="C36" s="79">
        <v>100417.43</v>
      </c>
      <c r="D36" s="75">
        <f t="shared" si="0"/>
        <v>137.05338654874072</v>
      </c>
      <c r="E36" s="109">
        <f t="shared" si="1"/>
        <v>-2.1333865487407309</v>
      </c>
      <c r="F36" s="75">
        <f t="shared" si="2"/>
        <v>1.5812233536471474</v>
      </c>
      <c r="G36" s="74">
        <f t="shared" si="3"/>
        <v>4.5513381663478869</v>
      </c>
      <c r="H36" s="86">
        <f t="shared" si="4"/>
        <v>3.0634167748875996</v>
      </c>
      <c r="I36" s="86"/>
      <c r="J36" s="108">
        <v>0.81994902234798417</v>
      </c>
      <c r="K36" s="74">
        <f t="shared" si="6"/>
        <v>0.55932203389830504</v>
      </c>
      <c r="L36" s="74">
        <f t="shared" ref="L36:L61" si="7">_xlfn.NORM.S.INV(K36)</f>
        <v>0.14925055165580298</v>
      </c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</row>
    <row r="37" spans="1:33" x14ac:dyDescent="0.25">
      <c r="A37" s="74">
        <v>35</v>
      </c>
      <c r="B37" s="79">
        <v>135.69999999999999</v>
      </c>
      <c r="C37" s="79">
        <v>98281.93</v>
      </c>
      <c r="D37" s="75">
        <f t="shared" si="0"/>
        <v>134.76996977385312</v>
      </c>
      <c r="E37" s="110">
        <f t="shared" si="1"/>
        <v>0.9300302261468687</v>
      </c>
      <c r="F37" s="75">
        <f t="shared" si="2"/>
        <v>0.68535757269481856</v>
      </c>
      <c r="G37" s="74">
        <f t="shared" si="3"/>
        <v>0.86495622154679574</v>
      </c>
      <c r="H37" s="86">
        <f t="shared" si="4"/>
        <v>1.7899478708946788</v>
      </c>
      <c r="I37" s="86"/>
      <c r="J37" s="108">
        <v>0.9300302261468687</v>
      </c>
      <c r="K37" s="74">
        <f t="shared" si="6"/>
        <v>0.57627118644067798</v>
      </c>
      <c r="L37" s="74">
        <f t="shared" si="7"/>
        <v>0.19236331372250978</v>
      </c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</row>
    <row r="38" spans="1:33" x14ac:dyDescent="0.25">
      <c r="A38" s="74">
        <v>36</v>
      </c>
      <c r="B38" s="79">
        <v>136.13999999999999</v>
      </c>
      <c r="C38" s="79">
        <v>97019.43</v>
      </c>
      <c r="D38" s="75">
        <f t="shared" si="0"/>
        <v>133.42002190295844</v>
      </c>
      <c r="E38" s="110">
        <f t="shared" si="1"/>
        <v>2.7199780970415475</v>
      </c>
      <c r="F38" s="75">
        <f t="shared" si="2"/>
        <v>1.9979272051135213</v>
      </c>
      <c r="G38" s="74">
        <f t="shared" si="3"/>
        <v>7.3982808483857578</v>
      </c>
      <c r="H38" s="86">
        <f t="shared" si="4"/>
        <v>2.5120978424552618</v>
      </c>
      <c r="I38" s="86"/>
      <c r="J38" s="108">
        <v>0.94215934525766443</v>
      </c>
      <c r="K38" s="74">
        <f t="shared" si="6"/>
        <v>0.59322033898305082</v>
      </c>
      <c r="L38" s="74">
        <f t="shared" si="7"/>
        <v>0.23583678601109134</v>
      </c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</row>
    <row r="39" spans="1:33" x14ac:dyDescent="0.25">
      <c r="A39" s="74">
        <v>37</v>
      </c>
      <c r="B39" s="79">
        <v>140.15</v>
      </c>
      <c r="C39" s="79">
        <v>98420.3</v>
      </c>
      <c r="D39" s="75">
        <f t="shared" si="0"/>
        <v>134.9179240605032</v>
      </c>
      <c r="E39" s="110">
        <f t="shared" si="1"/>
        <v>5.2320759394968093</v>
      </c>
      <c r="F39" s="75">
        <f t="shared" si="2"/>
        <v>3.7331972454490256</v>
      </c>
      <c r="G39" s="74">
        <f t="shared" si="3"/>
        <v>27.37461863666142</v>
      </c>
      <c r="H39" s="86">
        <f t="shared" si="4"/>
        <v>0.58360168156059444</v>
      </c>
      <c r="I39" s="86"/>
      <c r="J39" s="108">
        <v>1.0019961267954614</v>
      </c>
      <c r="K39" s="74">
        <f t="shared" si="6"/>
        <v>0.61016949152542377</v>
      </c>
      <c r="L39" s="74">
        <f t="shared" si="7"/>
        <v>0.27976081477122983</v>
      </c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</row>
    <row r="40" spans="1:33" x14ac:dyDescent="0.25">
      <c r="A40" s="74">
        <v>38</v>
      </c>
      <c r="B40" s="79">
        <v>140.09</v>
      </c>
      <c r="C40" s="79">
        <v>97818.39</v>
      </c>
      <c r="D40" s="75">
        <f t="shared" si="0"/>
        <v>134.2743223789426</v>
      </c>
      <c r="E40" s="110">
        <f t="shared" si="1"/>
        <v>5.8156776210574037</v>
      </c>
      <c r="F40" s="75">
        <f t="shared" si="2"/>
        <v>4.1513866950227731</v>
      </c>
      <c r="G40" s="74">
        <f t="shared" si="3"/>
        <v>33.822106192067899</v>
      </c>
      <c r="H40" s="86">
        <f t="shared" si="4"/>
        <v>0.45842723636746996</v>
      </c>
      <c r="I40" s="86"/>
      <c r="J40" s="108">
        <v>1.0719522319076447</v>
      </c>
      <c r="K40" s="74">
        <f t="shared" si="6"/>
        <v>0.6271186440677966</v>
      </c>
      <c r="L40" s="74">
        <f t="shared" si="7"/>
        <v>0.32423158413730258</v>
      </c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</row>
    <row r="41" spans="1:33" x14ac:dyDescent="0.25">
      <c r="A41" s="74">
        <v>39</v>
      </c>
      <c r="B41" s="79">
        <v>139.1</v>
      </c>
      <c r="C41" s="79">
        <v>96463.79</v>
      </c>
      <c r="D41" s="75">
        <f t="shared" si="0"/>
        <v>132.82589514257512</v>
      </c>
      <c r="E41" s="110">
        <f t="shared" si="1"/>
        <v>6.2741048574248737</v>
      </c>
      <c r="F41" s="75">
        <f t="shared" si="2"/>
        <v>4.5104995380480757</v>
      </c>
      <c r="G41" s="74">
        <f t="shared" si="3"/>
        <v>39.364391761962395</v>
      </c>
      <c r="H41" s="86">
        <f t="shared" si="4"/>
        <v>-2.8068694355644368</v>
      </c>
      <c r="I41" s="86"/>
      <c r="J41" s="108">
        <v>1.2372616262214535</v>
      </c>
      <c r="K41" s="74">
        <f t="shared" si="6"/>
        <v>0.64406779661016944</v>
      </c>
      <c r="L41" s="74">
        <f t="shared" si="7"/>
        <v>0.36935329360674291</v>
      </c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</row>
    <row r="42" spans="1:33" x14ac:dyDescent="0.25">
      <c r="A42" s="74">
        <v>40</v>
      </c>
      <c r="B42" s="79">
        <v>137.5</v>
      </c>
      <c r="C42" s="79">
        <v>97592.48</v>
      </c>
      <c r="D42" s="75">
        <f t="shared" si="0"/>
        <v>134.03276457813956</v>
      </c>
      <c r="E42" s="110">
        <f t="shared" si="1"/>
        <v>3.4672354218604369</v>
      </c>
      <c r="F42" s="75">
        <f t="shared" si="2"/>
        <v>2.5216257613530453</v>
      </c>
      <c r="G42" s="74">
        <f t="shared" si="3"/>
        <v>12.021721470603721</v>
      </c>
      <c r="H42" s="86">
        <f t="shared" si="4"/>
        <v>0.39212602365930138</v>
      </c>
      <c r="I42" s="86"/>
      <c r="J42" s="108">
        <v>1.5024726671493482</v>
      </c>
      <c r="K42" s="74">
        <f t="shared" si="6"/>
        <v>0.66101694915254239</v>
      </c>
      <c r="L42" s="74">
        <f t="shared" si="7"/>
        <v>0.4152401608260714</v>
      </c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</row>
    <row r="43" spans="1:33" x14ac:dyDescent="0.25">
      <c r="A43" s="74">
        <v>41</v>
      </c>
      <c r="B43" s="79">
        <v>136.12</v>
      </c>
      <c r="C43" s="79">
        <v>95935.15</v>
      </c>
      <c r="D43" s="75">
        <f t="shared" si="0"/>
        <v>132.26063855448027</v>
      </c>
      <c r="E43" s="110">
        <f t="shared" si="1"/>
        <v>3.8593614455197383</v>
      </c>
      <c r="F43" s="75">
        <f t="shared" si="2"/>
        <v>2.8352640651775918</v>
      </c>
      <c r="G43" s="74">
        <f t="shared" si="3"/>
        <v>14.894670767164204</v>
      </c>
      <c r="H43" s="86">
        <f t="shared" si="4"/>
        <v>8.7103268510986709E-2</v>
      </c>
      <c r="I43" s="86"/>
      <c r="J43" s="108">
        <v>1.8489417098764704</v>
      </c>
      <c r="K43" s="74">
        <f t="shared" si="6"/>
        <v>0.67796610169491522</v>
      </c>
      <c r="L43" s="74">
        <f t="shared" si="7"/>
        <v>0.46201885864912062</v>
      </c>
      <c r="O43" s="74" t="s">
        <v>634</v>
      </c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</row>
    <row r="44" spans="1:33" x14ac:dyDescent="0.25">
      <c r="A44" s="74">
        <v>42</v>
      </c>
      <c r="B44" s="79">
        <v>135.22</v>
      </c>
      <c r="C44" s="79">
        <v>95011.99</v>
      </c>
      <c r="D44" s="75">
        <f t="shared" si="0"/>
        <v>131.27353528596927</v>
      </c>
      <c r="E44" s="110">
        <f t="shared" si="1"/>
        <v>3.946464714030725</v>
      </c>
      <c r="F44" s="75">
        <f t="shared" si="2"/>
        <v>2.9185510383306648</v>
      </c>
      <c r="G44" s="74">
        <f t="shared" si="3"/>
        <v>15.574583739089611</v>
      </c>
      <c r="H44" s="86">
        <f t="shared" si="4"/>
        <v>-1.9763327033165865</v>
      </c>
      <c r="I44" s="86"/>
      <c r="J44" s="108">
        <v>1.9701320107141385</v>
      </c>
      <c r="K44" s="74">
        <f t="shared" si="6"/>
        <v>0.69491525423728817</v>
      </c>
      <c r="L44" s="74">
        <f t="shared" si="7"/>
        <v>0.50983153383249047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</row>
    <row r="45" spans="1:33" x14ac:dyDescent="0.25">
      <c r="A45" s="74">
        <v>43</v>
      </c>
      <c r="B45" s="79">
        <v>134.72999999999999</v>
      </c>
      <c r="C45" s="79">
        <v>96402.04</v>
      </c>
      <c r="D45" s="75">
        <f t="shared" si="0"/>
        <v>132.75986798928585</v>
      </c>
      <c r="E45" s="110">
        <f t="shared" si="1"/>
        <v>1.9701320107141385</v>
      </c>
      <c r="F45" s="75">
        <f t="shared" si="2"/>
        <v>1.4622816081898158</v>
      </c>
      <c r="G45" s="74">
        <f t="shared" si="3"/>
        <v>3.8814201396405341</v>
      </c>
      <c r="H45" s="86">
        <f t="shared" si="4"/>
        <v>0.10230173211530769</v>
      </c>
      <c r="I45" s="86"/>
      <c r="J45" s="108">
        <v>2.0724337428294461</v>
      </c>
      <c r="K45" s="74">
        <f t="shared" si="6"/>
        <v>0.71186440677966101</v>
      </c>
      <c r="L45" s="74">
        <f t="shared" si="7"/>
        <v>0.55883961079677569</v>
      </c>
      <c r="O45" s="76">
        <f t="array" ref="O45:P49">LINEST(E5:E61,E4:E60,1,1)</f>
        <v>0.83738348500750803</v>
      </c>
      <c r="P45" s="76">
        <v>5.7085702941112162E-2</v>
      </c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</row>
    <row r="46" spans="1:33" x14ac:dyDescent="0.25">
      <c r="A46" s="74">
        <v>44</v>
      </c>
      <c r="B46" s="79">
        <v>134.38999999999999</v>
      </c>
      <c r="C46" s="79">
        <v>95988.39</v>
      </c>
      <c r="D46" s="75">
        <f t="shared" si="0"/>
        <v>132.31756625717054</v>
      </c>
      <c r="E46" s="110">
        <f t="shared" si="1"/>
        <v>2.0724337428294461</v>
      </c>
      <c r="F46" s="75">
        <f t="shared" si="2"/>
        <v>1.5421041318769599</v>
      </c>
      <c r="G46" s="74">
        <f t="shared" si="3"/>
        <v>4.2949816184180669</v>
      </c>
      <c r="H46" s="86">
        <f t="shared" si="4"/>
        <v>1.2005250075051208</v>
      </c>
      <c r="I46" s="86"/>
      <c r="J46" s="108">
        <v>2.1946074266725759</v>
      </c>
      <c r="K46" s="74">
        <f t="shared" si="6"/>
        <v>0.72881355932203384</v>
      </c>
      <c r="L46" s="74">
        <f t="shared" si="7"/>
        <v>0.60922866701399803</v>
      </c>
      <c r="O46" s="76">
        <v>7.2005598072100566E-2</v>
      </c>
      <c r="P46" s="76">
        <v>0.23026481577701893</v>
      </c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</row>
    <row r="47" spans="1:33" x14ac:dyDescent="0.25">
      <c r="A47" s="74">
        <v>45</v>
      </c>
      <c r="B47" s="79">
        <v>134.51</v>
      </c>
      <c r="C47" s="79">
        <v>94977.86</v>
      </c>
      <c r="D47" s="75">
        <f t="shared" si="0"/>
        <v>131.23704124966542</v>
      </c>
      <c r="E47" s="110">
        <f t="shared" si="1"/>
        <v>3.272958750334567</v>
      </c>
      <c r="F47" s="75">
        <f t="shared" si="2"/>
        <v>2.4332456697156846</v>
      </c>
      <c r="G47" s="74">
        <f t="shared" si="3"/>
        <v>10.71225898139161</v>
      </c>
      <c r="H47" s="86">
        <f t="shared" si="4"/>
        <v>-1.4240170404580965</v>
      </c>
      <c r="I47" s="86"/>
      <c r="J47" s="108">
        <v>2.3976965009690758</v>
      </c>
      <c r="K47" s="74">
        <f t="shared" si="6"/>
        <v>0.74576271186440679</v>
      </c>
      <c r="L47" s="74">
        <f t="shared" si="7"/>
        <v>0.66121479220131485</v>
      </c>
      <c r="O47" s="76">
        <v>0.71089675689520793</v>
      </c>
      <c r="P47" s="76">
        <v>1.7381992212727801</v>
      </c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</row>
    <row r="48" spans="1:33" x14ac:dyDescent="0.25">
      <c r="A48" s="74">
        <v>46</v>
      </c>
      <c r="B48" s="79">
        <v>134.46</v>
      </c>
      <c r="C48" s="79">
        <v>96262.87</v>
      </c>
      <c r="D48" s="75">
        <f t="shared" si="0"/>
        <v>132.61105829012354</v>
      </c>
      <c r="E48" s="110">
        <f t="shared" si="1"/>
        <v>1.8489417098764704</v>
      </c>
      <c r="F48" s="75">
        <f t="shared" si="2"/>
        <v>1.375086798956173</v>
      </c>
      <c r="G48" s="74">
        <f t="shared" si="3"/>
        <v>3.4185854465209262</v>
      </c>
      <c r="H48" s="86">
        <f t="shared" si="4"/>
        <v>-1.2031291941962081</v>
      </c>
      <c r="I48" s="86"/>
      <c r="J48" s="108">
        <v>2.5024322635944856</v>
      </c>
      <c r="K48" s="74">
        <f t="shared" si="6"/>
        <v>0.76271186440677963</v>
      </c>
      <c r="L48" s="74">
        <f t="shared" si="7"/>
        <v>0.71505303754992222</v>
      </c>
      <c r="O48" s="76">
        <v>135.24345562275136</v>
      </c>
      <c r="P48" s="76">
        <v>55</v>
      </c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</row>
    <row r="49" spans="1:33" x14ac:dyDescent="0.25">
      <c r="A49" s="74">
        <v>47</v>
      </c>
      <c r="B49" s="79">
        <v>134.27000000000001</v>
      </c>
      <c r="C49" s="79">
        <v>97210.37</v>
      </c>
      <c r="D49" s="75">
        <f t="shared" si="0"/>
        <v>133.62418748431975</v>
      </c>
      <c r="E49" s="110">
        <f t="shared" si="1"/>
        <v>0.64581251568026232</v>
      </c>
      <c r="F49" s="75">
        <f t="shared" si="2"/>
        <v>0.48098049875643278</v>
      </c>
      <c r="G49" s="74">
        <f t="shared" si="3"/>
        <v>0.41707380540926908</v>
      </c>
      <c r="H49" s="86">
        <f t="shared" si="4"/>
        <v>0.35618361111519903</v>
      </c>
      <c r="I49" s="86"/>
      <c r="J49" s="108">
        <v>2.6299331163772024</v>
      </c>
      <c r="K49" s="74">
        <f t="shared" si="6"/>
        <v>0.77966101694915257</v>
      </c>
      <c r="L49" s="74">
        <f t="shared" si="7"/>
        <v>0.77104886863964417</v>
      </c>
      <c r="O49" s="76">
        <v>408.61599329963769</v>
      </c>
      <c r="P49" s="76">
        <v>166.17350930583146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</row>
    <row r="50" spans="1:33" x14ac:dyDescent="0.25">
      <c r="A50" s="74">
        <v>48</v>
      </c>
      <c r="B50" s="79">
        <v>133.72999999999999</v>
      </c>
      <c r="C50" s="79">
        <v>96372.24</v>
      </c>
      <c r="D50" s="75">
        <f t="shared" si="0"/>
        <v>132.72800387320453</v>
      </c>
      <c r="E50" s="110">
        <f t="shared" si="1"/>
        <v>1.0019961267954614</v>
      </c>
      <c r="F50" s="75">
        <f t="shared" si="2"/>
        <v>0.74926802272897741</v>
      </c>
      <c r="G50" s="74">
        <f t="shared" si="3"/>
        <v>1.0039962381131062</v>
      </c>
      <c r="H50" s="86">
        <f t="shared" si="4"/>
        <v>-5.9836781537796924E-2</v>
      </c>
      <c r="I50" s="86"/>
      <c r="J50" s="108">
        <v>2.7199780970415475</v>
      </c>
      <c r="K50" s="74">
        <f t="shared" si="6"/>
        <v>0.79661016949152541</v>
      </c>
      <c r="L50" s="74">
        <f t="shared" si="7"/>
        <v>0.82957403698182763</v>
      </c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</row>
    <row r="51" spans="1:33" x14ac:dyDescent="0.25">
      <c r="A51" s="74">
        <v>49</v>
      </c>
      <c r="B51" s="79">
        <v>132.01</v>
      </c>
      <c r="C51" s="79">
        <v>94819.62</v>
      </c>
      <c r="D51" s="75">
        <f t="shared" si="0"/>
        <v>131.06784065474233</v>
      </c>
      <c r="E51" s="110">
        <f t="shared" si="1"/>
        <v>0.94215934525766443</v>
      </c>
      <c r="F51" s="75">
        <f t="shared" si="2"/>
        <v>0.71370301133070568</v>
      </c>
      <c r="G51" s="74">
        <f t="shared" si="3"/>
        <v>0.8876642318563509</v>
      </c>
      <c r="H51" s="86">
        <f t="shared" si="4"/>
        <v>-1.2714362319349846</v>
      </c>
      <c r="I51" s="86"/>
      <c r="J51" s="108">
        <v>3.272958750334567</v>
      </c>
      <c r="K51" s="74">
        <f t="shared" si="6"/>
        <v>0.81355932203389836</v>
      </c>
      <c r="L51" s="74">
        <f t="shared" si="7"/>
        <v>0.89108913003410994</v>
      </c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</row>
    <row r="52" spans="1:33" x14ac:dyDescent="0.25">
      <c r="A52" s="74">
        <v>50</v>
      </c>
      <c r="B52" s="79">
        <v>130.59</v>
      </c>
      <c r="C52" s="79">
        <v>94680.68</v>
      </c>
      <c r="D52" s="75">
        <f t="shared" si="0"/>
        <v>130.91927688667732</v>
      </c>
      <c r="E52" s="109">
        <f t="shared" si="1"/>
        <v>-0.32927688667732014</v>
      </c>
      <c r="F52" s="75">
        <f t="shared" si="2"/>
        <v>0.2521455599029942</v>
      </c>
      <c r="G52" s="74">
        <f t="shared" si="3"/>
        <v>0.10842326809990872</v>
      </c>
      <c r="H52" s="86">
        <f t="shared" si="4"/>
        <v>-1.4854116404264346</v>
      </c>
      <c r="I52" s="86"/>
      <c r="J52" s="108">
        <v>3.4672354218604369</v>
      </c>
      <c r="K52" s="74">
        <f t="shared" si="6"/>
        <v>0.83050847457627119</v>
      </c>
      <c r="L52" s="74">
        <f t="shared" si="7"/>
        <v>0.95617653892006238</v>
      </c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</row>
    <row r="53" spans="1:33" x14ac:dyDescent="0.25">
      <c r="A53" s="74">
        <v>51</v>
      </c>
      <c r="B53" s="79">
        <v>130.28</v>
      </c>
      <c r="C53" s="79">
        <v>95779.95</v>
      </c>
      <c r="D53" s="75">
        <f t="shared" si="0"/>
        <v>132.09468852710376</v>
      </c>
      <c r="E53" s="109">
        <f t="shared" si="1"/>
        <v>-1.8146885271037547</v>
      </c>
      <c r="F53" s="75">
        <f t="shared" si="2"/>
        <v>1.3929141288791484</v>
      </c>
      <c r="G53" s="74">
        <f t="shared" si="3"/>
        <v>3.2930944504019948</v>
      </c>
      <c r="H53" s="86">
        <f t="shared" si="4"/>
        <v>-0.14867909234004628</v>
      </c>
      <c r="I53" s="86"/>
      <c r="J53" s="108">
        <v>3.5751002135732222</v>
      </c>
      <c r="K53" s="74">
        <f t="shared" si="6"/>
        <v>0.84745762711864403</v>
      </c>
      <c r="L53" s="74">
        <f t="shared" si="7"/>
        <v>1.0255902911278738</v>
      </c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</row>
    <row r="54" spans="1:33" x14ac:dyDescent="0.25">
      <c r="A54" s="74">
        <v>52</v>
      </c>
      <c r="B54" s="79">
        <v>129.16</v>
      </c>
      <c r="C54" s="79">
        <v>94871.55</v>
      </c>
      <c r="D54" s="75">
        <f t="shared" si="0"/>
        <v>131.1233676194438</v>
      </c>
      <c r="E54" s="109">
        <f t="shared" si="1"/>
        <v>-1.963367619443801</v>
      </c>
      <c r="F54" s="75">
        <f t="shared" si="2"/>
        <v>1.5201050011178392</v>
      </c>
      <c r="G54" s="74">
        <f t="shared" si="3"/>
        <v>3.8548124090804183</v>
      </c>
      <c r="H54" s="86">
        <f t="shared" si="4"/>
        <v>-1.143150490563869</v>
      </c>
      <c r="I54" s="86"/>
      <c r="J54" s="108">
        <v>3.8593614455197383</v>
      </c>
      <c r="K54" s="74">
        <f t="shared" si="6"/>
        <v>0.86440677966101698</v>
      </c>
      <c r="L54" s="74">
        <f t="shared" si="7"/>
        <v>1.1003344194590818</v>
      </c>
    </row>
    <row r="55" spans="1:33" x14ac:dyDescent="0.25">
      <c r="A55" s="74">
        <v>53</v>
      </c>
      <c r="B55" s="79">
        <v>128.94</v>
      </c>
      <c r="C55" s="79">
        <v>95734.9</v>
      </c>
      <c r="D55" s="75">
        <f t="shared" si="0"/>
        <v>132.04651811000767</v>
      </c>
      <c r="E55" s="109">
        <f t="shared" si="1"/>
        <v>-3.10651811000767</v>
      </c>
      <c r="F55" s="75">
        <f t="shared" si="2"/>
        <v>2.4092741662848378</v>
      </c>
      <c r="G55" s="74">
        <f t="shared" si="3"/>
        <v>9.6504547678056252</v>
      </c>
      <c r="H55" s="86">
        <f t="shared" si="4"/>
        <v>0.26140301530679722</v>
      </c>
      <c r="I55" s="86"/>
      <c r="J55" s="108">
        <v>3.946464714030725</v>
      </c>
      <c r="K55" s="74">
        <f t="shared" si="6"/>
        <v>0.88135593220338981</v>
      </c>
      <c r="L55" s="74">
        <f t="shared" si="7"/>
        <v>1.1817922703491182</v>
      </c>
    </row>
    <row r="56" spans="1:33" x14ac:dyDescent="0.25">
      <c r="A56" s="74">
        <v>54</v>
      </c>
      <c r="B56" s="79">
        <v>129.30000000000001</v>
      </c>
      <c r="C56" s="79">
        <v>95827.11</v>
      </c>
      <c r="D56" s="75">
        <f t="shared" si="0"/>
        <v>132.14511509470088</v>
      </c>
      <c r="E56" s="109">
        <f t="shared" si="1"/>
        <v>-2.8451150947008728</v>
      </c>
      <c r="F56" s="75">
        <f t="shared" si="2"/>
        <v>2.2003983717717497</v>
      </c>
      <c r="G56" s="74">
        <f t="shared" si="3"/>
        <v>8.0946799020947555</v>
      </c>
      <c r="H56" s="86">
        <f t="shared" si="4"/>
        <v>1.426095508083165</v>
      </c>
      <c r="I56" s="86"/>
      <c r="J56" s="108">
        <v>4.042386627482415</v>
      </c>
      <c r="K56" s="74">
        <f t="shared" si="6"/>
        <v>0.89830508474576276</v>
      </c>
      <c r="L56" s="74">
        <f t="shared" si="7"/>
        <v>1.2719529676842083</v>
      </c>
    </row>
    <row r="57" spans="1:33" x14ac:dyDescent="0.25">
      <c r="A57" s="74">
        <v>55</v>
      </c>
      <c r="B57" s="79">
        <v>131.22</v>
      </c>
      <c r="C57" s="79">
        <v>96289.02</v>
      </c>
      <c r="D57" s="75">
        <f t="shared" si="0"/>
        <v>132.63901958661771</v>
      </c>
      <c r="E57" s="109">
        <f t="shared" si="1"/>
        <v>-1.4190195866177078</v>
      </c>
      <c r="F57" s="75">
        <f t="shared" si="2"/>
        <v>1.0814049585563998</v>
      </c>
      <c r="G57" s="74">
        <f t="shared" si="3"/>
        <v>2.0136165872046901</v>
      </c>
      <c r="H57" s="86">
        <f t="shared" si="4"/>
        <v>-1.11590948037869</v>
      </c>
      <c r="I57" s="86"/>
      <c r="J57" s="108">
        <v>4.8321162869384864</v>
      </c>
      <c r="K57" s="74">
        <f t="shared" si="6"/>
        <v>0.9152542372881356</v>
      </c>
      <c r="L57" s="74">
        <f t="shared" si="7"/>
        <v>1.3738394673770855</v>
      </c>
    </row>
    <row r="58" spans="1:33" x14ac:dyDescent="0.25">
      <c r="A58" s="74">
        <v>56</v>
      </c>
      <c r="B58" s="79">
        <v>132.52000000000001</v>
      </c>
      <c r="C58" s="79">
        <v>98548.43</v>
      </c>
      <c r="D58" s="75">
        <f t="shared" si="0"/>
        <v>135.05492906699641</v>
      </c>
      <c r="E58" s="109">
        <f t="shared" si="1"/>
        <v>-2.5349290669963978</v>
      </c>
      <c r="F58" s="75">
        <f t="shared" si="2"/>
        <v>1.9128652784458176</v>
      </c>
      <c r="G58" s="74">
        <f t="shared" si="3"/>
        <v>6.4258653747032275</v>
      </c>
      <c r="H58" s="86">
        <f t="shared" si="4"/>
        <v>-1.9785233276398912</v>
      </c>
      <c r="I58" s="86"/>
      <c r="J58" s="108">
        <v>5.2320759394968093</v>
      </c>
      <c r="K58" s="74">
        <f t="shared" si="6"/>
        <v>0.93220338983050843</v>
      </c>
      <c r="L58" s="74">
        <f t="shared" si="7"/>
        <v>1.4924041783203592</v>
      </c>
    </row>
    <row r="59" spans="1:33" x14ac:dyDescent="0.25">
      <c r="A59" s="74">
        <v>57</v>
      </c>
      <c r="B59" s="79">
        <v>134.25</v>
      </c>
      <c r="C59" s="79">
        <v>102016.72</v>
      </c>
      <c r="D59" s="75">
        <f t="shared" si="0"/>
        <v>138.76345239463629</v>
      </c>
      <c r="E59" s="109">
        <f t="shared" si="1"/>
        <v>-4.513452394636289</v>
      </c>
      <c r="F59" s="75">
        <f t="shared" si="2"/>
        <v>3.3619757129506809</v>
      </c>
      <c r="G59" s="74">
        <f t="shared" si="3"/>
        <v>20.371252518648053</v>
      </c>
      <c r="H59" s="86">
        <f t="shared" si="4"/>
        <v>0.14312179331668062</v>
      </c>
      <c r="I59" s="86"/>
      <c r="J59" s="108">
        <v>5.4823434121312431</v>
      </c>
      <c r="K59" s="74">
        <f t="shared" si="6"/>
        <v>0.94915254237288138</v>
      </c>
      <c r="L59" s="74">
        <f t="shared" si="7"/>
        <v>1.6366916466733989</v>
      </c>
    </row>
    <row r="60" spans="1:33" x14ac:dyDescent="0.25">
      <c r="A60" s="74">
        <v>58</v>
      </c>
      <c r="B60" s="79">
        <v>136.06</v>
      </c>
      <c r="C60" s="79">
        <v>103575.62</v>
      </c>
      <c r="D60" s="75">
        <f t="shared" si="0"/>
        <v>140.43033060131961</v>
      </c>
      <c r="E60" s="109">
        <f t="shared" si="1"/>
        <v>-4.3703306013196084</v>
      </c>
      <c r="F60" s="75">
        <f t="shared" si="2"/>
        <v>3.2120612974567164</v>
      </c>
      <c r="G60" s="74">
        <f t="shared" si="3"/>
        <v>19.099789564830608</v>
      </c>
      <c r="H60" s="86"/>
      <c r="I60" s="86"/>
      <c r="J60" s="108">
        <v>5.8156776210574037</v>
      </c>
      <c r="K60" s="74">
        <f t="shared" si="6"/>
        <v>0.96610169491525422</v>
      </c>
      <c r="L60" s="74">
        <f t="shared" si="7"/>
        <v>1.8263562979439059</v>
      </c>
    </row>
    <row r="61" spans="1:33" x14ac:dyDescent="0.25">
      <c r="A61" t="s">
        <v>76</v>
      </c>
      <c r="B61" s="86">
        <f t="shared" ref="B61:H61" si="8">SUM(B3:B60)</f>
        <v>7013.130000000001</v>
      </c>
      <c r="C61" s="86">
        <f t="shared" si="8"/>
        <v>4948875.2100000009</v>
      </c>
      <c r="D61" s="86">
        <f t="shared" si="8"/>
        <v>7013.130000000001</v>
      </c>
      <c r="E61" s="86">
        <f t="shared" si="8"/>
        <v>4.5474735088646412E-13</v>
      </c>
      <c r="F61" s="86">
        <f t="shared" si="8"/>
        <v>129.83687979241466</v>
      </c>
      <c r="G61" s="86">
        <f t="shared" si="8"/>
        <v>592.91912167736632</v>
      </c>
      <c r="H61" s="86">
        <f t="shared" si="8"/>
        <v>-1.2057610420097262</v>
      </c>
      <c r="I61" s="86"/>
      <c r="J61" s="108">
        <v>6.2741048574248737</v>
      </c>
      <c r="K61" s="74">
        <f t="shared" si="6"/>
        <v>0.98305084745762716</v>
      </c>
      <c r="L61" s="74">
        <f t="shared" si="7"/>
        <v>2.1212793024540031</v>
      </c>
    </row>
    <row r="62" spans="1:33" x14ac:dyDescent="0.25">
      <c r="A62" t="s">
        <v>77</v>
      </c>
      <c r="B62" s="86">
        <f t="shared" ref="B62:H62" si="9">AVERAGE(B3:B60)</f>
        <v>120.91603448275863</v>
      </c>
      <c r="C62" s="86">
        <f t="shared" si="9"/>
        <v>85325.43465517243</v>
      </c>
      <c r="D62" s="86">
        <f t="shared" si="9"/>
        <v>120.91603448275863</v>
      </c>
      <c r="E62" s="86">
        <f t="shared" si="9"/>
        <v>7.8404715670080019E-15</v>
      </c>
      <c r="F62" s="86">
        <f t="shared" si="9"/>
        <v>2.2385668929726665</v>
      </c>
      <c r="G62" s="86">
        <f t="shared" si="9"/>
        <v>10.222743477195971</v>
      </c>
      <c r="H62" s="86">
        <f t="shared" si="9"/>
        <v>-2.1153702491398706E-2</v>
      </c>
    </row>
  </sheetData>
  <sortState ref="J4:J61">
    <sortCondition ref="J4:J61"/>
  </sortState>
  <mergeCells count="1">
    <mergeCell ref="J2:L2"/>
  </mergeCells>
  <hyperlinks>
    <hyperlink ref="Q23" location="'Y от Х1'!E62" display="2) Значение ячейки D63=0, т.е. средняя величина остатков равна 0 и не зависит от Xi."/>
    <hyperlink ref="Q26" location="'Y от Х1'!U27:AD46" display="5)Нанесенные на график проверки распределения на нормальность точки укладываются вдоль линии тренда,"/>
    <hyperlink ref="Q25" location="'Y от Х1'!P20" display="4) Коэффициент корреляции rɛiɛj  существенно отличен от 0, что говорит о наличии автокорреляции остатков."/>
    <hyperlink ref="Q24" location="'Y от Х1'!K28:T46" display="3) Наличие гомоскедастичности можно видеть на графике зависимости остатков ɛi от теоретических значений Ŷₓ. "/>
    <hyperlink ref="Q22" location="'Y от Х1'!K28:T46" display="1) Из графика зависимости случайных остатков ɛi от теоретического Ŷₓ видно, что остатки неслучайны.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6"/>
  <sheetViews>
    <sheetView workbookViewId="0">
      <selection activeCell="P13" sqref="P13"/>
    </sheetView>
  </sheetViews>
  <sheetFormatPr defaultRowHeight="15" x14ac:dyDescent="0.25"/>
  <cols>
    <col min="11" max="11" width="14" customWidth="1"/>
    <col min="12" max="12" width="13.5703125" customWidth="1"/>
    <col min="13" max="13" width="15.140625" customWidth="1"/>
  </cols>
  <sheetData>
    <row r="1" spans="1:37" x14ac:dyDescent="0.25">
      <c r="A1" s="135"/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</row>
    <row r="2" spans="1:37" x14ac:dyDescent="0.25">
      <c r="A2" s="135"/>
      <c r="B2" s="148">
        <v>1</v>
      </c>
      <c r="C2" s="148">
        <v>2</v>
      </c>
      <c r="D2" s="148">
        <v>3</v>
      </c>
      <c r="E2" s="148">
        <v>4</v>
      </c>
      <c r="F2" s="148">
        <v>5</v>
      </c>
      <c r="G2" s="148">
        <v>6</v>
      </c>
      <c r="H2" s="148">
        <v>7</v>
      </c>
      <c r="I2" s="135"/>
      <c r="J2" s="135"/>
      <c r="K2" s="208" t="s">
        <v>604</v>
      </c>
      <c r="L2" s="209"/>
      <c r="M2" s="210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</row>
    <row r="3" spans="1:37" ht="75" x14ac:dyDescent="0.25">
      <c r="A3" s="135"/>
      <c r="B3" s="44" t="s">
        <v>565</v>
      </c>
      <c r="C3" s="44" t="s">
        <v>69</v>
      </c>
      <c r="D3" s="70" t="s">
        <v>773</v>
      </c>
      <c r="E3" s="70" t="s">
        <v>576</v>
      </c>
      <c r="F3" s="70" t="s">
        <v>774</v>
      </c>
      <c r="G3" s="70" t="s">
        <v>775</v>
      </c>
      <c r="H3" s="70" t="s">
        <v>776</v>
      </c>
      <c r="I3" s="135"/>
      <c r="J3" s="135"/>
      <c r="K3" s="192" t="s">
        <v>632</v>
      </c>
      <c r="L3" s="193" t="s">
        <v>608</v>
      </c>
      <c r="M3" s="193" t="s">
        <v>609</v>
      </c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</row>
    <row r="4" spans="1:37" ht="18" x14ac:dyDescent="0.35">
      <c r="A4" s="135"/>
      <c r="B4" s="141">
        <v>102.32</v>
      </c>
      <c r="C4" s="190" t="s">
        <v>636</v>
      </c>
      <c r="D4" s="189" t="s">
        <v>636</v>
      </c>
      <c r="E4" s="189" t="s">
        <v>636</v>
      </c>
      <c r="F4" s="189" t="s">
        <v>636</v>
      </c>
      <c r="G4" s="189" t="s">
        <v>636</v>
      </c>
      <c r="H4" s="189" t="s">
        <v>636</v>
      </c>
      <c r="I4" s="135"/>
      <c r="J4" s="135"/>
      <c r="K4" s="135">
        <v>-2.5651389861244667</v>
      </c>
      <c r="L4" s="135">
        <f>A5/58</f>
        <v>1.7241379310344827E-2</v>
      </c>
      <c r="M4" s="135">
        <f t="shared" ref="M4:M35" si="0">_xlfn.NORM.S.INV(L4)</f>
        <v>-2.1143807715275607</v>
      </c>
      <c r="N4" s="135"/>
      <c r="O4" s="135" t="s">
        <v>610</v>
      </c>
      <c r="P4" s="135">
        <f>P21</f>
        <v>2252.7224803094255</v>
      </c>
      <c r="Q4" s="189" t="s">
        <v>580</v>
      </c>
      <c r="R4" s="135" t="s">
        <v>611</v>
      </c>
      <c r="S4" s="135">
        <f>_xlfn.F.INV.RT(0.05,1,54)</f>
        <v>4.0195409602054486</v>
      </c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</row>
    <row r="5" spans="1:37" ht="18" x14ac:dyDescent="0.35">
      <c r="A5" s="135">
        <v>1</v>
      </c>
      <c r="B5" s="140">
        <v>102.21</v>
      </c>
      <c r="C5" s="191">
        <f t="shared" ref="C5:C61" si="1">B4</f>
        <v>102.32</v>
      </c>
      <c r="D5" s="189">
        <f>$P$18*C5+$Q$18</f>
        <v>103.24526025720169</v>
      </c>
      <c r="E5" s="199">
        <f t="shared" ref="E5:E36" si="2">B5-D5</f>
        <v>-1.0352602572016991</v>
      </c>
      <c r="F5" s="195">
        <f t="shared" ref="F5:F36" si="3">ABS(E5/B5)*100</f>
        <v>1.0128757041402008</v>
      </c>
      <c r="G5" s="195">
        <f>E7*E7</f>
        <v>1.0571331296488478</v>
      </c>
      <c r="I5" s="135"/>
      <c r="J5" s="135"/>
      <c r="K5" s="135">
        <v>-2.3206729747299164</v>
      </c>
      <c r="L5" s="135">
        <f t="shared" ref="L5:L60" si="4">A6/58</f>
        <v>3.4482758620689655E-2</v>
      </c>
      <c r="M5" s="135">
        <f t="shared" si="0"/>
        <v>-1.8186455928500598</v>
      </c>
      <c r="N5" s="135"/>
      <c r="O5" s="135" t="s">
        <v>612</v>
      </c>
      <c r="P5" s="135">
        <f>Q18/Q19</f>
        <v>1.1099309745686676</v>
      </c>
      <c r="Q5" s="189" t="s">
        <v>580</v>
      </c>
      <c r="R5" s="135" t="s">
        <v>614</v>
      </c>
      <c r="S5" s="135">
        <f>_xlfn.T.INV.2T(0.05,54)</f>
        <v>2.0048792881880577</v>
      </c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</row>
    <row r="6" spans="1:37" ht="18" x14ac:dyDescent="0.35">
      <c r="A6" s="135">
        <v>2</v>
      </c>
      <c r="B6" s="140">
        <v>102.16</v>
      </c>
      <c r="C6" s="191">
        <f t="shared" si="1"/>
        <v>102.21</v>
      </c>
      <c r="D6" s="189">
        <f t="shared" ref="D6:D61" si="5">$P$18*C6+$Q$18</f>
        <v>103.13726056520649</v>
      </c>
      <c r="E6" s="200">
        <f t="shared" si="2"/>
        <v>-0.97726056520649252</v>
      </c>
      <c r="F6" s="135">
        <f t="shared" si="3"/>
        <v>0.95659804738301935</v>
      </c>
      <c r="G6" s="135">
        <f>E6*E6</f>
        <v>0.95503821230771324</v>
      </c>
      <c r="H6" s="195">
        <f t="shared" ref="H6:H37" si="6">(E6-E5)^2</f>
        <v>3.3639642715388332E-3</v>
      </c>
      <c r="I6" s="135"/>
      <c r="J6" s="135"/>
      <c r="K6" s="135">
        <v>-2.1598368831867276</v>
      </c>
      <c r="L6" s="135">
        <f t="shared" si="4"/>
        <v>5.1724137931034482E-2</v>
      </c>
      <c r="M6" s="135">
        <f t="shared" si="0"/>
        <v>-1.6283614067169063</v>
      </c>
      <c r="N6" s="135"/>
      <c r="O6" s="135" t="s">
        <v>613</v>
      </c>
      <c r="P6" s="135">
        <f>P18/P19</f>
        <v>47.462853689063287</v>
      </c>
      <c r="Q6" s="189" t="s">
        <v>580</v>
      </c>
      <c r="R6" s="135" t="s">
        <v>614</v>
      </c>
      <c r="S6" s="135">
        <f>_xlfn.T.INV.2T(0.05,54)</f>
        <v>2.0048792881880577</v>
      </c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</row>
    <row r="7" spans="1:37" x14ac:dyDescent="0.25">
      <c r="A7" s="135">
        <v>3</v>
      </c>
      <c r="B7" s="140">
        <v>102.06</v>
      </c>
      <c r="C7" s="191">
        <f t="shared" si="1"/>
        <v>102.16</v>
      </c>
      <c r="D7" s="189">
        <f t="shared" si="5"/>
        <v>103.08816979611777</v>
      </c>
      <c r="E7" s="200">
        <f t="shared" si="2"/>
        <v>-1.0281697961177656</v>
      </c>
      <c r="F7" s="135">
        <f t="shared" si="3"/>
        <v>1.0074170057983203</v>
      </c>
      <c r="G7" s="135">
        <f t="shared" ref="G7:G61" si="7">E7*E7</f>
        <v>1.0571331296488478</v>
      </c>
      <c r="H7" s="135">
        <f t="shared" si="6"/>
        <v>2.5917497919773231E-3</v>
      </c>
      <c r="I7" s="135"/>
      <c r="J7" s="135"/>
      <c r="K7" s="135">
        <v>-1.9368943163827907</v>
      </c>
      <c r="L7" s="135">
        <f t="shared" si="4"/>
        <v>6.8965517241379309E-2</v>
      </c>
      <c r="M7" s="135">
        <f t="shared" si="0"/>
        <v>-1.483539859401297</v>
      </c>
      <c r="N7" s="135"/>
      <c r="O7" s="135"/>
      <c r="P7" s="135"/>
      <c r="Q7" s="189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</row>
    <row r="8" spans="1:37" x14ac:dyDescent="0.25">
      <c r="A8" s="135">
        <v>4</v>
      </c>
      <c r="B8" s="140">
        <v>102.55</v>
      </c>
      <c r="C8" s="191">
        <f t="shared" si="1"/>
        <v>102.06</v>
      </c>
      <c r="D8" s="189">
        <f t="shared" si="5"/>
        <v>102.98998825794031</v>
      </c>
      <c r="E8" s="200">
        <f t="shared" si="2"/>
        <v>-0.43998825794031404</v>
      </c>
      <c r="F8" s="135">
        <f t="shared" si="3"/>
        <v>0.42904754552931645</v>
      </c>
      <c r="G8" s="135">
        <f t="shared" si="7"/>
        <v>0.19358966712535233</v>
      </c>
      <c r="H8" s="135">
        <f t="shared" si="6"/>
        <v>0.34595752185279288</v>
      </c>
      <c r="I8" s="135"/>
      <c r="J8" s="135"/>
      <c r="K8" s="135">
        <v>-1.8144241987222927</v>
      </c>
      <c r="L8" s="135">
        <f t="shared" si="4"/>
        <v>8.6206896551724144E-2</v>
      </c>
      <c r="M8" s="135">
        <f t="shared" si="0"/>
        <v>-1.3644887481703289</v>
      </c>
      <c r="N8" s="135"/>
      <c r="O8" s="135" t="s">
        <v>782</v>
      </c>
      <c r="P8" s="135"/>
      <c r="Q8" s="135"/>
      <c r="R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</row>
    <row r="9" spans="1:37" x14ac:dyDescent="0.25">
      <c r="A9" s="135">
        <v>5</v>
      </c>
      <c r="B9" s="140">
        <v>104.35</v>
      </c>
      <c r="C9" s="191">
        <f t="shared" si="1"/>
        <v>102.55</v>
      </c>
      <c r="D9" s="189">
        <f t="shared" si="5"/>
        <v>103.47107779500985</v>
      </c>
      <c r="E9" s="150">
        <f t="shared" si="2"/>
        <v>0.87892220499014684</v>
      </c>
      <c r="F9" s="135">
        <f t="shared" si="3"/>
        <v>0.84228289888849728</v>
      </c>
      <c r="G9" s="135">
        <f t="shared" si="7"/>
        <v>0.77250424242474169</v>
      </c>
      <c r="H9" s="135">
        <f t="shared" si="6"/>
        <v>1.7395248092274427</v>
      </c>
      <c r="I9" s="135"/>
      <c r="J9" s="135"/>
      <c r="K9" s="135">
        <v>-1.7306137254829821</v>
      </c>
      <c r="L9" s="135">
        <f t="shared" si="4"/>
        <v>0.10344827586206896</v>
      </c>
      <c r="M9" s="135">
        <f t="shared" si="0"/>
        <v>-1.2621451766228082</v>
      </c>
      <c r="N9" s="135"/>
      <c r="O9" s="135" t="s">
        <v>783</v>
      </c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</row>
    <row r="10" spans="1:37" ht="18" x14ac:dyDescent="0.35">
      <c r="A10" s="135">
        <v>6</v>
      </c>
      <c r="B10" s="140">
        <v>107.57</v>
      </c>
      <c r="C10" s="191">
        <f t="shared" si="1"/>
        <v>104.35</v>
      </c>
      <c r="D10" s="189">
        <f t="shared" si="5"/>
        <v>105.23834548220402</v>
      </c>
      <c r="E10" s="150">
        <f t="shared" si="2"/>
        <v>2.3316545177959682</v>
      </c>
      <c r="F10" s="135">
        <f t="shared" si="3"/>
        <v>2.1675695061782729</v>
      </c>
      <c r="G10" s="135">
        <f t="shared" si="7"/>
        <v>5.4366127903583488</v>
      </c>
      <c r="H10" s="135">
        <f t="shared" si="6"/>
        <v>2.1104311726701508</v>
      </c>
      <c r="I10" s="135"/>
      <c r="J10" s="135"/>
      <c r="K10" s="135">
        <v>-1.7033948810429536</v>
      </c>
      <c r="L10" s="135">
        <f t="shared" si="4"/>
        <v>0.1206896551724138</v>
      </c>
      <c r="M10" s="135">
        <f t="shared" si="0"/>
        <v>-1.1715461713027622</v>
      </c>
      <c r="N10" s="135"/>
      <c r="O10" s="68" t="s">
        <v>617</v>
      </c>
      <c r="P10" s="135">
        <f>P20</f>
        <v>0.97616697827867693</v>
      </c>
      <c r="Q10" s="135"/>
      <c r="R10" s="135"/>
      <c r="S10" s="66"/>
      <c r="T10" s="66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</row>
    <row r="11" spans="1:37" x14ac:dyDescent="0.25">
      <c r="A11" s="135">
        <v>7</v>
      </c>
      <c r="B11" s="140">
        <v>111.96</v>
      </c>
      <c r="C11" s="191">
        <f t="shared" si="1"/>
        <v>107.57</v>
      </c>
      <c r="D11" s="189">
        <f t="shared" si="5"/>
        <v>108.39979101151808</v>
      </c>
      <c r="E11" s="150">
        <f t="shared" si="2"/>
        <v>3.5602089884819179</v>
      </c>
      <c r="F11" s="135">
        <f t="shared" si="3"/>
        <v>3.1798937017523383</v>
      </c>
      <c r="G11" s="135">
        <f t="shared" si="7"/>
        <v>12.675088041667442</v>
      </c>
      <c r="H11" s="135">
        <f t="shared" si="6"/>
        <v>1.509346087442434</v>
      </c>
      <c r="I11" s="135"/>
      <c r="J11" s="135"/>
      <c r="K11" s="135">
        <v>-1.5562140365343282</v>
      </c>
      <c r="L11" s="135">
        <f t="shared" si="4"/>
        <v>0.13793103448275862</v>
      </c>
      <c r="M11" s="135">
        <f t="shared" si="0"/>
        <v>-1.0896619819461071</v>
      </c>
      <c r="N11" s="135"/>
      <c r="O11" s="135" t="s">
        <v>778</v>
      </c>
      <c r="P11" s="135"/>
      <c r="Q11" s="66"/>
      <c r="R11" s="66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  <c r="AK11" s="135"/>
    </row>
    <row r="12" spans="1:37" x14ac:dyDescent="0.25">
      <c r="A12" s="135">
        <v>8</v>
      </c>
      <c r="B12" s="140">
        <v>115.27</v>
      </c>
      <c r="C12" s="191">
        <f t="shared" si="1"/>
        <v>111.96</v>
      </c>
      <c r="D12" s="189">
        <f t="shared" si="5"/>
        <v>112.70996053750837</v>
      </c>
      <c r="E12" s="150">
        <f t="shared" si="2"/>
        <v>2.5600394624916305</v>
      </c>
      <c r="F12" s="135">
        <f t="shared" si="3"/>
        <v>2.2209069684147051</v>
      </c>
      <c r="G12" s="135">
        <f t="shared" si="7"/>
        <v>6.5538020495144362</v>
      </c>
      <c r="H12" s="135">
        <f t="shared" si="6"/>
        <v>1.0003390807196362</v>
      </c>
      <c r="I12" s="135"/>
      <c r="J12" s="135"/>
      <c r="K12" s="135">
        <v>-1.4300434207697066</v>
      </c>
      <c r="L12" s="135">
        <f t="shared" si="4"/>
        <v>0.15517241379310345</v>
      </c>
      <c r="M12" s="135">
        <f t="shared" si="0"/>
        <v>-1.014498745784099</v>
      </c>
      <c r="N12" s="135"/>
      <c r="O12" s="135" t="s">
        <v>618</v>
      </c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  <c r="AK12" s="135"/>
    </row>
    <row r="13" spans="1:37" x14ac:dyDescent="0.25">
      <c r="A13" s="135">
        <v>9</v>
      </c>
      <c r="B13" s="140">
        <v>117.17</v>
      </c>
      <c r="C13" s="191">
        <f t="shared" si="1"/>
        <v>115.27</v>
      </c>
      <c r="D13" s="189">
        <f t="shared" si="5"/>
        <v>115.95976945118213</v>
      </c>
      <c r="E13" s="150">
        <f t="shared" si="2"/>
        <v>1.2102305488178757</v>
      </c>
      <c r="F13" s="135">
        <f t="shared" si="3"/>
        <v>1.0328843123819031</v>
      </c>
      <c r="G13" s="135">
        <f t="shared" si="7"/>
        <v>1.4646579812920166</v>
      </c>
      <c r="H13" s="135">
        <f t="shared" si="6"/>
        <v>1.8219841034331219</v>
      </c>
      <c r="I13" s="135"/>
      <c r="J13" s="135"/>
      <c r="K13" s="135">
        <v>-1.4114428061924968</v>
      </c>
      <c r="L13" s="135">
        <f t="shared" si="4"/>
        <v>0.17241379310344829</v>
      </c>
      <c r="M13" s="135">
        <f t="shared" si="0"/>
        <v>-0.94466959139447615</v>
      </c>
      <c r="N13" s="135"/>
      <c r="O13" s="135" t="s">
        <v>621</v>
      </c>
      <c r="P13" s="150">
        <f>F63</f>
        <v>1.295513061532181</v>
      </c>
      <c r="Q13" s="189" t="s">
        <v>579</v>
      </c>
      <c r="R13" s="135">
        <v>10</v>
      </c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</row>
    <row r="14" spans="1:37" x14ac:dyDescent="0.25">
      <c r="A14" s="135">
        <v>10</v>
      </c>
      <c r="B14" s="140">
        <v>117.61</v>
      </c>
      <c r="C14" s="191">
        <f t="shared" si="1"/>
        <v>117.17</v>
      </c>
      <c r="D14" s="189">
        <f t="shared" si="5"/>
        <v>117.82521867655377</v>
      </c>
      <c r="E14" s="200">
        <f t="shared" si="2"/>
        <v>-0.21521867655377491</v>
      </c>
      <c r="F14" s="135">
        <f t="shared" si="3"/>
        <v>0.18299351802888777</v>
      </c>
      <c r="G14" s="135">
        <f t="shared" si="7"/>
        <v>4.6319078737558382E-2</v>
      </c>
      <c r="H14" s="135">
        <f t="shared" si="6"/>
        <v>2.0319054941126389</v>
      </c>
      <c r="I14" s="135"/>
      <c r="J14" s="135"/>
      <c r="K14" s="135">
        <v>-1.3995936685132051</v>
      </c>
      <c r="L14" s="135">
        <f t="shared" si="4"/>
        <v>0.18965517241379309</v>
      </c>
      <c r="M14" s="135">
        <f t="shared" si="0"/>
        <v>-0.8791677184445702</v>
      </c>
      <c r="N14" s="135"/>
      <c r="O14" s="135" t="s">
        <v>622</v>
      </c>
      <c r="P14" s="135"/>
      <c r="Q14" s="135"/>
      <c r="R14" s="135"/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  <c r="AK14" s="135"/>
    </row>
    <row r="15" spans="1:37" x14ac:dyDescent="0.25">
      <c r="A15" s="135">
        <v>11</v>
      </c>
      <c r="B15" s="140">
        <v>117.26</v>
      </c>
      <c r="C15" s="191">
        <f t="shared" si="1"/>
        <v>117.61</v>
      </c>
      <c r="D15" s="189">
        <f t="shared" si="5"/>
        <v>118.25721744453458</v>
      </c>
      <c r="E15" s="200">
        <f t="shared" si="2"/>
        <v>-0.99721744453457006</v>
      </c>
      <c r="F15" s="135">
        <f t="shared" si="3"/>
        <v>0.85043275160717213</v>
      </c>
      <c r="G15" s="135">
        <f t="shared" si="7"/>
        <v>0.99444263168405833</v>
      </c>
      <c r="H15" s="135">
        <f t="shared" si="6"/>
        <v>0.6115220731234815</v>
      </c>
      <c r="I15" s="135"/>
      <c r="J15" s="135"/>
      <c r="K15" s="135">
        <v>-1.2915464300942432</v>
      </c>
      <c r="L15" s="135">
        <f t="shared" si="4"/>
        <v>0.20689655172413793</v>
      </c>
      <c r="M15" s="135">
        <f t="shared" si="0"/>
        <v>-0.81723682202940007</v>
      </c>
      <c r="N15" s="135"/>
      <c r="O15" s="135" t="s">
        <v>738</v>
      </c>
      <c r="P15" s="135">
        <f>1-(1-P10)*(56/54)</f>
        <v>0.97528427377047977</v>
      </c>
      <c r="Q15" s="135"/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</row>
    <row r="16" spans="1:37" x14ac:dyDescent="0.25">
      <c r="A16" s="135">
        <v>12</v>
      </c>
      <c r="B16" s="140">
        <v>115.88</v>
      </c>
      <c r="C16" s="191">
        <f t="shared" si="1"/>
        <v>117.26</v>
      </c>
      <c r="D16" s="189">
        <f t="shared" si="5"/>
        <v>117.9135820609135</v>
      </c>
      <c r="E16" s="200">
        <f t="shared" si="2"/>
        <v>-2.0335820609135027</v>
      </c>
      <c r="F16" s="135">
        <f t="shared" si="3"/>
        <v>1.754903400857355</v>
      </c>
      <c r="G16" s="135">
        <f t="shared" si="7"/>
        <v>4.135455998469209</v>
      </c>
      <c r="H16" s="135">
        <f t="shared" si="6"/>
        <v>1.0740516180822521</v>
      </c>
      <c r="I16" s="135"/>
      <c r="J16" s="135"/>
      <c r="K16" s="135">
        <v>-1.2616296187298985</v>
      </c>
      <c r="L16" s="135">
        <f t="shared" si="4"/>
        <v>0.22413793103448276</v>
      </c>
      <c r="M16" s="135">
        <f t="shared" si="0"/>
        <v>-0.75829255699115117</v>
      </c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</row>
    <row r="17" spans="1:37" ht="18" x14ac:dyDescent="0.35">
      <c r="A17" s="135">
        <v>13</v>
      </c>
      <c r="B17" s="140">
        <v>113.35</v>
      </c>
      <c r="C17" s="191">
        <f t="shared" si="1"/>
        <v>115.88</v>
      </c>
      <c r="D17" s="189">
        <f t="shared" si="5"/>
        <v>116.5586768340646</v>
      </c>
      <c r="E17" s="200">
        <f t="shared" si="2"/>
        <v>-3.2086768340646046</v>
      </c>
      <c r="F17" s="135">
        <f t="shared" si="3"/>
        <v>2.8307691522404985</v>
      </c>
      <c r="G17" s="135">
        <f t="shared" si="7"/>
        <v>10.295607025462854</v>
      </c>
      <c r="H17" s="135">
        <f t="shared" si="6"/>
        <v>1.3808477258870395</v>
      </c>
      <c r="I17" s="135"/>
      <c r="J17" s="135"/>
      <c r="K17" s="135">
        <v>-1.1989563546234905</v>
      </c>
      <c r="L17" s="135">
        <f t="shared" si="4"/>
        <v>0.2413793103448276</v>
      </c>
      <c r="M17" s="135">
        <f t="shared" si="0"/>
        <v>-0.70187259542196001</v>
      </c>
      <c r="N17" s="135"/>
      <c r="O17" s="9"/>
      <c r="P17" s="135" t="s">
        <v>566</v>
      </c>
      <c r="Q17" s="135" t="s">
        <v>567</v>
      </c>
      <c r="R17" s="135"/>
      <c r="S17" s="135"/>
      <c r="T17" s="135" t="s">
        <v>605</v>
      </c>
      <c r="U17" s="135">
        <f>CORREL(F1:F57,F2:F58)</f>
        <v>0.6078344118438761</v>
      </c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</row>
    <row r="18" spans="1:37" x14ac:dyDescent="0.25">
      <c r="A18" s="135">
        <v>14</v>
      </c>
      <c r="B18" s="140">
        <v>111.39</v>
      </c>
      <c r="C18" s="191">
        <f t="shared" si="1"/>
        <v>113.35</v>
      </c>
      <c r="D18" s="189">
        <f t="shared" si="5"/>
        <v>114.07468391817498</v>
      </c>
      <c r="E18" s="200">
        <f t="shared" si="2"/>
        <v>-2.6846839181749829</v>
      </c>
      <c r="F18" s="135">
        <f t="shared" si="3"/>
        <v>2.4101660096732052</v>
      </c>
      <c r="G18" s="135">
        <f t="shared" si="7"/>
        <v>7.2075277405073779</v>
      </c>
      <c r="H18" s="135">
        <f t="shared" si="6"/>
        <v>0.27456857590250816</v>
      </c>
      <c r="I18" s="135"/>
      <c r="J18" s="135"/>
      <c r="K18" s="135">
        <v>-1.1412630162337507</v>
      </c>
      <c r="L18" s="135">
        <f t="shared" si="4"/>
        <v>0.25862068965517243</v>
      </c>
      <c r="M18" s="135">
        <f t="shared" si="0"/>
        <v>-0.64760358292497777</v>
      </c>
      <c r="N18" s="135"/>
      <c r="O18" s="9"/>
      <c r="P18" s="137">
        <f t="array" ref="P18:Q22">LINEST(B5:B61,C5:C61,1,1)</f>
        <v>0.98181538177455097</v>
      </c>
      <c r="Q18" s="137">
        <v>2.7859103940296421</v>
      </c>
      <c r="R18" s="135"/>
      <c r="S18" s="135"/>
      <c r="T18" s="135" t="s">
        <v>602</v>
      </c>
      <c r="U18" s="135"/>
      <c r="V18" s="135"/>
      <c r="W18" s="66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</row>
    <row r="19" spans="1:37" x14ac:dyDescent="0.25">
      <c r="A19" s="135">
        <v>15</v>
      </c>
      <c r="B19" s="140">
        <v>109.76</v>
      </c>
      <c r="C19" s="191">
        <f t="shared" si="1"/>
        <v>111.39</v>
      </c>
      <c r="D19" s="189">
        <f t="shared" si="5"/>
        <v>112.15032576989688</v>
      </c>
      <c r="E19" s="200">
        <f t="shared" si="2"/>
        <v>-2.3903257698968758</v>
      </c>
      <c r="F19" s="135">
        <f t="shared" si="3"/>
        <v>2.1777749361305356</v>
      </c>
      <c r="G19" s="135">
        <f t="shared" si="7"/>
        <v>5.7136572862330919</v>
      </c>
      <c r="H19" s="135">
        <f t="shared" si="6"/>
        <v>8.6646719457716043E-2</v>
      </c>
      <c r="I19" s="135"/>
      <c r="J19" s="135"/>
      <c r="K19" s="135">
        <v>-1.1203071095846298</v>
      </c>
      <c r="L19" s="135">
        <f t="shared" si="4"/>
        <v>0.27586206896551724</v>
      </c>
      <c r="M19" s="135">
        <f t="shared" si="0"/>
        <v>-0.59517853333327786</v>
      </c>
      <c r="N19" s="135"/>
      <c r="O19" s="9"/>
      <c r="P19" s="137">
        <v>2.0685974514018476E-2</v>
      </c>
      <c r="Q19" s="137">
        <v>2.5099852674282563</v>
      </c>
      <c r="R19" s="135"/>
      <c r="S19" s="135"/>
      <c r="T19" s="155" t="s">
        <v>649</v>
      </c>
      <c r="U19" s="135"/>
      <c r="V19" s="135"/>
      <c r="W19" s="66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</row>
    <row r="20" spans="1:37" x14ac:dyDescent="0.25">
      <c r="A20" s="135">
        <v>16</v>
      </c>
      <c r="B20" s="140">
        <v>109.5</v>
      </c>
      <c r="C20" s="191">
        <f t="shared" si="1"/>
        <v>109.76</v>
      </c>
      <c r="D20" s="189">
        <f t="shared" si="5"/>
        <v>110.54996669760436</v>
      </c>
      <c r="E20" s="200">
        <f t="shared" si="2"/>
        <v>-1.0499666976043613</v>
      </c>
      <c r="F20" s="135">
        <f t="shared" si="3"/>
        <v>0.95887369644233911</v>
      </c>
      <c r="G20" s="135">
        <f t="shared" si="7"/>
        <v>1.1024300660782085</v>
      </c>
      <c r="H20" s="135">
        <f t="shared" si="6"/>
        <v>1.7965624426768501</v>
      </c>
      <c r="I20" s="135"/>
      <c r="J20" s="135"/>
      <c r="K20" s="135">
        <v>-1.0625855642543343</v>
      </c>
      <c r="L20" s="135">
        <f t="shared" si="4"/>
        <v>0.29310344827586204</v>
      </c>
      <c r="M20" s="135">
        <f t="shared" si="0"/>
        <v>-0.54434091493561076</v>
      </c>
      <c r="N20" s="135"/>
      <c r="O20" s="9"/>
      <c r="P20" s="137">
        <v>0.97616697827867693</v>
      </c>
      <c r="Q20" s="137">
        <v>2.01394906181411</v>
      </c>
      <c r="R20" s="135"/>
      <c r="S20" s="135"/>
      <c r="T20" s="155" t="s">
        <v>633</v>
      </c>
      <c r="U20" s="135"/>
      <c r="V20" s="135"/>
      <c r="W20" s="66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</row>
    <row r="21" spans="1:37" x14ac:dyDescent="0.25">
      <c r="A21" s="135">
        <v>17</v>
      </c>
      <c r="B21" s="140">
        <v>108.86</v>
      </c>
      <c r="C21" s="191">
        <f t="shared" si="1"/>
        <v>109.5</v>
      </c>
      <c r="D21" s="189">
        <f t="shared" si="5"/>
        <v>110.29469469834298</v>
      </c>
      <c r="E21" s="200">
        <f t="shared" si="2"/>
        <v>-1.4346946983429802</v>
      </c>
      <c r="F21" s="135">
        <f t="shared" si="3"/>
        <v>1.3179264177319312</v>
      </c>
      <c r="G21" s="135">
        <f t="shared" si="7"/>
        <v>2.0583488774534553</v>
      </c>
      <c r="H21" s="135">
        <f t="shared" si="6"/>
        <v>0.14801563455233474</v>
      </c>
      <c r="I21" s="135"/>
      <c r="J21" s="135"/>
      <c r="K21" s="135">
        <v>-1.0492334172505196</v>
      </c>
      <c r="L21" s="135">
        <f t="shared" si="4"/>
        <v>0.31034482758620691</v>
      </c>
      <c r="M21" s="135">
        <f t="shared" si="0"/>
        <v>-0.49487316356862382</v>
      </c>
      <c r="N21" s="135"/>
      <c r="O21" s="9"/>
      <c r="P21" s="137">
        <v>2252.7224803094255</v>
      </c>
      <c r="Q21" s="137">
        <v>55</v>
      </c>
      <c r="R21" s="135"/>
      <c r="S21" s="135"/>
      <c r="T21" s="69" t="s">
        <v>630</v>
      </c>
      <c r="U21" s="167"/>
      <c r="V21" s="135"/>
      <c r="W21" s="66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</row>
    <row r="22" spans="1:37" x14ac:dyDescent="0.25">
      <c r="A22" s="135">
        <v>18</v>
      </c>
      <c r="B22" s="140">
        <v>108.49</v>
      </c>
      <c r="C22" s="191">
        <f t="shared" si="1"/>
        <v>108.86</v>
      </c>
      <c r="D22" s="189">
        <f t="shared" si="5"/>
        <v>109.66633285400727</v>
      </c>
      <c r="E22" s="200">
        <f t="shared" si="2"/>
        <v>-1.1763328540072706</v>
      </c>
      <c r="F22" s="135">
        <f t="shared" si="3"/>
        <v>1.084277679055462</v>
      </c>
      <c r="G22" s="135">
        <f t="shared" si="7"/>
        <v>1.3837589834168906</v>
      </c>
      <c r="H22" s="135">
        <f t="shared" si="6"/>
        <v>6.6750842608549452E-2</v>
      </c>
      <c r="I22" s="135"/>
      <c r="J22" s="135"/>
      <c r="K22" s="135">
        <v>-1.04212030388382</v>
      </c>
      <c r="L22" s="135">
        <f t="shared" si="4"/>
        <v>0.32758620689655171</v>
      </c>
      <c r="M22" s="135">
        <f t="shared" si="0"/>
        <v>-0.44658820450617887</v>
      </c>
      <c r="N22" s="135"/>
      <c r="O22" s="9"/>
      <c r="P22" s="137">
        <v>9137.0217082117651</v>
      </c>
      <c r="Q22" s="137">
        <v>223.07949529700639</v>
      </c>
      <c r="R22" s="135"/>
      <c r="S22" s="135"/>
      <c r="T22" s="155" t="s">
        <v>629</v>
      </c>
      <c r="U22" s="135"/>
      <c r="V22" s="135"/>
      <c r="W22" s="66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</row>
    <row r="23" spans="1:37" ht="18" x14ac:dyDescent="0.35">
      <c r="A23" s="135">
        <v>19</v>
      </c>
      <c r="B23" s="140">
        <v>108.36</v>
      </c>
      <c r="C23" s="191">
        <f t="shared" si="1"/>
        <v>108.49</v>
      </c>
      <c r="D23" s="189">
        <f t="shared" si="5"/>
        <v>109.30306116275067</v>
      </c>
      <c r="E23" s="200">
        <f t="shared" si="2"/>
        <v>-0.94306116275066643</v>
      </c>
      <c r="F23" s="135">
        <f t="shared" si="3"/>
        <v>0.87030376776547291</v>
      </c>
      <c r="G23" s="135">
        <f t="shared" si="7"/>
        <v>0.889364356688639</v>
      </c>
      <c r="H23" s="135">
        <f t="shared" si="6"/>
        <v>5.4415681941716462E-2</v>
      </c>
      <c r="I23" s="135"/>
      <c r="J23" s="135"/>
      <c r="K23" s="135">
        <v>-1.0245516996474606</v>
      </c>
      <c r="L23" s="135">
        <f t="shared" si="4"/>
        <v>0.34482758620689657</v>
      </c>
      <c r="M23" s="135">
        <f t="shared" si="0"/>
        <v>-0.39932306734955125</v>
      </c>
      <c r="N23" s="135"/>
      <c r="O23" s="135"/>
      <c r="P23" s="168" t="s">
        <v>784</v>
      </c>
      <c r="Q23" s="168"/>
      <c r="R23" s="135"/>
      <c r="S23" s="135"/>
      <c r="T23" s="69" t="s">
        <v>606</v>
      </c>
      <c r="U23" s="167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</row>
    <row r="24" spans="1:37" x14ac:dyDescent="0.25">
      <c r="A24" s="135">
        <v>20</v>
      </c>
      <c r="B24" s="140">
        <v>108.19</v>
      </c>
      <c r="C24" s="191">
        <f t="shared" si="1"/>
        <v>108.36</v>
      </c>
      <c r="D24" s="189">
        <f t="shared" si="5"/>
        <v>109.17542516311998</v>
      </c>
      <c r="E24" s="200">
        <f t="shared" si="2"/>
        <v>-0.9854251631199844</v>
      </c>
      <c r="F24" s="135">
        <f t="shared" si="3"/>
        <v>0.91082832343098663</v>
      </c>
      <c r="G24" s="135">
        <f t="shared" si="7"/>
        <v>0.97106275211004789</v>
      </c>
      <c r="H24" s="135">
        <f t="shared" si="6"/>
        <v>1.7947085272915738E-3</v>
      </c>
      <c r="I24" s="135"/>
      <c r="J24" s="135"/>
      <c r="K24" s="135">
        <v>-0.98833316364168411</v>
      </c>
      <c r="L24" s="135">
        <f t="shared" si="4"/>
        <v>0.36206896551724138</v>
      </c>
      <c r="M24" s="135">
        <f t="shared" si="0"/>
        <v>-0.35293398612691645</v>
      </c>
      <c r="N24" s="135"/>
      <c r="O24" s="135"/>
      <c r="P24" s="135"/>
      <c r="Q24" s="135"/>
      <c r="R24" s="135"/>
      <c r="S24" s="135"/>
      <c r="T24" s="135" t="s">
        <v>607</v>
      </c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</row>
    <row r="25" spans="1:37" x14ac:dyDescent="0.25">
      <c r="A25" s="135">
        <v>21</v>
      </c>
      <c r="B25" s="140">
        <v>107.8</v>
      </c>
      <c r="C25" s="191">
        <f t="shared" si="1"/>
        <v>108.19</v>
      </c>
      <c r="D25" s="189">
        <f t="shared" si="5"/>
        <v>109.00851654821831</v>
      </c>
      <c r="E25" s="200">
        <f t="shared" si="2"/>
        <v>-1.2085165482183129</v>
      </c>
      <c r="F25" s="135">
        <f t="shared" si="3"/>
        <v>1.121072864766524</v>
      </c>
      <c r="G25" s="135">
        <f t="shared" si="7"/>
        <v>1.4605122473175058</v>
      </c>
      <c r="H25" s="135">
        <f t="shared" si="6"/>
        <v>4.97697661050907E-2</v>
      </c>
      <c r="I25" s="135"/>
      <c r="J25" s="135"/>
      <c r="K25" s="135">
        <v>-0.94445584742021538</v>
      </c>
      <c r="L25" s="135">
        <f t="shared" si="4"/>
        <v>0.37931034482758619</v>
      </c>
      <c r="M25" s="135">
        <f t="shared" si="0"/>
        <v>-0.30729257120115577</v>
      </c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</row>
    <row r="26" spans="1:37" x14ac:dyDescent="0.25">
      <c r="A26" s="135">
        <v>22</v>
      </c>
      <c r="B26" s="140">
        <v>107.47</v>
      </c>
      <c r="C26" s="191">
        <f t="shared" si="1"/>
        <v>107.8</v>
      </c>
      <c r="D26" s="189">
        <f t="shared" si="5"/>
        <v>108.62560854932623</v>
      </c>
      <c r="E26" s="200">
        <f t="shared" si="2"/>
        <v>-1.1556085493262316</v>
      </c>
      <c r="F26" s="135">
        <f t="shared" si="3"/>
        <v>1.0752847765201745</v>
      </c>
      <c r="G26" s="135">
        <f t="shared" si="7"/>
        <v>1.3354311192758774</v>
      </c>
      <c r="H26" s="135">
        <f t="shared" si="6"/>
        <v>2.7992563467644769E-3</v>
      </c>
      <c r="I26" s="135"/>
      <c r="J26" s="135"/>
      <c r="K26" s="135">
        <v>-0.92096173503816203</v>
      </c>
      <c r="L26" s="135">
        <f t="shared" si="4"/>
        <v>0.39655172413793105</v>
      </c>
      <c r="M26" s="135">
        <f t="shared" si="0"/>
        <v>-0.26228276539162171</v>
      </c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</row>
    <row r="27" spans="1:37" x14ac:dyDescent="0.25">
      <c r="A27" s="135">
        <v>23</v>
      </c>
      <c r="B27" s="140">
        <v>107.03</v>
      </c>
      <c r="C27" s="191">
        <f t="shared" si="1"/>
        <v>107.47</v>
      </c>
      <c r="D27" s="189">
        <f t="shared" si="5"/>
        <v>108.30160947334063</v>
      </c>
      <c r="E27" s="200">
        <f t="shared" si="2"/>
        <v>-1.2716094733406322</v>
      </c>
      <c r="F27" s="135">
        <f t="shared" si="3"/>
        <v>1.1880869600491752</v>
      </c>
      <c r="G27" s="135">
        <f t="shared" si="7"/>
        <v>1.61699065268964</v>
      </c>
      <c r="H27" s="135">
        <f t="shared" si="6"/>
        <v>1.3456214372194754E-2</v>
      </c>
      <c r="I27" s="135"/>
      <c r="J27" s="135"/>
      <c r="K27" s="135">
        <v>-0.89335605531712758</v>
      </c>
      <c r="L27" s="135">
        <f t="shared" si="4"/>
        <v>0.41379310344827586</v>
      </c>
      <c r="M27" s="135">
        <f t="shared" si="0"/>
        <v>-0.2177983799273987</v>
      </c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</row>
    <row r="28" spans="1:37" x14ac:dyDescent="0.25">
      <c r="A28" s="135">
        <v>24</v>
      </c>
      <c r="B28" s="140">
        <v>106.61</v>
      </c>
      <c r="C28" s="191">
        <f t="shared" si="1"/>
        <v>107.03</v>
      </c>
      <c r="D28" s="189">
        <f t="shared" si="5"/>
        <v>107.86961070535983</v>
      </c>
      <c r="E28" s="200">
        <f t="shared" si="2"/>
        <v>-1.2596107053598331</v>
      </c>
      <c r="F28" s="135">
        <f t="shared" si="3"/>
        <v>1.1815127149046365</v>
      </c>
      <c r="G28" s="135">
        <f t="shared" si="7"/>
        <v>1.5866191290570963</v>
      </c>
      <c r="H28" s="135">
        <f t="shared" si="6"/>
        <v>1.4397043305705042E-4</v>
      </c>
      <c r="I28" s="135"/>
      <c r="J28" s="135"/>
      <c r="K28" s="135">
        <v>-0.89269312590778327</v>
      </c>
      <c r="L28" s="135">
        <f t="shared" si="4"/>
        <v>0.43103448275862066</v>
      </c>
      <c r="M28" s="135">
        <f t="shared" si="0"/>
        <v>-0.17374106191177294</v>
      </c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</row>
    <row r="29" spans="1:37" x14ac:dyDescent="0.25">
      <c r="A29" s="135">
        <v>25</v>
      </c>
      <c r="B29" s="140">
        <v>106.57</v>
      </c>
      <c r="C29" s="191">
        <f t="shared" si="1"/>
        <v>106.61</v>
      </c>
      <c r="D29" s="189">
        <f t="shared" si="5"/>
        <v>107.45724824501453</v>
      </c>
      <c r="E29" s="200">
        <f t="shared" si="2"/>
        <v>-0.8872482450145327</v>
      </c>
      <c r="F29" s="135">
        <f t="shared" si="3"/>
        <v>0.83254972789202664</v>
      </c>
      <c r="G29" s="135">
        <f t="shared" si="7"/>
        <v>0.7872094482813683</v>
      </c>
      <c r="H29" s="135">
        <f t="shared" si="6"/>
        <v>0.13865380187440543</v>
      </c>
      <c r="I29" s="135"/>
      <c r="J29" s="135"/>
      <c r="K29" s="135">
        <v>-0.88647977015557444</v>
      </c>
      <c r="L29" s="135">
        <f t="shared" si="4"/>
        <v>0.44827586206896552</v>
      </c>
      <c r="M29" s="135">
        <f t="shared" si="0"/>
        <v>-0.13001858330708424</v>
      </c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</row>
    <row r="30" spans="1:37" x14ac:dyDescent="0.25">
      <c r="A30" s="135">
        <v>26</v>
      </c>
      <c r="B30" s="140">
        <v>106.49</v>
      </c>
      <c r="C30" s="191">
        <f t="shared" si="1"/>
        <v>106.57</v>
      </c>
      <c r="D30" s="189">
        <f t="shared" si="5"/>
        <v>107.41797562974354</v>
      </c>
      <c r="E30" s="200">
        <f t="shared" si="2"/>
        <v>-0.92797562974354264</v>
      </c>
      <c r="F30" s="135">
        <f t="shared" si="3"/>
        <v>0.87142044299327892</v>
      </c>
      <c r="G30" s="135">
        <f t="shared" si="7"/>
        <v>0.86113876939792455</v>
      </c>
      <c r="H30" s="135">
        <f t="shared" si="6"/>
        <v>1.6587198668647921E-3</v>
      </c>
      <c r="I30" s="135"/>
      <c r="J30" s="135"/>
      <c r="K30" s="135">
        <v>-0.85288699989915528</v>
      </c>
      <c r="L30" s="135">
        <f t="shared" si="4"/>
        <v>0.46551724137931033</v>
      </c>
      <c r="M30" s="135">
        <f t="shared" si="0"/>
        <v>-8.6543367915016003E-2</v>
      </c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</row>
    <row r="31" spans="1:37" x14ac:dyDescent="0.25">
      <c r="A31" s="135">
        <v>27</v>
      </c>
      <c r="B31" s="140">
        <v>107.04</v>
      </c>
      <c r="C31" s="191">
        <f t="shared" si="1"/>
        <v>106.49</v>
      </c>
      <c r="D31" s="189">
        <f t="shared" si="5"/>
        <v>107.33943039920158</v>
      </c>
      <c r="E31" s="200">
        <f t="shared" si="2"/>
        <v>-0.29943039920156878</v>
      </c>
      <c r="F31" s="135">
        <f t="shared" si="3"/>
        <v>0.27973692003136097</v>
      </c>
      <c r="G31" s="135">
        <f t="shared" si="7"/>
        <v>8.9658563966010837E-2</v>
      </c>
      <c r="H31" s="135">
        <f t="shared" si="6"/>
        <v>0.39506910683706309</v>
      </c>
      <c r="I31" s="135"/>
      <c r="J31" s="135"/>
      <c r="K31" s="135">
        <v>-0.77935888511439089</v>
      </c>
      <c r="L31" s="135">
        <f t="shared" si="4"/>
        <v>0.48275862068965519</v>
      </c>
      <c r="M31" s="135">
        <f t="shared" si="0"/>
        <v>-4.3231191152817192E-2</v>
      </c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</row>
    <row r="32" spans="1:37" x14ac:dyDescent="0.25">
      <c r="A32" s="135">
        <v>28</v>
      </c>
      <c r="B32" s="140">
        <v>111.35</v>
      </c>
      <c r="C32" s="191">
        <f t="shared" si="1"/>
        <v>107.04</v>
      </c>
      <c r="D32" s="189">
        <f t="shared" si="5"/>
        <v>107.87942885917758</v>
      </c>
      <c r="E32" s="150">
        <f t="shared" si="2"/>
        <v>3.4705711408224147</v>
      </c>
      <c r="F32" s="135">
        <f t="shared" si="3"/>
        <v>3.1168128790502152</v>
      </c>
      <c r="G32" s="135">
        <f t="shared" si="7"/>
        <v>12.044864043509397</v>
      </c>
      <c r="H32" s="135">
        <f t="shared" si="6"/>
        <v>14.212911611783207</v>
      </c>
      <c r="I32" s="135"/>
      <c r="J32" s="135"/>
      <c r="K32" s="135">
        <v>-0.75575376932150107</v>
      </c>
      <c r="L32" s="135">
        <f t="shared" si="4"/>
        <v>0.5</v>
      </c>
      <c r="M32" s="135">
        <f t="shared" si="0"/>
        <v>0</v>
      </c>
      <c r="N32" s="135"/>
      <c r="O32" s="135"/>
      <c r="P32" s="135"/>
      <c r="Q32" s="135"/>
      <c r="R32" s="135"/>
      <c r="S32" s="135"/>
      <c r="T32" s="135"/>
      <c r="U32" s="135"/>
      <c r="V32" s="135"/>
      <c r="W32" s="135"/>
      <c r="X32" s="135"/>
      <c r="Y32" s="135"/>
      <c r="Z32" s="135"/>
      <c r="AA32" s="135"/>
      <c r="AB32" s="135"/>
      <c r="AC32" s="135"/>
      <c r="AD32" s="135"/>
      <c r="AE32" s="135"/>
      <c r="AF32" s="135"/>
      <c r="AG32" s="135"/>
      <c r="AH32" s="135"/>
      <c r="AI32" s="135"/>
      <c r="AJ32" s="135"/>
      <c r="AK32" s="135"/>
    </row>
    <row r="33" spans="1:37" x14ac:dyDescent="0.25">
      <c r="A33" s="135">
        <v>29</v>
      </c>
      <c r="B33" s="140">
        <v>117.54</v>
      </c>
      <c r="C33" s="191">
        <f t="shared" si="1"/>
        <v>111.35</v>
      </c>
      <c r="D33" s="189">
        <f t="shared" si="5"/>
        <v>112.11105315462589</v>
      </c>
      <c r="E33" s="150">
        <f t="shared" si="2"/>
        <v>5.4289468453741136</v>
      </c>
      <c r="F33" s="135">
        <f t="shared" si="3"/>
        <v>4.6188079337877435</v>
      </c>
      <c r="G33" s="135">
        <f t="shared" si="7"/>
        <v>29.473463849897541</v>
      </c>
      <c r="H33" s="135">
        <f t="shared" si="6"/>
        <v>3.8352354001783633</v>
      </c>
      <c r="I33" s="135"/>
      <c r="J33" s="135"/>
      <c r="K33" s="135">
        <v>-0.6629739718372889</v>
      </c>
      <c r="L33" s="135">
        <f t="shared" si="4"/>
        <v>0.51724137931034486</v>
      </c>
      <c r="M33" s="135">
        <f t="shared" si="0"/>
        <v>4.3231191152817337E-2</v>
      </c>
      <c r="N33" s="135"/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  <c r="AK33" s="135"/>
    </row>
    <row r="34" spans="1:37" x14ac:dyDescent="0.25">
      <c r="A34" s="135">
        <v>30</v>
      </c>
      <c r="B34" s="140">
        <v>122.58</v>
      </c>
      <c r="C34" s="191">
        <f t="shared" si="1"/>
        <v>117.54</v>
      </c>
      <c r="D34" s="189">
        <f t="shared" si="5"/>
        <v>118.18849036781037</v>
      </c>
      <c r="E34" s="150">
        <f t="shared" si="2"/>
        <v>4.3915096321896243</v>
      </c>
      <c r="F34" s="135">
        <f t="shared" si="3"/>
        <v>3.5825661871346259</v>
      </c>
      <c r="G34" s="135">
        <f t="shared" si="7"/>
        <v>19.285356849614249</v>
      </c>
      <c r="H34" s="135">
        <f t="shared" si="6"/>
        <v>1.0762759712999996</v>
      </c>
      <c r="I34" s="135"/>
      <c r="J34" s="135"/>
      <c r="K34" s="135">
        <v>-0.57143645495901296</v>
      </c>
      <c r="L34" s="135">
        <f t="shared" si="4"/>
        <v>0.53448275862068961</v>
      </c>
      <c r="M34" s="135">
        <f t="shared" si="0"/>
        <v>8.6543367915015865E-2</v>
      </c>
      <c r="N34" s="135"/>
      <c r="O34" s="135"/>
      <c r="P34" s="135"/>
      <c r="Q34" s="135"/>
      <c r="R34" s="135"/>
      <c r="S34" s="135"/>
      <c r="T34" s="135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</row>
    <row r="35" spans="1:37" x14ac:dyDescent="0.25">
      <c r="A35" s="135">
        <v>31</v>
      </c>
      <c r="B35" s="140">
        <v>128.16</v>
      </c>
      <c r="C35" s="191">
        <f t="shared" si="1"/>
        <v>122.58</v>
      </c>
      <c r="D35" s="189">
        <f t="shared" si="5"/>
        <v>123.1368398919541</v>
      </c>
      <c r="E35" s="150">
        <f t="shared" si="2"/>
        <v>5.0231601080459001</v>
      </c>
      <c r="F35" s="135">
        <f t="shared" si="3"/>
        <v>3.919444528749922</v>
      </c>
      <c r="G35" s="135">
        <f t="shared" si="7"/>
        <v>25.232137471063698</v>
      </c>
      <c r="H35" s="135">
        <f t="shared" si="6"/>
        <v>0.39898232364945962</v>
      </c>
      <c r="I35" s="135"/>
      <c r="J35" s="135"/>
      <c r="K35" s="135">
        <v>-0.50944141414980493</v>
      </c>
      <c r="L35" s="135">
        <f t="shared" si="4"/>
        <v>0.55172413793103448</v>
      </c>
      <c r="M35" s="135">
        <f t="shared" si="0"/>
        <v>0.13001858330708424</v>
      </c>
      <c r="N35" s="135"/>
      <c r="O35" s="135"/>
      <c r="P35" s="135"/>
      <c r="Q35" s="135"/>
      <c r="R35" s="135"/>
      <c r="S35" s="135"/>
      <c r="T35" s="135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</row>
    <row r="36" spans="1:37" x14ac:dyDescent="0.25">
      <c r="A36" s="135">
        <v>32</v>
      </c>
      <c r="B36" s="140">
        <v>132.86000000000001</v>
      </c>
      <c r="C36" s="191">
        <f t="shared" si="1"/>
        <v>128.16</v>
      </c>
      <c r="D36" s="189">
        <f t="shared" si="5"/>
        <v>128.6153697222561</v>
      </c>
      <c r="E36" s="150">
        <f t="shared" si="2"/>
        <v>4.2446302777439087</v>
      </c>
      <c r="F36" s="135">
        <f t="shared" si="3"/>
        <v>3.1948142990696282</v>
      </c>
      <c r="G36" s="135">
        <f t="shared" si="7"/>
        <v>18.01688619474033</v>
      </c>
      <c r="H36" s="135">
        <f t="shared" si="6"/>
        <v>0.60610869667004752</v>
      </c>
      <c r="I36" s="135"/>
      <c r="J36" s="135"/>
      <c r="K36" s="135">
        <v>-0.41336171982001702</v>
      </c>
      <c r="L36" s="135">
        <f t="shared" si="4"/>
        <v>0.56896551724137934</v>
      </c>
      <c r="M36" s="135">
        <f t="shared" ref="M36:M60" si="8">_xlfn.NORM.S.INV(L36)</f>
        <v>0.17374106191177294</v>
      </c>
      <c r="N36" s="135"/>
      <c r="O36" s="135"/>
      <c r="P36" s="135"/>
      <c r="Q36" s="135"/>
      <c r="R36" s="135"/>
      <c r="S36" s="135"/>
      <c r="T36" s="135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  <c r="AE36" s="135"/>
      <c r="AF36" s="135"/>
      <c r="AG36" s="135"/>
      <c r="AH36" s="135"/>
      <c r="AI36" s="135"/>
      <c r="AJ36" s="135"/>
      <c r="AK36" s="135"/>
    </row>
    <row r="37" spans="1:37" x14ac:dyDescent="0.25">
      <c r="A37" s="135">
        <v>33</v>
      </c>
      <c r="B37" s="140">
        <v>134.91999999999999</v>
      </c>
      <c r="C37" s="191">
        <f t="shared" si="1"/>
        <v>132.86000000000001</v>
      </c>
      <c r="D37" s="189">
        <f t="shared" si="5"/>
        <v>133.2299020165965</v>
      </c>
      <c r="E37" s="150">
        <f t="shared" ref="E37:E61" si="9">B37-D37</f>
        <v>1.6900979834034899</v>
      </c>
      <c r="F37" s="135">
        <f t="shared" ref="F37:F61" si="10">ABS(E37/B37)*100</f>
        <v>1.2526667531896607</v>
      </c>
      <c r="G37" s="135">
        <f t="shared" si="7"/>
        <v>2.8564311935045432</v>
      </c>
      <c r="H37" s="135">
        <f t="shared" si="6"/>
        <v>6.5256352428281241</v>
      </c>
      <c r="I37" s="135"/>
      <c r="J37" s="135"/>
      <c r="K37" s="135">
        <v>-0.35080241922082678</v>
      </c>
      <c r="L37" s="135">
        <f t="shared" si="4"/>
        <v>0.58620689655172409</v>
      </c>
      <c r="M37" s="135">
        <f t="shared" si="8"/>
        <v>0.21779837992739853</v>
      </c>
      <c r="N37" s="135"/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</row>
    <row r="38" spans="1:37" x14ac:dyDescent="0.25">
      <c r="A38" s="135">
        <v>34</v>
      </c>
      <c r="B38" s="140">
        <v>135.69999999999999</v>
      </c>
      <c r="C38" s="191">
        <f t="shared" si="1"/>
        <v>134.91999999999999</v>
      </c>
      <c r="D38" s="189">
        <f t="shared" si="5"/>
        <v>135.25244170305206</v>
      </c>
      <c r="E38" s="150">
        <f t="shared" si="9"/>
        <v>0.44755829694793192</v>
      </c>
      <c r="F38" s="135">
        <f t="shared" si="10"/>
        <v>0.32981451506848336</v>
      </c>
      <c r="G38" s="135">
        <f t="shared" si="7"/>
        <v>0.2003084291669332</v>
      </c>
      <c r="H38" s="135">
        <f t="shared" ref="H38:H61" si="11">(E38-E37)^2</f>
        <v>1.5439048724170765</v>
      </c>
      <c r="I38" s="135"/>
      <c r="J38" s="135"/>
      <c r="K38" s="135">
        <v>-0.33055873204287423</v>
      </c>
      <c r="L38" s="135">
        <f t="shared" si="4"/>
        <v>0.60344827586206895</v>
      </c>
      <c r="M38" s="135">
        <f t="shared" si="8"/>
        <v>0.26228276539162171</v>
      </c>
      <c r="N38" s="135"/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5"/>
      <c r="AB38" s="135"/>
      <c r="AC38" s="135"/>
      <c r="AD38" s="135"/>
      <c r="AE38" s="135"/>
      <c r="AF38" s="135"/>
      <c r="AG38" s="135"/>
      <c r="AH38" s="135"/>
      <c r="AI38" s="135"/>
      <c r="AJ38" s="135"/>
      <c r="AK38" s="135"/>
    </row>
    <row r="39" spans="1:37" x14ac:dyDescent="0.25">
      <c r="A39" s="135">
        <v>35</v>
      </c>
      <c r="B39" s="140">
        <v>136.13999999999999</v>
      </c>
      <c r="C39" s="191">
        <f t="shared" si="1"/>
        <v>135.69999999999999</v>
      </c>
      <c r="D39" s="189">
        <f t="shared" si="5"/>
        <v>136.01825770083622</v>
      </c>
      <c r="E39" s="150">
        <f t="shared" si="9"/>
        <v>0.12174229916377044</v>
      </c>
      <c r="F39" s="135">
        <f t="shared" si="10"/>
        <v>8.9424341974269461E-2</v>
      </c>
      <c r="G39" s="135">
        <f t="shared" si="7"/>
        <v>1.4821187405680981E-2</v>
      </c>
      <c r="H39" s="135">
        <f t="shared" si="11"/>
        <v>0.10615606441208872</v>
      </c>
      <c r="I39" s="135"/>
      <c r="J39" s="135"/>
      <c r="K39" s="135">
        <v>-0.23129121142932263</v>
      </c>
      <c r="L39" s="135">
        <f t="shared" si="4"/>
        <v>0.62068965517241381</v>
      </c>
      <c r="M39" s="135">
        <f t="shared" si="8"/>
        <v>0.30729257120115577</v>
      </c>
      <c r="N39" s="135"/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</row>
    <row r="40" spans="1:37" x14ac:dyDescent="0.25">
      <c r="A40" s="135">
        <v>36</v>
      </c>
      <c r="B40" s="140">
        <v>140.15</v>
      </c>
      <c r="C40" s="191">
        <f t="shared" si="1"/>
        <v>136.13999999999999</v>
      </c>
      <c r="D40" s="189">
        <f t="shared" si="5"/>
        <v>136.45025646881697</v>
      </c>
      <c r="E40" s="150">
        <f t="shared" si="9"/>
        <v>3.6997435311830316</v>
      </c>
      <c r="F40" s="135">
        <f t="shared" si="10"/>
        <v>2.6398455449040537</v>
      </c>
      <c r="G40" s="135">
        <f t="shared" si="7"/>
        <v>13.688102196530687</v>
      </c>
      <c r="H40" s="135">
        <f t="shared" si="11"/>
        <v>12.802092816331351</v>
      </c>
      <c r="I40" s="135"/>
      <c r="J40" s="135"/>
      <c r="K40" s="135">
        <v>-9.3692378936054865E-2</v>
      </c>
      <c r="L40" s="135">
        <f t="shared" si="4"/>
        <v>0.63793103448275867</v>
      </c>
      <c r="M40" s="135">
        <f t="shared" si="8"/>
        <v>0.35293398612691662</v>
      </c>
      <c r="N40" s="135"/>
      <c r="O40" s="135"/>
      <c r="P40" s="135"/>
      <c r="Q40" s="135"/>
      <c r="R40" s="135"/>
      <c r="S40" s="135"/>
      <c r="T40" s="135"/>
      <c r="U40" s="135"/>
      <c r="V40" s="135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</row>
    <row r="41" spans="1:37" x14ac:dyDescent="0.25">
      <c r="A41" s="135">
        <v>37</v>
      </c>
      <c r="B41" s="140">
        <v>140.09</v>
      </c>
      <c r="C41" s="191">
        <f t="shared" si="1"/>
        <v>140.15</v>
      </c>
      <c r="D41" s="189">
        <f t="shared" si="5"/>
        <v>140.38733614973296</v>
      </c>
      <c r="E41" s="200">
        <f t="shared" si="9"/>
        <v>-0.2973361497329563</v>
      </c>
      <c r="F41" s="135">
        <f t="shared" si="10"/>
        <v>0.21224651990360216</v>
      </c>
      <c r="G41" s="135">
        <f t="shared" si="7"/>
        <v>8.8408785938019013E-2</v>
      </c>
      <c r="H41" s="135">
        <f t="shared" si="11"/>
        <v>15.976645975591456</v>
      </c>
      <c r="I41" s="135"/>
      <c r="J41" s="135"/>
      <c r="K41" s="135">
        <v>3.5014665190004735E-2</v>
      </c>
      <c r="L41" s="135">
        <f t="shared" si="4"/>
        <v>0.65517241379310343</v>
      </c>
      <c r="M41" s="135">
        <f t="shared" si="8"/>
        <v>0.39932306734955125</v>
      </c>
      <c r="N41" s="135"/>
      <c r="O41" s="135"/>
      <c r="P41" s="135"/>
      <c r="Q41" s="135" t="s">
        <v>634</v>
      </c>
      <c r="R41" s="135"/>
      <c r="S41" s="135"/>
      <c r="T41" s="135"/>
      <c r="U41" s="135"/>
      <c r="V41" s="135"/>
      <c r="W41" s="135"/>
      <c r="X41" s="135"/>
      <c r="Y41" s="135"/>
      <c r="Z41" s="135"/>
      <c r="AA41" s="135"/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</row>
    <row r="42" spans="1:37" x14ac:dyDescent="0.25">
      <c r="A42" s="135">
        <v>38</v>
      </c>
      <c r="B42" s="140">
        <v>139.1</v>
      </c>
      <c r="C42" s="191">
        <f t="shared" si="1"/>
        <v>140.09</v>
      </c>
      <c r="D42" s="189">
        <f t="shared" si="5"/>
        <v>140.32842722682648</v>
      </c>
      <c r="E42" s="200">
        <f t="shared" si="9"/>
        <v>-1.2284272268264829</v>
      </c>
      <c r="F42" s="135">
        <f t="shared" si="10"/>
        <v>0.88312525293061317</v>
      </c>
      <c r="G42" s="135">
        <f t="shared" si="7"/>
        <v>1.5090334516086032</v>
      </c>
      <c r="H42" s="135">
        <f t="shared" si="11"/>
        <v>0.86693059384318338</v>
      </c>
      <c r="I42" s="135"/>
      <c r="J42" s="135"/>
      <c r="K42" s="135">
        <v>0.28175572837218965</v>
      </c>
      <c r="L42" s="135">
        <f t="shared" si="4"/>
        <v>0.67241379310344829</v>
      </c>
      <c r="M42" s="135">
        <f t="shared" si="8"/>
        <v>0.44658820450617887</v>
      </c>
      <c r="N42" s="135"/>
      <c r="O42" s="135"/>
      <c r="P42" s="135"/>
      <c r="Q42" s="135"/>
      <c r="R42" s="135"/>
      <c r="S42" s="135"/>
      <c r="T42" s="135"/>
      <c r="U42" s="135"/>
      <c r="V42" s="135"/>
      <c r="W42" s="135"/>
      <c r="X42" s="135"/>
      <c r="Y42" s="135"/>
      <c r="Z42" s="135"/>
      <c r="AA42" s="135"/>
      <c r="AB42" s="135"/>
      <c r="AC42" s="135"/>
      <c r="AD42" s="135"/>
      <c r="AE42" s="135"/>
      <c r="AF42" s="135"/>
      <c r="AG42" s="135"/>
      <c r="AH42" s="135"/>
      <c r="AI42" s="135"/>
      <c r="AJ42" s="135"/>
      <c r="AK42" s="135"/>
    </row>
    <row r="43" spans="1:37" x14ac:dyDescent="0.25">
      <c r="A43" s="135">
        <v>39</v>
      </c>
      <c r="B43" s="140">
        <v>137.5</v>
      </c>
      <c r="C43" s="191">
        <f t="shared" si="1"/>
        <v>139.1</v>
      </c>
      <c r="D43" s="189">
        <f t="shared" si="5"/>
        <v>139.35642999886966</v>
      </c>
      <c r="E43" s="200">
        <f t="shared" si="9"/>
        <v>-1.8564299988696575</v>
      </c>
      <c r="F43" s="135">
        <f t="shared" si="10"/>
        <v>1.3501309082688417</v>
      </c>
      <c r="G43" s="135">
        <f t="shared" si="7"/>
        <v>3.4463323407031967</v>
      </c>
      <c r="H43" s="135">
        <f t="shared" si="11"/>
        <v>0.39438748169391163</v>
      </c>
      <c r="I43" s="135"/>
      <c r="J43" s="135"/>
      <c r="K43" s="135">
        <v>0.61051570938704458</v>
      </c>
      <c r="L43" s="135">
        <f t="shared" si="4"/>
        <v>0.68965517241379315</v>
      </c>
      <c r="M43" s="135">
        <f t="shared" si="8"/>
        <v>0.49487316356862399</v>
      </c>
      <c r="N43" s="135"/>
      <c r="O43" s="135"/>
      <c r="P43" s="135"/>
      <c r="Q43" s="137">
        <f t="array" ref="Q43:R47">LINEST(E7:E61,E6:E60,1,1)</f>
        <v>0.81347096501840432</v>
      </c>
      <c r="R43" s="137">
        <v>4.295284280252408E-2</v>
      </c>
      <c r="S43" s="135"/>
      <c r="T43" s="135"/>
      <c r="U43" s="135"/>
      <c r="V43" s="135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</row>
    <row r="44" spans="1:37" x14ac:dyDescent="0.25">
      <c r="A44" s="135">
        <v>40</v>
      </c>
      <c r="B44" s="140">
        <v>136.12</v>
      </c>
      <c r="C44" s="191">
        <f t="shared" si="1"/>
        <v>137.5</v>
      </c>
      <c r="D44" s="189">
        <f t="shared" si="5"/>
        <v>137.78552538803041</v>
      </c>
      <c r="E44" s="200">
        <f t="shared" si="9"/>
        <v>-1.6655253880304031</v>
      </c>
      <c r="F44" s="135">
        <f t="shared" si="10"/>
        <v>1.2235713987881303</v>
      </c>
      <c r="G44" s="135">
        <f t="shared" si="7"/>
        <v>2.7739748181738246</v>
      </c>
      <c r="H44" s="135">
        <f t="shared" si="11"/>
        <v>3.6444570439687199E-2</v>
      </c>
      <c r="I44" s="135"/>
      <c r="J44" s="135"/>
      <c r="K44" s="135">
        <v>0.65735097215556948</v>
      </c>
      <c r="L44" s="135">
        <f t="shared" si="4"/>
        <v>0.7068965517241379</v>
      </c>
      <c r="M44" s="135">
        <f t="shared" si="8"/>
        <v>0.54434091493561032</v>
      </c>
      <c r="N44" s="135"/>
      <c r="O44" s="135"/>
      <c r="P44" s="135"/>
      <c r="Q44" s="137">
        <v>8.049004846514328E-2</v>
      </c>
      <c r="R44" s="137">
        <v>0.1609290174408716</v>
      </c>
      <c r="S44" s="135"/>
      <c r="T44" s="135"/>
      <c r="U44" s="135"/>
      <c r="V44" s="135"/>
      <c r="W44" s="135"/>
      <c r="X44" s="135"/>
      <c r="Y44" s="135"/>
      <c r="Z44" s="135"/>
      <c r="AA44" s="135"/>
      <c r="AB44" s="135"/>
      <c r="AC44" s="135"/>
      <c r="AD44" s="135"/>
      <c r="AE44" s="135"/>
      <c r="AF44" s="135"/>
      <c r="AG44" s="135"/>
      <c r="AH44" s="135"/>
      <c r="AI44" s="135"/>
      <c r="AJ44" s="135"/>
      <c r="AK44" s="135"/>
    </row>
    <row r="45" spans="1:37" x14ac:dyDescent="0.25">
      <c r="A45" s="135">
        <v>41</v>
      </c>
      <c r="B45" s="140">
        <v>135.22</v>
      </c>
      <c r="C45" s="191">
        <f t="shared" si="1"/>
        <v>136.12</v>
      </c>
      <c r="D45" s="189">
        <f t="shared" si="5"/>
        <v>136.43062016118154</v>
      </c>
      <c r="E45" s="200">
        <f t="shared" si="9"/>
        <v>-1.2106201611815379</v>
      </c>
      <c r="F45" s="135">
        <f t="shared" si="10"/>
        <v>0.89529667296371684</v>
      </c>
      <c r="G45" s="135">
        <f t="shared" si="7"/>
        <v>1.4656011746592128</v>
      </c>
      <c r="H45" s="135">
        <f t="shared" si="11"/>
        <v>0.20693876541441744</v>
      </c>
      <c r="I45" s="135"/>
      <c r="J45" s="135"/>
      <c r="K45" s="135">
        <v>0.96019509531129188</v>
      </c>
      <c r="L45" s="135">
        <f t="shared" si="4"/>
        <v>0.72413793103448276</v>
      </c>
      <c r="M45" s="135">
        <f t="shared" si="8"/>
        <v>0.59517853333327786</v>
      </c>
      <c r="N45" s="135"/>
      <c r="O45" s="135"/>
      <c r="P45" s="135"/>
      <c r="Q45" s="137">
        <v>0.65837509257716798</v>
      </c>
      <c r="R45" s="137">
        <v>1.1934724062060678</v>
      </c>
      <c r="S45" s="135"/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  <c r="AE45" s="135"/>
      <c r="AF45" s="135"/>
      <c r="AG45" s="135"/>
      <c r="AH45" s="135"/>
      <c r="AI45" s="135"/>
      <c r="AJ45" s="135"/>
      <c r="AK45" s="135"/>
    </row>
    <row r="46" spans="1:37" x14ac:dyDescent="0.25">
      <c r="A46" s="135">
        <v>42</v>
      </c>
      <c r="B46" s="140">
        <v>134.72999999999999</v>
      </c>
      <c r="C46" s="191">
        <f t="shared" si="1"/>
        <v>135.22</v>
      </c>
      <c r="D46" s="189">
        <f t="shared" si="5"/>
        <v>135.54698631758441</v>
      </c>
      <c r="E46" s="200">
        <f t="shared" si="9"/>
        <v>-0.81698631758442275</v>
      </c>
      <c r="F46" s="135">
        <f t="shared" si="10"/>
        <v>0.60638782571396332</v>
      </c>
      <c r="G46" s="135">
        <f t="shared" si="7"/>
        <v>0.66746664312015525</v>
      </c>
      <c r="H46" s="135">
        <f t="shared" si="11"/>
        <v>0.15494760282503814</v>
      </c>
      <c r="I46" s="135"/>
      <c r="J46" s="135"/>
      <c r="K46" s="135">
        <v>1.1169568611943816</v>
      </c>
      <c r="L46" s="135">
        <f t="shared" si="4"/>
        <v>0.74137931034482762</v>
      </c>
      <c r="M46" s="135">
        <f t="shared" si="8"/>
        <v>0.64760358292497799</v>
      </c>
      <c r="N46" s="135"/>
      <c r="O46" s="135"/>
      <c r="P46" s="135"/>
      <c r="Q46" s="137">
        <v>102.14091287963805</v>
      </c>
      <c r="R46" s="137">
        <v>53</v>
      </c>
      <c r="S46" s="135"/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</row>
    <row r="47" spans="1:37" x14ac:dyDescent="0.25">
      <c r="A47" s="135">
        <v>43</v>
      </c>
      <c r="B47" s="140">
        <v>134.38999999999999</v>
      </c>
      <c r="C47" s="191">
        <f t="shared" si="1"/>
        <v>134.72999999999999</v>
      </c>
      <c r="D47" s="189">
        <f t="shared" si="5"/>
        <v>135.06589678051489</v>
      </c>
      <c r="E47" s="200">
        <f t="shared" si="9"/>
        <v>-0.67589678051490409</v>
      </c>
      <c r="F47" s="135">
        <f t="shared" si="10"/>
        <v>0.50293681115775291</v>
      </c>
      <c r="G47" s="135">
        <f t="shared" si="7"/>
        <v>0.45683645791041244</v>
      </c>
      <c r="H47" s="135">
        <f t="shared" si="11"/>
        <v>1.990625747049108E-2</v>
      </c>
      <c r="I47" s="135"/>
      <c r="J47" s="135"/>
      <c r="K47" s="135">
        <v>1.2258473149757663</v>
      </c>
      <c r="L47" s="135">
        <f t="shared" si="4"/>
        <v>0.75862068965517238</v>
      </c>
      <c r="M47" s="135">
        <f t="shared" si="8"/>
        <v>0.70187259542196001</v>
      </c>
      <c r="N47" s="135"/>
      <c r="O47" s="135"/>
      <c r="P47" s="135"/>
      <c r="Q47" s="137">
        <v>145.48710418429147</v>
      </c>
      <c r="R47" s="137">
        <v>75.491948371890956</v>
      </c>
      <c r="S47" s="135"/>
      <c r="T47" s="135"/>
      <c r="U47" s="135"/>
      <c r="V47" s="135"/>
      <c r="W47" s="135"/>
      <c r="X47" s="135"/>
      <c r="Y47" s="135"/>
      <c r="Z47" s="135"/>
      <c r="AA47" s="135"/>
      <c r="AB47" s="135"/>
      <c r="AC47" s="135"/>
      <c r="AD47" s="135"/>
      <c r="AE47" s="135"/>
      <c r="AF47" s="135"/>
      <c r="AG47" s="135"/>
      <c r="AH47" s="135"/>
      <c r="AI47" s="135"/>
      <c r="AJ47" s="135"/>
      <c r="AK47" s="135"/>
    </row>
    <row r="48" spans="1:37" x14ac:dyDescent="0.25">
      <c r="A48" s="135">
        <v>44</v>
      </c>
      <c r="B48" s="140">
        <v>134.51</v>
      </c>
      <c r="C48" s="191">
        <f t="shared" si="1"/>
        <v>134.38999999999999</v>
      </c>
      <c r="D48" s="189">
        <f t="shared" si="5"/>
        <v>134.73207955071155</v>
      </c>
      <c r="E48" s="200">
        <f t="shared" si="9"/>
        <v>-0.22207955071155538</v>
      </c>
      <c r="F48" s="135">
        <f t="shared" si="10"/>
        <v>0.1651026323035874</v>
      </c>
      <c r="G48" s="135">
        <f t="shared" si="7"/>
        <v>4.9319326844246301E-2</v>
      </c>
      <c r="H48" s="135">
        <f t="shared" si="11"/>
        <v>0.20595007806638541</v>
      </c>
      <c r="I48" s="135"/>
      <c r="J48" s="135"/>
      <c r="K48" s="135">
        <v>1.2417499120084017</v>
      </c>
      <c r="L48" s="135">
        <f t="shared" si="4"/>
        <v>0.77586206896551724</v>
      </c>
      <c r="M48" s="135">
        <f t="shared" si="8"/>
        <v>0.75829255699115117</v>
      </c>
      <c r="N48" s="135"/>
      <c r="O48" s="135"/>
      <c r="P48" s="135"/>
      <c r="Q48" s="135"/>
      <c r="R48" s="135"/>
      <c r="S48" s="135"/>
      <c r="T48" s="135"/>
      <c r="U48" s="135"/>
      <c r="V48" s="135"/>
      <c r="W48" s="135"/>
      <c r="X48" s="135"/>
      <c r="Y48" s="135"/>
      <c r="Z48" s="135"/>
      <c r="AA48" s="135"/>
      <c r="AB48" s="135"/>
      <c r="AC48" s="135"/>
      <c r="AD48" s="135"/>
      <c r="AE48" s="135"/>
      <c r="AF48" s="135"/>
      <c r="AG48" s="135"/>
      <c r="AH48" s="135"/>
      <c r="AI48" s="135"/>
      <c r="AJ48" s="135"/>
      <c r="AK48" s="135"/>
    </row>
    <row r="49" spans="1:37" x14ac:dyDescent="0.25">
      <c r="A49" s="135">
        <v>45</v>
      </c>
      <c r="B49" s="140">
        <v>134.46</v>
      </c>
      <c r="C49" s="191">
        <f t="shared" si="1"/>
        <v>134.51</v>
      </c>
      <c r="D49" s="189">
        <f t="shared" si="5"/>
        <v>134.84989739652451</v>
      </c>
      <c r="E49" s="200">
        <f t="shared" si="9"/>
        <v>-0.38989739652450339</v>
      </c>
      <c r="F49" s="135">
        <f t="shared" si="10"/>
        <v>0.28997277742414351</v>
      </c>
      <c r="G49" s="135">
        <f t="shared" si="7"/>
        <v>0.15201997981658583</v>
      </c>
      <c r="H49" s="135">
        <f t="shared" si="11"/>
        <v>2.8162829373298393E-2</v>
      </c>
      <c r="I49" s="135"/>
      <c r="J49" s="135"/>
      <c r="K49" s="135">
        <v>1.4442173876276883</v>
      </c>
      <c r="L49" s="135">
        <f t="shared" si="4"/>
        <v>0.7931034482758621</v>
      </c>
      <c r="M49" s="135">
        <f t="shared" si="8"/>
        <v>0.81723682202940007</v>
      </c>
      <c r="N49" s="135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</row>
    <row r="50" spans="1:37" x14ac:dyDescent="0.25">
      <c r="A50" s="135">
        <v>46</v>
      </c>
      <c r="B50" s="140">
        <v>134.27000000000001</v>
      </c>
      <c r="C50" s="191">
        <f t="shared" si="1"/>
        <v>134.46</v>
      </c>
      <c r="D50" s="189">
        <f t="shared" si="5"/>
        <v>134.80080662743575</v>
      </c>
      <c r="E50" s="200">
        <f t="shared" si="9"/>
        <v>-0.53080662743573725</v>
      </c>
      <c r="F50" s="135">
        <f t="shared" si="10"/>
        <v>0.39532779283215702</v>
      </c>
      <c r="G50" s="135">
        <f t="shared" si="7"/>
        <v>0.28175567572970156</v>
      </c>
      <c r="H50" s="135">
        <f t="shared" si="11"/>
        <v>1.9855411355995424E-2</v>
      </c>
      <c r="I50" s="135"/>
      <c r="J50" s="135"/>
      <c r="K50" s="135">
        <v>1.8340673948850963</v>
      </c>
      <c r="L50" s="135">
        <f t="shared" si="4"/>
        <v>0.81034482758620685</v>
      </c>
      <c r="M50" s="135">
        <f t="shared" si="8"/>
        <v>0.87916771844456865</v>
      </c>
      <c r="N50" s="135"/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  <c r="AA50" s="135"/>
      <c r="AB50" s="135"/>
      <c r="AC50" s="135"/>
      <c r="AD50" s="135"/>
      <c r="AE50" s="135"/>
      <c r="AF50" s="135"/>
      <c r="AG50" s="135"/>
      <c r="AH50" s="135"/>
      <c r="AI50" s="135"/>
      <c r="AJ50" s="135"/>
      <c r="AK50" s="135"/>
    </row>
    <row r="51" spans="1:37" x14ac:dyDescent="0.25">
      <c r="A51" s="135">
        <v>47</v>
      </c>
      <c r="B51" s="140">
        <v>133.72999999999999</v>
      </c>
      <c r="C51" s="191">
        <f t="shared" si="1"/>
        <v>134.27000000000001</v>
      </c>
      <c r="D51" s="189">
        <f t="shared" si="5"/>
        <v>134.61426170489864</v>
      </c>
      <c r="E51" s="200">
        <f t="shared" si="9"/>
        <v>-0.8842617048986483</v>
      </c>
      <c r="F51" s="135">
        <f t="shared" si="10"/>
        <v>0.66122912203592932</v>
      </c>
      <c r="G51" s="135">
        <f t="shared" si="7"/>
        <v>0.78191876275026417</v>
      </c>
      <c r="H51" s="135">
        <f t="shared" si="11"/>
        <v>0.12493049178431245</v>
      </c>
      <c r="I51" s="135"/>
      <c r="J51" s="135"/>
      <c r="K51" s="135">
        <v>2.4274604747863577</v>
      </c>
      <c r="L51" s="135">
        <f t="shared" si="4"/>
        <v>0.82758620689655171</v>
      </c>
      <c r="M51" s="135">
        <f t="shared" si="8"/>
        <v>0.94466959139447615</v>
      </c>
      <c r="N51" s="135"/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  <c r="AA51" s="135"/>
      <c r="AB51" s="135"/>
      <c r="AC51" s="135"/>
      <c r="AD51" s="135"/>
      <c r="AE51" s="135"/>
      <c r="AF51" s="135"/>
      <c r="AG51" s="135"/>
      <c r="AH51" s="135"/>
      <c r="AI51" s="135"/>
      <c r="AJ51" s="135"/>
      <c r="AK51" s="135"/>
    </row>
    <row r="52" spans="1:37" x14ac:dyDescent="0.25">
      <c r="A52" s="135">
        <v>48</v>
      </c>
      <c r="B52" s="140">
        <v>132.01</v>
      </c>
      <c r="C52" s="191">
        <f t="shared" si="1"/>
        <v>133.72999999999999</v>
      </c>
      <c r="D52" s="189">
        <f t="shared" si="5"/>
        <v>134.08408139874035</v>
      </c>
      <c r="E52" s="200">
        <f t="shared" si="9"/>
        <v>-2.0740813987403612</v>
      </c>
      <c r="F52" s="135">
        <f t="shared" si="10"/>
        <v>1.5711547600487548</v>
      </c>
      <c r="G52" s="135">
        <f t="shared" si="7"/>
        <v>4.3018136486007732</v>
      </c>
      <c r="H52" s="135">
        <f t="shared" si="11"/>
        <v>1.4156709038535875</v>
      </c>
      <c r="I52" s="135"/>
      <c r="J52" s="135"/>
      <c r="K52" s="135">
        <v>2.7536203470351666</v>
      </c>
      <c r="L52" s="135">
        <f t="shared" si="4"/>
        <v>0.84482758620689657</v>
      </c>
      <c r="M52" s="135">
        <f t="shared" si="8"/>
        <v>1.014498745784099</v>
      </c>
      <c r="N52" s="135"/>
      <c r="O52" s="135"/>
      <c r="P52" s="135"/>
      <c r="Q52" s="135"/>
      <c r="R52" s="135"/>
      <c r="S52" s="135"/>
      <c r="T52" s="135"/>
      <c r="U52" s="135"/>
      <c r="V52" s="135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</row>
    <row r="53" spans="1:37" x14ac:dyDescent="0.25">
      <c r="A53" s="135">
        <v>49</v>
      </c>
      <c r="B53" s="140">
        <v>130.59</v>
      </c>
      <c r="C53" s="191">
        <f t="shared" si="1"/>
        <v>132.01</v>
      </c>
      <c r="D53" s="189">
        <f t="shared" si="5"/>
        <v>132.39535894208808</v>
      </c>
      <c r="E53" s="200">
        <f t="shared" si="9"/>
        <v>-1.8053589420880769</v>
      </c>
      <c r="F53" s="135">
        <f t="shared" si="10"/>
        <v>1.3824633908324349</v>
      </c>
      <c r="G53" s="135">
        <f t="shared" si="7"/>
        <v>3.2593209097773803</v>
      </c>
      <c r="H53" s="135">
        <f t="shared" si="11"/>
        <v>7.2211758709238835E-2</v>
      </c>
      <c r="I53" s="135"/>
      <c r="J53" s="135"/>
      <c r="K53" s="135">
        <v>3.2536752392346386</v>
      </c>
      <c r="L53" s="135">
        <f t="shared" si="4"/>
        <v>0.86206896551724133</v>
      </c>
      <c r="M53" s="135">
        <f t="shared" si="8"/>
        <v>1.0896619819461066</v>
      </c>
      <c r="N53" s="135"/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  <c r="AA53" s="135"/>
      <c r="AB53" s="135"/>
      <c r="AC53" s="135"/>
      <c r="AD53" s="135"/>
      <c r="AE53" s="135"/>
      <c r="AF53" s="135"/>
      <c r="AG53" s="135"/>
      <c r="AH53" s="135"/>
      <c r="AI53" s="135"/>
      <c r="AJ53" s="135"/>
      <c r="AK53" s="135"/>
    </row>
    <row r="54" spans="1:37" x14ac:dyDescent="0.25">
      <c r="A54" s="135">
        <v>50</v>
      </c>
      <c r="B54" s="140">
        <v>130.28</v>
      </c>
      <c r="C54" s="191">
        <f t="shared" si="1"/>
        <v>130.59</v>
      </c>
      <c r="D54" s="189">
        <f t="shared" si="5"/>
        <v>131.00118109996828</v>
      </c>
      <c r="E54" s="200">
        <f t="shared" si="9"/>
        <v>-0.72118109996827684</v>
      </c>
      <c r="F54" s="135">
        <f t="shared" si="10"/>
        <v>0.55356240402845935</v>
      </c>
      <c r="G54" s="135">
        <f t="shared" si="7"/>
        <v>0.52010217895145372</v>
      </c>
      <c r="H54" s="135">
        <f t="shared" si="11"/>
        <v>1.175441593343546</v>
      </c>
      <c r="I54" s="135"/>
      <c r="J54" s="135"/>
      <c r="K54" s="135">
        <v>3.6948788071003662</v>
      </c>
      <c r="L54" s="135">
        <f t="shared" si="4"/>
        <v>0.87931034482758619</v>
      </c>
      <c r="M54" s="135">
        <f t="shared" si="8"/>
        <v>1.1715461713027622</v>
      </c>
      <c r="N54" s="135"/>
      <c r="O54" s="135"/>
      <c r="P54" s="135"/>
      <c r="Q54" s="135"/>
      <c r="R54" s="135"/>
      <c r="S54" s="135"/>
      <c r="T54" s="135"/>
      <c r="U54" s="135"/>
      <c r="V54" s="135"/>
      <c r="W54" s="135"/>
      <c r="X54" s="135"/>
      <c r="Y54" s="135"/>
      <c r="Z54" s="135"/>
      <c r="AA54" s="135"/>
      <c r="AB54" s="135"/>
      <c r="AC54" s="135"/>
      <c r="AD54" s="135"/>
      <c r="AE54" s="135"/>
      <c r="AF54" s="135"/>
      <c r="AG54" s="135"/>
      <c r="AH54" s="135"/>
      <c r="AI54" s="135"/>
      <c r="AJ54" s="135"/>
      <c r="AK54" s="135"/>
    </row>
    <row r="55" spans="1:37" x14ac:dyDescent="0.25">
      <c r="A55" s="135">
        <v>51</v>
      </c>
      <c r="B55" s="140">
        <v>129.16</v>
      </c>
      <c r="C55" s="191">
        <f t="shared" si="1"/>
        <v>130.28</v>
      </c>
      <c r="D55" s="189">
        <f t="shared" si="5"/>
        <v>130.69681833161815</v>
      </c>
      <c r="E55" s="200">
        <f t="shared" si="9"/>
        <v>-1.5368183316181501</v>
      </c>
      <c r="F55" s="135">
        <f t="shared" si="10"/>
        <v>1.1898562493172422</v>
      </c>
      <c r="G55" s="135">
        <f t="shared" si="7"/>
        <v>2.3618105843975941</v>
      </c>
      <c r="H55" s="135">
        <f t="shared" si="11"/>
        <v>0.66526409365346895</v>
      </c>
      <c r="I55" s="135"/>
      <c r="J55" s="135"/>
      <c r="K55" s="135">
        <v>3.8509872938606975</v>
      </c>
      <c r="L55" s="135">
        <f t="shared" si="4"/>
        <v>0.89655172413793105</v>
      </c>
      <c r="M55" s="135">
        <f t="shared" si="8"/>
        <v>1.2621451766228082</v>
      </c>
      <c r="N55" s="135"/>
      <c r="O55" s="135"/>
      <c r="P55" s="135"/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</row>
    <row r="56" spans="1:37" x14ac:dyDescent="0.25">
      <c r="A56" s="135">
        <v>52</v>
      </c>
      <c r="B56" s="140">
        <v>128.94</v>
      </c>
      <c r="C56" s="191">
        <f t="shared" si="1"/>
        <v>129.16</v>
      </c>
      <c r="D56" s="189">
        <f t="shared" si="5"/>
        <v>129.59718510403064</v>
      </c>
      <c r="E56" s="200">
        <f t="shared" si="9"/>
        <v>-0.65718510403064556</v>
      </c>
      <c r="F56" s="135">
        <f t="shared" si="10"/>
        <v>0.50968287888215102</v>
      </c>
      <c r="G56" s="135">
        <f t="shared" si="7"/>
        <v>0.4318922609597704</v>
      </c>
      <c r="H56" s="135">
        <f t="shared" si="11"/>
        <v>0.77375461507601051</v>
      </c>
      <c r="I56" s="135"/>
      <c r="J56" s="135"/>
      <c r="K56" s="135">
        <v>4.3219069662048923</v>
      </c>
      <c r="L56" s="135">
        <f t="shared" si="4"/>
        <v>0.91379310344827591</v>
      </c>
      <c r="M56" s="135">
        <f t="shared" si="8"/>
        <v>1.3644887481703283</v>
      </c>
      <c r="N56" s="135"/>
      <c r="O56" s="135"/>
      <c r="P56" s="135"/>
      <c r="Q56" s="135"/>
      <c r="R56" s="135"/>
      <c r="S56" s="135"/>
      <c r="T56" s="135"/>
      <c r="U56" s="135"/>
      <c r="V56" s="135"/>
      <c r="W56" s="135"/>
      <c r="X56" s="135"/>
      <c r="Y56" s="135"/>
      <c r="Z56" s="135"/>
      <c r="AA56" s="135"/>
      <c r="AB56" s="135"/>
      <c r="AC56" s="135"/>
      <c r="AD56" s="135"/>
      <c r="AE56" s="135"/>
      <c r="AF56" s="135"/>
      <c r="AG56" s="135"/>
      <c r="AH56" s="135"/>
      <c r="AI56" s="135"/>
      <c r="AJ56" s="135"/>
      <c r="AK56" s="135"/>
    </row>
    <row r="57" spans="1:37" x14ac:dyDescent="0.25">
      <c r="A57" s="135">
        <v>53</v>
      </c>
      <c r="B57" s="140">
        <v>129.30000000000001</v>
      </c>
      <c r="C57" s="191">
        <f t="shared" si="1"/>
        <v>128.94</v>
      </c>
      <c r="D57" s="189">
        <f t="shared" si="5"/>
        <v>129.38118572004024</v>
      </c>
      <c r="E57" s="200">
        <f t="shared" si="9"/>
        <v>-8.1185720040224396E-2</v>
      </c>
      <c r="F57" s="135">
        <f t="shared" si="10"/>
        <v>6.2788646589500688E-2</v>
      </c>
      <c r="G57" s="135">
        <f t="shared" si="7"/>
        <v>6.5911211384496928E-3</v>
      </c>
      <c r="H57" s="135">
        <f t="shared" si="11"/>
        <v>0.33177529035734465</v>
      </c>
      <c r="I57" s="135"/>
      <c r="J57" s="135"/>
      <c r="K57" s="135">
        <v>4.3243769708798823</v>
      </c>
      <c r="L57" s="135">
        <f t="shared" si="4"/>
        <v>0.93103448275862066</v>
      </c>
      <c r="M57" s="135">
        <f t="shared" si="8"/>
        <v>1.4835398594012972</v>
      </c>
      <c r="N57" s="135"/>
      <c r="O57" s="135"/>
      <c r="P57" s="135"/>
      <c r="Q57" s="135"/>
      <c r="R57" s="135"/>
      <c r="S57" s="135"/>
      <c r="T57" s="135"/>
      <c r="U57" s="135"/>
      <c r="V57" s="135"/>
      <c r="W57" s="135"/>
      <c r="X57" s="135"/>
      <c r="Y57" s="135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5"/>
    </row>
    <row r="58" spans="1:37" x14ac:dyDescent="0.25">
      <c r="A58" s="135">
        <v>54</v>
      </c>
      <c r="B58" s="140">
        <v>131.22</v>
      </c>
      <c r="C58" s="191">
        <f t="shared" si="1"/>
        <v>129.30000000000001</v>
      </c>
      <c r="D58" s="189">
        <f t="shared" si="5"/>
        <v>129.7346392574791</v>
      </c>
      <c r="E58" s="150">
        <f t="shared" si="9"/>
        <v>1.4853607425208963</v>
      </c>
      <c r="F58" s="135">
        <f t="shared" si="10"/>
        <v>1.1319621570803966</v>
      </c>
      <c r="G58" s="135">
        <f t="shared" si="7"/>
        <v>2.2062965354222284</v>
      </c>
      <c r="H58" s="135">
        <f t="shared" si="11"/>
        <v>2.454067819362761</v>
      </c>
      <c r="I58" s="135"/>
      <c r="J58" s="135"/>
      <c r="K58" s="135">
        <v>5.0236058437068181</v>
      </c>
      <c r="L58" s="135">
        <f t="shared" si="4"/>
        <v>0.94827586206896552</v>
      </c>
      <c r="M58" s="135">
        <f t="shared" si="8"/>
        <v>1.6283614067169063</v>
      </c>
      <c r="N58" s="135"/>
      <c r="O58" s="135"/>
      <c r="P58" s="135"/>
      <c r="Q58" s="135"/>
      <c r="R58" s="135"/>
      <c r="S58" s="135"/>
      <c r="T58" s="135"/>
      <c r="U58" s="135"/>
      <c r="V58" s="135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</row>
    <row r="59" spans="1:37" x14ac:dyDescent="0.25">
      <c r="A59" s="135">
        <v>55</v>
      </c>
      <c r="B59" s="140">
        <v>132.52000000000001</v>
      </c>
      <c r="C59" s="191">
        <f t="shared" si="1"/>
        <v>131.22</v>
      </c>
      <c r="D59" s="189">
        <f t="shared" si="5"/>
        <v>131.6197247904862</v>
      </c>
      <c r="E59" s="150">
        <f t="shared" si="9"/>
        <v>0.90027520951380779</v>
      </c>
      <c r="F59" s="135">
        <f t="shared" si="10"/>
        <v>0.67935044484893425</v>
      </c>
      <c r="G59" s="135">
        <f t="shared" si="7"/>
        <v>0.81049545286513047</v>
      </c>
      <c r="H59" s="135">
        <f t="shared" si="11"/>
        <v>0.3423250809341889</v>
      </c>
      <c r="I59" s="135"/>
      <c r="J59" s="135"/>
      <c r="K59" s="135">
        <v>5.2695912606996558</v>
      </c>
      <c r="L59" s="135">
        <f t="shared" si="4"/>
        <v>0.96551724137931039</v>
      </c>
      <c r="M59" s="135">
        <f t="shared" si="8"/>
        <v>1.8186455928500604</v>
      </c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  <c r="AE59" s="135"/>
      <c r="AF59" s="135"/>
      <c r="AG59" s="135"/>
      <c r="AH59" s="135"/>
      <c r="AI59" s="135"/>
      <c r="AJ59" s="135"/>
      <c r="AK59" s="135"/>
    </row>
    <row r="60" spans="1:37" x14ac:dyDescent="0.25">
      <c r="A60" s="135">
        <v>56</v>
      </c>
      <c r="B60" s="140">
        <v>134.25</v>
      </c>
      <c r="C60" s="191">
        <f t="shared" si="1"/>
        <v>132.52000000000001</v>
      </c>
      <c r="D60" s="189">
        <f t="shared" si="5"/>
        <v>132.89608478679315</v>
      </c>
      <c r="E60" s="150">
        <f t="shared" si="9"/>
        <v>1.3539152132068466</v>
      </c>
      <c r="F60" s="135">
        <f t="shared" si="10"/>
        <v>1.0085029521093829</v>
      </c>
      <c r="G60" s="135">
        <f t="shared" si="7"/>
        <v>1.8330864045529409</v>
      </c>
      <c r="H60" s="135">
        <f t="shared" si="11"/>
        <v>0.20578925295062026</v>
      </c>
      <c r="I60" s="135"/>
      <c r="J60" s="135"/>
      <c r="K60" s="135"/>
      <c r="L60" s="135">
        <f t="shared" si="4"/>
        <v>0.98275862068965514</v>
      </c>
      <c r="M60" s="135">
        <f t="shared" si="8"/>
        <v>2.1143807715275598</v>
      </c>
      <c r="N60" s="135"/>
      <c r="O60" s="135"/>
      <c r="P60" s="135"/>
      <c r="Q60" s="135"/>
      <c r="R60" s="135"/>
      <c r="S60" s="135"/>
      <c r="T60" s="135"/>
      <c r="U60" s="135"/>
      <c r="V60" s="135"/>
      <c r="W60" s="135"/>
      <c r="X60" s="135"/>
      <c r="Y60" s="135"/>
      <c r="Z60" s="135"/>
      <c r="AA60" s="135"/>
      <c r="AB60" s="135"/>
      <c r="AC60" s="135"/>
      <c r="AD60" s="135"/>
      <c r="AE60" s="135"/>
      <c r="AF60" s="135"/>
      <c r="AG60" s="135"/>
      <c r="AH60" s="135"/>
      <c r="AI60" s="135"/>
      <c r="AJ60" s="135"/>
      <c r="AK60" s="135"/>
    </row>
    <row r="61" spans="1:37" x14ac:dyDescent="0.25">
      <c r="A61" s="135">
        <v>57</v>
      </c>
      <c r="B61" s="140">
        <v>136.06</v>
      </c>
      <c r="C61" s="191">
        <f t="shared" si="1"/>
        <v>134.25</v>
      </c>
      <c r="D61" s="189">
        <f t="shared" si="5"/>
        <v>134.59462539726309</v>
      </c>
      <c r="E61" s="150">
        <f t="shared" si="9"/>
        <v>1.4653746027369152</v>
      </c>
      <c r="F61" s="135">
        <f t="shared" si="10"/>
        <v>1.0770061757584266</v>
      </c>
      <c r="G61" s="135">
        <f t="shared" si="7"/>
        <v>2.1473227263463719</v>
      </c>
      <c r="H61" s="135">
        <f t="shared" si="11"/>
        <v>1.2423195514415571E-2</v>
      </c>
      <c r="I61" s="135"/>
      <c r="J61" s="135"/>
      <c r="K61" s="135"/>
      <c r="L61" s="135"/>
      <c r="M61" s="135"/>
      <c r="N61" s="135"/>
      <c r="O61" s="135"/>
      <c r="P61" s="135"/>
      <c r="Q61" s="135"/>
      <c r="R61" s="135"/>
      <c r="S61" s="135"/>
      <c r="T61" s="135"/>
      <c r="U61" s="135"/>
      <c r="V61" s="135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</row>
    <row r="62" spans="1:37" x14ac:dyDescent="0.25">
      <c r="A62" s="135" t="s">
        <v>76</v>
      </c>
      <c r="B62" s="150">
        <f>SUM(B4:B61)</f>
        <v>7013.130000000001</v>
      </c>
      <c r="C62" s="150">
        <f>SUM(C4:C61)</f>
        <v>6877.0700000000006</v>
      </c>
      <c r="D62" s="150">
        <f t="shared" ref="D62:G62" si="12">SUM(D4:D61)</f>
        <v>6910.8100000000013</v>
      </c>
      <c r="E62" s="150">
        <f t="shared" si="12"/>
        <v>-8.5265128291212022E-13</v>
      </c>
      <c r="F62" s="150">
        <f t="shared" si="12"/>
        <v>73.844244507334324</v>
      </c>
      <c r="G62" s="150">
        <f t="shared" si="12"/>
        <v>223.06486462651398</v>
      </c>
      <c r="H62" s="150">
        <f>SUM(H4:H61)</f>
        <v>83.253297503299976</v>
      </c>
      <c r="I62" s="135"/>
      <c r="J62" s="135"/>
      <c r="K62" s="135"/>
      <c r="L62" s="135"/>
      <c r="M62" s="135"/>
      <c r="N62" s="135"/>
      <c r="O62" s="135"/>
      <c r="P62" s="135"/>
      <c r="Q62" s="135"/>
      <c r="R62" s="135"/>
      <c r="S62" s="135"/>
      <c r="T62" s="135"/>
      <c r="U62" s="135"/>
      <c r="V62" s="135"/>
      <c r="W62" s="135"/>
      <c r="X62" s="135"/>
      <c r="Y62" s="135"/>
      <c r="Z62" s="135"/>
      <c r="AA62" s="135"/>
      <c r="AB62" s="135"/>
      <c r="AC62" s="135"/>
      <c r="AD62" s="135"/>
      <c r="AE62" s="135"/>
      <c r="AF62" s="135"/>
      <c r="AG62" s="135"/>
      <c r="AH62" s="135"/>
      <c r="AI62" s="135"/>
      <c r="AJ62" s="135"/>
      <c r="AK62" s="135"/>
    </row>
    <row r="63" spans="1:37" x14ac:dyDescent="0.25">
      <c r="A63" s="135" t="s">
        <v>77</v>
      </c>
      <c r="B63" s="150">
        <f>AVERAGE(B4:B61)</f>
        <v>120.91603448275863</v>
      </c>
      <c r="C63" s="150">
        <f>AVERAGE(C4:C61)</f>
        <v>120.65035087719299</v>
      </c>
      <c r="D63" s="150">
        <f t="shared" ref="D63:G63" si="13">AVERAGE(D4:D61)</f>
        <v>121.24228070175441</v>
      </c>
      <c r="E63" s="150">
        <f t="shared" si="13"/>
        <v>-1.495879443705474E-14</v>
      </c>
      <c r="F63" s="150">
        <f t="shared" si="13"/>
        <v>1.295513061532181</v>
      </c>
      <c r="G63" s="150">
        <f t="shared" si="13"/>
        <v>3.9134186776581399</v>
      </c>
      <c r="H63" s="150">
        <f>AVERAGE(H4:H61)</f>
        <v>1.4866660268446423</v>
      </c>
      <c r="I63" s="135"/>
      <c r="J63" s="135"/>
      <c r="K63" s="135"/>
      <c r="L63" s="135"/>
      <c r="M63" s="135"/>
      <c r="N63" s="135"/>
      <c r="O63" s="135"/>
      <c r="P63" s="135"/>
      <c r="Q63" s="135"/>
      <c r="R63" s="135"/>
      <c r="S63" s="135"/>
      <c r="T63" s="135"/>
      <c r="U63" s="135"/>
      <c r="V63" s="135"/>
      <c r="W63" s="135"/>
      <c r="X63" s="135"/>
      <c r="Y63" s="135"/>
      <c r="Z63" s="135"/>
      <c r="AA63" s="135"/>
      <c r="AB63" s="135"/>
      <c r="AC63" s="135"/>
      <c r="AD63" s="135"/>
      <c r="AE63" s="135"/>
      <c r="AF63" s="135"/>
      <c r="AG63" s="135"/>
      <c r="AH63" s="135"/>
      <c r="AI63" s="135"/>
      <c r="AJ63" s="135"/>
      <c r="AK63" s="135"/>
    </row>
    <row r="64" spans="1:37" x14ac:dyDescent="0.25">
      <c r="A64" s="135"/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5"/>
      <c r="M64" s="135"/>
      <c r="N64" s="135"/>
      <c r="O64" s="135"/>
      <c r="P64" s="135"/>
      <c r="Q64" s="135"/>
      <c r="R64" s="135"/>
      <c r="S64" s="135"/>
      <c r="T64" s="135"/>
      <c r="U64" s="135"/>
      <c r="V64" s="135"/>
      <c r="W64" s="135"/>
      <c r="X64" s="135"/>
      <c r="Y64" s="135"/>
      <c r="Z64" s="135"/>
      <c r="AA64" s="135"/>
      <c r="AB64" s="135"/>
      <c r="AC64" s="135"/>
      <c r="AD64" s="135"/>
      <c r="AE64" s="135"/>
      <c r="AF64" s="135"/>
      <c r="AG64" s="135"/>
      <c r="AH64" s="135"/>
      <c r="AI64" s="135"/>
      <c r="AJ64" s="135"/>
      <c r="AK64" s="135"/>
    </row>
    <row r="65" spans="1:37" x14ac:dyDescent="0.25">
      <c r="A65" s="135"/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5"/>
      <c r="M65" s="135"/>
      <c r="N65" s="135"/>
      <c r="O65" s="135"/>
      <c r="P65" s="135"/>
      <c r="Q65" s="135"/>
      <c r="R65" s="135"/>
      <c r="S65" s="135"/>
      <c r="T65" s="135"/>
      <c r="U65" s="135"/>
      <c r="V65" s="135"/>
      <c r="W65" s="135"/>
      <c r="X65" s="135"/>
      <c r="Y65" s="135"/>
      <c r="Z65" s="135"/>
      <c r="AA65" s="135"/>
      <c r="AB65" s="135"/>
      <c r="AC65" s="135"/>
      <c r="AD65" s="135"/>
      <c r="AE65" s="135"/>
      <c r="AF65" s="135"/>
      <c r="AG65" s="135"/>
      <c r="AH65" s="135"/>
      <c r="AI65" s="135"/>
      <c r="AJ65" s="135"/>
      <c r="AK65" s="135"/>
    </row>
    <row r="66" spans="1:37" x14ac:dyDescent="0.25">
      <c r="A66" s="135"/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5"/>
      <c r="M66" s="135"/>
      <c r="N66" s="135"/>
      <c r="O66" s="135"/>
      <c r="P66" s="135"/>
      <c r="Q66" s="135"/>
      <c r="R66" s="135"/>
      <c r="S66" s="135"/>
      <c r="T66" s="135"/>
      <c r="U66" s="135"/>
      <c r="V66" s="135"/>
      <c r="W66" s="135"/>
      <c r="X66" s="135"/>
      <c r="Y66" s="135"/>
      <c r="Z66" s="135"/>
      <c r="AA66" s="135"/>
      <c r="AB66" s="135"/>
      <c r="AC66" s="135"/>
      <c r="AD66" s="135"/>
      <c r="AE66" s="135"/>
      <c r="AF66" s="135"/>
      <c r="AG66" s="135"/>
      <c r="AH66" s="135"/>
      <c r="AI66" s="135"/>
      <c r="AJ66" s="135"/>
      <c r="AK66" s="135"/>
    </row>
    <row r="67" spans="1:37" x14ac:dyDescent="0.25">
      <c r="A67" s="135"/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5"/>
      <c r="M67" s="135"/>
      <c r="N67" s="135"/>
      <c r="O67" s="135"/>
      <c r="P67" s="135"/>
      <c r="Q67" s="135"/>
      <c r="R67" s="135"/>
      <c r="S67" s="135"/>
      <c r="T67" s="135"/>
      <c r="U67" s="135"/>
      <c r="V67" s="135"/>
      <c r="W67" s="135"/>
      <c r="X67" s="135"/>
      <c r="Y67" s="135"/>
      <c r="Z67" s="135"/>
      <c r="AA67" s="135"/>
      <c r="AB67" s="135"/>
      <c r="AC67" s="135"/>
      <c r="AD67" s="135"/>
      <c r="AE67" s="135"/>
      <c r="AF67" s="135"/>
      <c r="AG67" s="135"/>
      <c r="AH67" s="135"/>
      <c r="AI67" s="135"/>
      <c r="AJ67" s="135"/>
      <c r="AK67" s="135"/>
    </row>
    <row r="68" spans="1:37" x14ac:dyDescent="0.25">
      <c r="A68" s="135"/>
      <c r="B68" s="135"/>
      <c r="C68" s="135"/>
      <c r="D68" s="135"/>
      <c r="E68" s="135"/>
      <c r="F68" s="135"/>
      <c r="G68" s="135"/>
      <c r="H68" s="135"/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  <c r="AA68" s="135"/>
      <c r="AB68" s="135"/>
      <c r="AC68" s="135"/>
      <c r="AD68" s="135"/>
      <c r="AE68" s="135"/>
      <c r="AF68" s="135"/>
      <c r="AG68" s="135"/>
      <c r="AH68" s="135"/>
      <c r="AI68" s="135"/>
      <c r="AJ68" s="135"/>
      <c r="AK68" s="135"/>
    </row>
    <row r="69" spans="1:37" x14ac:dyDescent="0.25">
      <c r="A69" s="135"/>
      <c r="B69" s="135"/>
      <c r="C69" s="135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  <c r="AE69" s="135"/>
      <c r="AF69" s="135"/>
      <c r="AG69" s="135"/>
      <c r="AH69" s="135"/>
      <c r="AI69" s="135"/>
      <c r="AJ69" s="135"/>
      <c r="AK69" s="135"/>
    </row>
    <row r="70" spans="1:37" x14ac:dyDescent="0.25">
      <c r="A70" s="135"/>
      <c r="B70" s="135"/>
      <c r="C70" s="135"/>
      <c r="D70" s="135"/>
      <c r="E70" s="135"/>
      <c r="F70" s="135"/>
      <c r="G70" s="135"/>
      <c r="H70" s="135"/>
      <c r="I70" s="135"/>
      <c r="J70" s="135"/>
      <c r="K70" s="135"/>
      <c r="L70" s="135"/>
      <c r="M70" s="135"/>
      <c r="N70" s="135"/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135"/>
      <c r="AF70" s="135"/>
      <c r="AG70" s="135"/>
      <c r="AH70" s="135"/>
      <c r="AI70" s="135"/>
      <c r="AJ70" s="135"/>
      <c r="AK70" s="135"/>
    </row>
    <row r="71" spans="1:37" x14ac:dyDescent="0.25">
      <c r="A71" s="135"/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</row>
    <row r="72" spans="1:37" x14ac:dyDescent="0.25">
      <c r="A72" s="135"/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135"/>
      <c r="AF72" s="135"/>
      <c r="AG72" s="135"/>
      <c r="AH72" s="135"/>
      <c r="AI72" s="135"/>
      <c r="AJ72" s="135"/>
      <c r="AK72" s="135"/>
    </row>
    <row r="73" spans="1:37" x14ac:dyDescent="0.25">
      <c r="A73" s="135"/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  <c r="AF73" s="135"/>
      <c r="AG73" s="135"/>
      <c r="AH73" s="135"/>
      <c r="AI73" s="135"/>
      <c r="AJ73" s="135"/>
      <c r="AK73" s="135"/>
    </row>
    <row r="74" spans="1:37" x14ac:dyDescent="0.25">
      <c r="A74" s="135"/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</row>
    <row r="75" spans="1:37" x14ac:dyDescent="0.25">
      <c r="A75" s="135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</row>
    <row r="76" spans="1:37" x14ac:dyDescent="0.25">
      <c r="A76" s="135"/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</row>
    <row r="77" spans="1:37" x14ac:dyDescent="0.25">
      <c r="A77" s="135"/>
      <c r="B77" s="135"/>
      <c r="C77" s="135"/>
      <c r="D77" s="135"/>
      <c r="E77" s="135"/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135"/>
      <c r="AF77" s="135"/>
      <c r="AG77" s="135"/>
      <c r="AH77" s="135"/>
      <c r="AI77" s="135"/>
      <c r="AJ77" s="135"/>
      <c r="AK77" s="135"/>
    </row>
    <row r="78" spans="1:37" x14ac:dyDescent="0.25">
      <c r="A78" s="135"/>
      <c r="B78" s="135"/>
      <c r="C78" s="135"/>
      <c r="D78" s="135"/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</row>
    <row r="79" spans="1:37" x14ac:dyDescent="0.25">
      <c r="A79" s="135"/>
      <c r="B79" s="135"/>
      <c r="C79" s="135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5"/>
    </row>
    <row r="80" spans="1:37" x14ac:dyDescent="0.25">
      <c r="A80" s="135"/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</row>
    <row r="81" spans="1:37" x14ac:dyDescent="0.25">
      <c r="A81" s="135"/>
      <c r="B81" s="135"/>
      <c r="C81" s="135"/>
      <c r="D81" s="135"/>
      <c r="E81" s="135"/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  <c r="AE81" s="135"/>
      <c r="AF81" s="135"/>
      <c r="AG81" s="135"/>
      <c r="AH81" s="135"/>
      <c r="AI81" s="135"/>
      <c r="AJ81" s="135"/>
      <c r="AK81" s="135"/>
    </row>
    <row r="82" spans="1:37" x14ac:dyDescent="0.25">
      <c r="A82" s="135"/>
      <c r="B82" s="135"/>
      <c r="C82" s="135"/>
      <c r="D82" s="135"/>
      <c r="E82" s="135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  <c r="AE82" s="135"/>
      <c r="AF82" s="135"/>
      <c r="AG82" s="135"/>
      <c r="AH82" s="135"/>
      <c r="AI82" s="135"/>
      <c r="AJ82" s="135"/>
      <c r="AK82" s="135"/>
    </row>
    <row r="83" spans="1:37" x14ac:dyDescent="0.25">
      <c r="A83" s="135"/>
      <c r="B83" s="135"/>
      <c r="C83" s="135"/>
      <c r="D83" s="135"/>
      <c r="E83" s="135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35"/>
      <c r="AF83" s="135"/>
      <c r="AG83" s="135"/>
      <c r="AH83" s="135"/>
      <c r="AI83" s="135"/>
      <c r="AJ83" s="135"/>
      <c r="AK83" s="135"/>
    </row>
    <row r="84" spans="1:37" x14ac:dyDescent="0.25">
      <c r="A84" s="135"/>
      <c r="B84" s="135"/>
      <c r="C84" s="135"/>
      <c r="D84" s="135"/>
      <c r="E84" s="135"/>
      <c r="F84" s="135"/>
      <c r="G84" s="135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135"/>
      <c r="AF84" s="135"/>
      <c r="AG84" s="135"/>
      <c r="AH84" s="135"/>
      <c r="AI84" s="135"/>
      <c r="AJ84" s="135"/>
      <c r="AK84" s="135"/>
    </row>
    <row r="85" spans="1:37" x14ac:dyDescent="0.25">
      <c r="A85" s="135"/>
      <c r="B85" s="135"/>
      <c r="C85" s="135"/>
      <c r="D85" s="135"/>
      <c r="E85" s="135"/>
      <c r="F85" s="135"/>
      <c r="G85" s="135"/>
      <c r="H85" s="135"/>
      <c r="I85" s="135"/>
      <c r="J85" s="135"/>
      <c r="K85" s="135"/>
      <c r="L85" s="135"/>
      <c r="M85" s="135"/>
      <c r="N85" s="135"/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135"/>
      <c r="AF85" s="135"/>
      <c r="AG85" s="135"/>
      <c r="AH85" s="135"/>
      <c r="AI85" s="135"/>
      <c r="AJ85" s="135"/>
      <c r="AK85" s="135"/>
    </row>
    <row r="86" spans="1:37" x14ac:dyDescent="0.25">
      <c r="A86" s="135"/>
      <c r="B86" s="135"/>
      <c r="C86" s="135"/>
      <c r="D86" s="135"/>
      <c r="E86" s="135"/>
      <c r="F86" s="135"/>
      <c r="G86" s="135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  <c r="AE86" s="135"/>
      <c r="AF86" s="135"/>
      <c r="AG86" s="135"/>
      <c r="AH86" s="135"/>
      <c r="AI86" s="135"/>
      <c r="AJ86" s="135"/>
      <c r="AK86" s="135"/>
    </row>
    <row r="87" spans="1:37" x14ac:dyDescent="0.25">
      <c r="A87" s="135"/>
      <c r="B87" s="135"/>
      <c r="C87" s="135"/>
      <c r="D87" s="135"/>
      <c r="E87" s="135"/>
      <c r="F87" s="135"/>
      <c r="G87" s="135"/>
      <c r="H87" s="135"/>
      <c r="I87" s="135"/>
      <c r="J87" s="135"/>
      <c r="K87" s="135"/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  <c r="AE87" s="135"/>
      <c r="AF87" s="135"/>
      <c r="AG87" s="135"/>
      <c r="AH87" s="135"/>
      <c r="AI87" s="135"/>
      <c r="AJ87" s="135"/>
      <c r="AK87" s="135"/>
    </row>
    <row r="88" spans="1:37" x14ac:dyDescent="0.25">
      <c r="A88" s="135"/>
      <c r="B88" s="135"/>
      <c r="C88" s="135"/>
      <c r="D88" s="135"/>
      <c r="E88" s="135"/>
      <c r="F88" s="135"/>
      <c r="G88" s="135"/>
      <c r="H88" s="135"/>
      <c r="I88" s="135"/>
      <c r="J88" s="135"/>
      <c r="K88" s="135"/>
      <c r="L88" s="135"/>
      <c r="M88" s="135"/>
      <c r="N88" s="135"/>
      <c r="O88" s="135"/>
      <c r="P88" s="135"/>
      <c r="Q88" s="135"/>
      <c r="R88" s="135"/>
      <c r="S88" s="135"/>
      <c r="T88" s="135"/>
      <c r="U88" s="135"/>
      <c r="V88" s="135"/>
      <c r="W88" s="135"/>
      <c r="X88" s="135"/>
      <c r="Y88" s="135"/>
      <c r="Z88" s="135"/>
      <c r="AA88" s="135"/>
      <c r="AB88" s="135"/>
      <c r="AC88" s="135"/>
      <c r="AD88" s="135"/>
      <c r="AE88" s="135"/>
      <c r="AF88" s="135"/>
      <c r="AG88" s="135"/>
      <c r="AH88" s="135"/>
      <c r="AI88" s="135"/>
      <c r="AJ88" s="135"/>
      <c r="AK88" s="135"/>
    </row>
    <row r="89" spans="1:37" x14ac:dyDescent="0.25">
      <c r="A89" s="135"/>
      <c r="B89" s="135"/>
      <c r="C89" s="135"/>
      <c r="D89" s="135"/>
      <c r="E89" s="135"/>
      <c r="F89" s="135"/>
      <c r="G89" s="135"/>
      <c r="H89" s="135"/>
      <c r="I89" s="135"/>
      <c r="J89" s="135"/>
      <c r="K89" s="135"/>
      <c r="L89" s="135"/>
      <c r="M89" s="135"/>
      <c r="N89" s="135"/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  <c r="AA89" s="135"/>
      <c r="AB89" s="135"/>
      <c r="AC89" s="135"/>
      <c r="AD89" s="135"/>
      <c r="AE89" s="135"/>
      <c r="AF89" s="135"/>
      <c r="AG89" s="135"/>
      <c r="AH89" s="135"/>
      <c r="AI89" s="135"/>
      <c r="AJ89" s="135"/>
      <c r="AK89" s="135"/>
    </row>
    <row r="90" spans="1:37" x14ac:dyDescent="0.25">
      <c r="A90" s="135"/>
      <c r="B90" s="135"/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5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  <c r="AF90" s="135"/>
      <c r="AG90" s="135"/>
      <c r="AH90" s="135"/>
      <c r="AI90" s="135"/>
      <c r="AJ90" s="135"/>
      <c r="AK90" s="135"/>
    </row>
    <row r="91" spans="1:37" x14ac:dyDescent="0.25">
      <c r="A91" s="135"/>
      <c r="B91" s="135"/>
      <c r="C91" s="135"/>
      <c r="D91" s="135"/>
      <c r="E91" s="135"/>
      <c r="F91" s="135"/>
      <c r="G91" s="135"/>
      <c r="H91" s="135"/>
      <c r="I91" s="135"/>
      <c r="J91" s="135"/>
      <c r="K91" s="135"/>
      <c r="L91" s="135"/>
      <c r="M91" s="135"/>
      <c r="N91" s="135"/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</row>
    <row r="92" spans="1:37" x14ac:dyDescent="0.25">
      <c r="A92" s="135"/>
      <c r="B92" s="135"/>
      <c r="C92" s="135"/>
      <c r="D92" s="135"/>
      <c r="E92" s="135"/>
      <c r="F92" s="135"/>
      <c r="G92" s="135"/>
      <c r="H92" s="135"/>
      <c r="I92" s="135"/>
      <c r="J92" s="135"/>
      <c r="K92" s="135"/>
      <c r="L92" s="135"/>
      <c r="M92" s="135"/>
      <c r="N92" s="135"/>
      <c r="O92" s="135"/>
      <c r="P92" s="135"/>
      <c r="Q92" s="135"/>
      <c r="R92" s="135"/>
      <c r="S92" s="135"/>
      <c r="T92" s="135"/>
      <c r="U92" s="135"/>
      <c r="V92" s="135"/>
      <c r="W92" s="135"/>
      <c r="X92" s="135"/>
      <c r="Y92" s="135"/>
      <c r="Z92" s="135"/>
      <c r="AA92" s="135"/>
      <c r="AB92" s="135"/>
      <c r="AC92" s="135"/>
      <c r="AD92" s="135"/>
      <c r="AE92" s="135"/>
      <c r="AF92" s="135"/>
      <c r="AG92" s="135"/>
      <c r="AH92" s="135"/>
      <c r="AI92" s="135"/>
      <c r="AJ92" s="135"/>
      <c r="AK92" s="135"/>
    </row>
    <row r="93" spans="1:37" x14ac:dyDescent="0.25">
      <c r="A93" s="135"/>
      <c r="B93" s="135"/>
      <c r="C93" s="135"/>
      <c r="D93" s="135"/>
      <c r="E93" s="135"/>
      <c r="F93" s="135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135"/>
      <c r="AF93" s="135"/>
      <c r="AG93" s="135"/>
      <c r="AH93" s="135"/>
      <c r="AI93" s="135"/>
      <c r="AJ93" s="135"/>
      <c r="AK93" s="135"/>
    </row>
    <row r="94" spans="1:37" x14ac:dyDescent="0.25">
      <c r="A94" s="135"/>
      <c r="B94" s="135"/>
      <c r="C94" s="135"/>
      <c r="D94" s="135"/>
      <c r="E94" s="135"/>
      <c r="F94" s="135"/>
      <c r="G94" s="135"/>
      <c r="H94" s="135"/>
      <c r="I94" s="135"/>
      <c r="J94" s="135"/>
      <c r="K94" s="135"/>
      <c r="L94" s="135"/>
      <c r="M94" s="135"/>
      <c r="N94" s="135"/>
      <c r="O94" s="135"/>
      <c r="P94" s="135"/>
      <c r="Q94" s="135"/>
      <c r="R94" s="135"/>
      <c r="S94" s="135"/>
      <c r="T94" s="135"/>
      <c r="U94" s="135"/>
      <c r="V94" s="135"/>
      <c r="W94" s="135"/>
      <c r="X94" s="135"/>
      <c r="Y94" s="135"/>
      <c r="Z94" s="135"/>
      <c r="AA94" s="135"/>
      <c r="AB94" s="135"/>
      <c r="AC94" s="135"/>
      <c r="AD94" s="135"/>
      <c r="AE94" s="135"/>
      <c r="AF94" s="135"/>
      <c r="AG94" s="135"/>
      <c r="AH94" s="135"/>
      <c r="AI94" s="135"/>
      <c r="AJ94" s="135"/>
      <c r="AK94" s="135"/>
    </row>
    <row r="95" spans="1:37" x14ac:dyDescent="0.25">
      <c r="A95" s="135"/>
      <c r="B95" s="135"/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  <c r="AE95" s="135"/>
      <c r="AF95" s="135"/>
      <c r="AG95" s="135"/>
      <c r="AH95" s="135"/>
      <c r="AI95" s="135"/>
      <c r="AJ95" s="135"/>
      <c r="AK95" s="135"/>
    </row>
    <row r="96" spans="1:37" x14ac:dyDescent="0.25">
      <c r="A96" s="135"/>
      <c r="B96" s="135"/>
      <c r="C96" s="135"/>
      <c r="D96" s="135"/>
      <c r="E96" s="135"/>
      <c r="F96" s="135"/>
      <c r="G96" s="135"/>
      <c r="H96" s="135"/>
      <c r="I96" s="135"/>
      <c r="J96" s="135"/>
      <c r="K96" s="135"/>
      <c r="L96" s="135"/>
      <c r="M96" s="135"/>
      <c r="N96" s="135"/>
      <c r="O96" s="135"/>
      <c r="P96" s="135"/>
      <c r="Q96" s="135"/>
      <c r="R96" s="135"/>
      <c r="S96" s="135"/>
      <c r="T96" s="135"/>
      <c r="U96" s="135"/>
      <c r="V96" s="135"/>
      <c r="W96" s="135"/>
      <c r="X96" s="135"/>
      <c r="Y96" s="135"/>
      <c r="Z96" s="135"/>
      <c r="AA96" s="135"/>
      <c r="AB96" s="135"/>
      <c r="AC96" s="135"/>
      <c r="AD96" s="135"/>
      <c r="AE96" s="135"/>
      <c r="AF96" s="135"/>
      <c r="AG96" s="135"/>
      <c r="AH96" s="135"/>
      <c r="AI96" s="135"/>
      <c r="AJ96" s="135"/>
      <c r="AK96" s="135"/>
    </row>
    <row r="97" spans="1:37" x14ac:dyDescent="0.25">
      <c r="A97" s="135"/>
      <c r="B97" s="135"/>
      <c r="C97" s="135"/>
      <c r="D97" s="135"/>
      <c r="E97" s="135"/>
      <c r="F97" s="135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5"/>
      <c r="Y97" s="135"/>
      <c r="Z97" s="135"/>
      <c r="AA97" s="135"/>
      <c r="AB97" s="135"/>
      <c r="AC97" s="135"/>
      <c r="AD97" s="135"/>
      <c r="AE97" s="135"/>
      <c r="AF97" s="135"/>
      <c r="AG97" s="135"/>
      <c r="AH97" s="135"/>
      <c r="AI97" s="135"/>
      <c r="AJ97" s="135"/>
      <c r="AK97" s="135"/>
    </row>
    <row r="98" spans="1:37" x14ac:dyDescent="0.25">
      <c r="A98" s="135"/>
      <c r="B98" s="135"/>
      <c r="C98" s="135"/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  <c r="AE98" s="135"/>
      <c r="AF98" s="135"/>
      <c r="AG98" s="135"/>
      <c r="AH98" s="135"/>
      <c r="AI98" s="135"/>
      <c r="AJ98" s="135"/>
      <c r="AK98" s="135"/>
    </row>
    <row r="99" spans="1:37" x14ac:dyDescent="0.25">
      <c r="A99" s="135"/>
      <c r="B99" s="135"/>
      <c r="C99" s="135"/>
      <c r="D99" s="135"/>
      <c r="E99" s="135"/>
      <c r="F99" s="135"/>
      <c r="G99" s="135"/>
      <c r="H99" s="135"/>
      <c r="I99" s="135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135"/>
      <c r="U99" s="135"/>
      <c r="V99" s="135"/>
      <c r="W99" s="135"/>
      <c r="X99" s="135"/>
      <c r="Y99" s="135"/>
      <c r="Z99" s="135"/>
      <c r="AA99" s="135"/>
      <c r="AB99" s="135"/>
      <c r="AC99" s="135"/>
      <c r="AD99" s="135"/>
      <c r="AE99" s="135"/>
      <c r="AF99" s="135"/>
      <c r="AG99" s="135"/>
      <c r="AH99" s="135"/>
      <c r="AI99" s="135"/>
      <c r="AJ99" s="135"/>
      <c r="AK99" s="135"/>
    </row>
    <row r="100" spans="1:37" x14ac:dyDescent="0.25">
      <c r="A100" s="135"/>
      <c r="B100" s="135"/>
      <c r="C100" s="135"/>
      <c r="D100" s="135"/>
      <c r="E100" s="135"/>
      <c r="F100" s="135"/>
      <c r="G100" s="135"/>
      <c r="H100" s="135"/>
      <c r="I100" s="135"/>
      <c r="J100" s="135"/>
      <c r="K100" s="135"/>
      <c r="L100" s="135"/>
      <c r="M100" s="135"/>
      <c r="N100" s="135"/>
      <c r="O100" s="135"/>
      <c r="P100" s="135"/>
      <c r="Q100" s="135"/>
      <c r="R100" s="135"/>
      <c r="S100" s="135"/>
      <c r="T100" s="135"/>
      <c r="U100" s="135"/>
      <c r="V100" s="135"/>
      <c r="W100" s="135"/>
      <c r="X100" s="135"/>
      <c r="Y100" s="135"/>
      <c r="Z100" s="135"/>
      <c r="AA100" s="135"/>
      <c r="AB100" s="135"/>
      <c r="AC100" s="135"/>
      <c r="AD100" s="135"/>
      <c r="AE100" s="135"/>
      <c r="AF100" s="135"/>
      <c r="AG100" s="135"/>
      <c r="AH100" s="135"/>
      <c r="AI100" s="135"/>
      <c r="AJ100" s="135"/>
      <c r="AK100" s="135"/>
    </row>
    <row r="101" spans="1:37" x14ac:dyDescent="0.25">
      <c r="A101" s="135"/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</row>
    <row r="102" spans="1:37" x14ac:dyDescent="0.25">
      <c r="A102" s="135"/>
      <c r="B102" s="135"/>
      <c r="C102" s="135"/>
      <c r="D102" s="135"/>
      <c r="E102" s="135"/>
      <c r="F102" s="135"/>
      <c r="G102" s="135"/>
      <c r="H102" s="135"/>
      <c r="I102" s="135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135"/>
      <c r="U102" s="135"/>
      <c r="V102" s="135"/>
      <c r="W102" s="135"/>
      <c r="X102" s="135"/>
      <c r="Y102" s="135"/>
      <c r="Z102" s="135"/>
      <c r="AA102" s="135"/>
      <c r="AB102" s="135"/>
      <c r="AC102" s="135"/>
      <c r="AD102" s="135"/>
      <c r="AE102" s="135"/>
      <c r="AF102" s="135"/>
      <c r="AG102" s="135"/>
      <c r="AH102" s="135"/>
      <c r="AI102" s="135"/>
      <c r="AJ102" s="135"/>
      <c r="AK102" s="135"/>
    </row>
    <row r="103" spans="1:37" x14ac:dyDescent="0.25">
      <c r="A103" s="135"/>
      <c r="B103" s="135"/>
      <c r="C103" s="135"/>
      <c r="D103" s="135"/>
      <c r="E103" s="135"/>
      <c r="F103" s="135"/>
      <c r="G103" s="135"/>
      <c r="H103" s="135"/>
      <c r="I103" s="135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135"/>
      <c r="U103" s="135"/>
      <c r="V103" s="135"/>
      <c r="W103" s="135"/>
      <c r="X103" s="135"/>
      <c r="Y103" s="135"/>
      <c r="Z103" s="135"/>
      <c r="AA103" s="135"/>
      <c r="AB103" s="135"/>
      <c r="AC103" s="135"/>
      <c r="AD103" s="135"/>
      <c r="AE103" s="135"/>
      <c r="AF103" s="135"/>
      <c r="AG103" s="135"/>
      <c r="AH103" s="135"/>
      <c r="AI103" s="135"/>
      <c r="AJ103" s="135"/>
      <c r="AK103" s="135"/>
    </row>
    <row r="104" spans="1:37" x14ac:dyDescent="0.25">
      <c r="A104" s="135"/>
      <c r="B104" s="135"/>
      <c r="C104" s="135"/>
      <c r="D104" s="135"/>
      <c r="E104" s="135"/>
      <c r="F104" s="135"/>
      <c r="G104" s="135"/>
      <c r="H104" s="135"/>
      <c r="I104" s="135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135"/>
      <c r="U104" s="135"/>
      <c r="V104" s="135"/>
      <c r="W104" s="135"/>
      <c r="X104" s="135"/>
      <c r="Y104" s="135"/>
      <c r="Z104" s="135"/>
      <c r="AA104" s="135"/>
      <c r="AB104" s="135"/>
      <c r="AC104" s="135"/>
      <c r="AD104" s="135"/>
      <c r="AE104" s="135"/>
      <c r="AF104" s="135"/>
      <c r="AG104" s="135"/>
      <c r="AH104" s="135"/>
      <c r="AI104" s="135"/>
      <c r="AJ104" s="135"/>
      <c r="AK104" s="135"/>
    </row>
    <row r="105" spans="1:37" x14ac:dyDescent="0.25">
      <c r="A105" s="135"/>
      <c r="B105" s="135"/>
      <c r="C105" s="135"/>
      <c r="D105" s="135"/>
      <c r="E105" s="135"/>
      <c r="F105" s="135"/>
      <c r="G105" s="135"/>
      <c r="H105" s="135"/>
      <c r="I105" s="135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135"/>
      <c r="U105" s="135"/>
      <c r="V105" s="135"/>
      <c r="W105" s="135"/>
      <c r="X105" s="135"/>
      <c r="Y105" s="135"/>
      <c r="Z105" s="135"/>
      <c r="AA105" s="135"/>
      <c r="AB105" s="135"/>
      <c r="AC105" s="135"/>
      <c r="AD105" s="135"/>
      <c r="AE105" s="135"/>
      <c r="AF105" s="135"/>
      <c r="AG105" s="135"/>
      <c r="AH105" s="135"/>
      <c r="AI105" s="135"/>
      <c r="AJ105" s="135"/>
      <c r="AK105" s="135"/>
    </row>
    <row r="106" spans="1:37" x14ac:dyDescent="0.25">
      <c r="A106" s="135"/>
      <c r="B106" s="135"/>
      <c r="C106" s="135"/>
      <c r="D106" s="135"/>
      <c r="E106" s="135"/>
      <c r="F106" s="135"/>
      <c r="G106" s="135"/>
      <c r="H106" s="135"/>
      <c r="I106" s="135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135"/>
      <c r="U106" s="135"/>
      <c r="V106" s="135"/>
      <c r="W106" s="135"/>
      <c r="X106" s="135"/>
      <c r="Y106" s="135"/>
      <c r="Z106" s="135"/>
      <c r="AA106" s="135"/>
      <c r="AB106" s="135"/>
      <c r="AC106" s="135"/>
      <c r="AD106" s="135"/>
      <c r="AE106" s="135"/>
      <c r="AF106" s="135"/>
      <c r="AG106" s="135"/>
      <c r="AH106" s="135"/>
      <c r="AI106" s="135"/>
      <c r="AJ106" s="135"/>
      <c r="AK106" s="135"/>
    </row>
  </sheetData>
  <mergeCells count="1">
    <mergeCell ref="K2:M2"/>
  </mergeCells>
  <hyperlinks>
    <hyperlink ref="T23" location="'Y от t-1'!AA26:AG40" display="5)Нанесенные на график проверки распределения на нормальность точки укладываются вдоль линии тренда,"/>
    <hyperlink ref="T22" location="'Y от t-1'!U17" display="4) Коэффициент корреляции rɛiɛj  существенно отличен от 0, что говорит о наличии автокорреляции остатков."/>
    <hyperlink ref="T21" location="'Y от t-1'!Q26:Z40" display="3) Наличие гомоскедастичности можно видеть на графике зависимости остатков ɛi от теоретических значений Ŷₓ. "/>
    <hyperlink ref="T19" location="'Y от t-1'!Q23:Z46" display="1) Из графика зависимости случайных остатков ɛi от теоретического Ŷₓ видно, что остаткиимеют случайный характер."/>
    <hyperlink ref="T20" location="'Y от t-1'!E63" display="2) Значение ячейки E63=0, т.е. средняя величина остатков равна 0 и не зависит от Xi.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3"/>
  <sheetViews>
    <sheetView zoomScaleNormal="100" workbookViewId="0">
      <selection activeCell="Q23" sqref="Q23"/>
    </sheetView>
  </sheetViews>
  <sheetFormatPr defaultRowHeight="15" x14ac:dyDescent="0.25"/>
  <cols>
    <col min="4" max="4" width="9.140625" style="135"/>
    <col min="11" max="11" width="13.5703125" customWidth="1"/>
    <col min="12" max="12" width="14" customWidth="1"/>
    <col min="13" max="13" width="15.85546875" customWidth="1"/>
    <col min="14" max="14" width="14.5703125" customWidth="1"/>
  </cols>
  <sheetData>
    <row r="1" spans="1:38" x14ac:dyDescent="0.25"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</row>
    <row r="2" spans="1:38" x14ac:dyDescent="0.25">
      <c r="B2" s="148">
        <v>1</v>
      </c>
      <c r="C2" s="148">
        <v>3</v>
      </c>
      <c r="D2" s="148"/>
      <c r="E2" s="148">
        <v>4</v>
      </c>
      <c r="F2" s="148">
        <v>5</v>
      </c>
      <c r="G2" s="148">
        <v>6</v>
      </c>
      <c r="H2" s="148">
        <v>7</v>
      </c>
      <c r="I2" s="148">
        <v>8</v>
      </c>
      <c r="L2" s="208" t="s">
        <v>604</v>
      </c>
      <c r="M2" s="209"/>
      <c r="N2" s="210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  <c r="AL2" s="135"/>
    </row>
    <row r="3" spans="1:38" ht="75" x14ac:dyDescent="0.25">
      <c r="B3" s="44" t="s">
        <v>565</v>
      </c>
      <c r="C3" s="44" t="s">
        <v>69</v>
      </c>
      <c r="D3" s="44" t="s">
        <v>779</v>
      </c>
      <c r="E3" s="70" t="s">
        <v>773</v>
      </c>
      <c r="F3" s="70" t="s">
        <v>576</v>
      </c>
      <c r="G3" s="70" t="s">
        <v>774</v>
      </c>
      <c r="H3" s="70" t="s">
        <v>775</v>
      </c>
      <c r="I3" s="70" t="s">
        <v>776</v>
      </c>
      <c r="L3" s="192" t="s">
        <v>632</v>
      </c>
      <c r="M3" s="193" t="s">
        <v>608</v>
      </c>
      <c r="N3" s="194" t="s">
        <v>609</v>
      </c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</row>
    <row r="4" spans="1:38" ht="18" x14ac:dyDescent="0.35">
      <c r="B4" s="141">
        <v>102.32</v>
      </c>
      <c r="C4" s="190" t="s">
        <v>636</v>
      </c>
      <c r="D4" s="190" t="s">
        <v>636</v>
      </c>
      <c r="E4" s="149" t="s">
        <v>636</v>
      </c>
      <c r="F4" s="149" t="s">
        <v>636</v>
      </c>
      <c r="G4" s="149" t="s">
        <v>636</v>
      </c>
      <c r="H4" s="149" t="s">
        <v>636</v>
      </c>
      <c r="I4" s="149" t="s">
        <v>636</v>
      </c>
      <c r="L4" s="135">
        <v>-2.5651389861244667</v>
      </c>
      <c r="M4" s="135">
        <f>A6/57</f>
        <v>1.7543859649122806E-2</v>
      </c>
      <c r="N4" s="135">
        <f t="shared" ref="N4:N35" si="0">_xlfn.NORM.S.INV(M4)</f>
        <v>-2.1073446081072991</v>
      </c>
      <c r="O4" s="135"/>
      <c r="P4" s="135" t="s">
        <v>610</v>
      </c>
      <c r="Q4" s="135">
        <f>P21</f>
        <v>3292.7949244491247</v>
      </c>
      <c r="R4" s="149" t="s">
        <v>580</v>
      </c>
      <c r="S4" s="135" t="s">
        <v>611</v>
      </c>
      <c r="T4" s="135">
        <f>_xlfn.F.INV.RT(0.05,1,54)</f>
        <v>4.0195409602054486</v>
      </c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</row>
    <row r="5" spans="1:38" ht="18" x14ac:dyDescent="0.35">
      <c r="B5" s="140">
        <v>102.21</v>
      </c>
      <c r="C5" s="191">
        <f t="shared" ref="C5:C36" si="1">B4</f>
        <v>102.32</v>
      </c>
      <c r="D5" s="190" t="s">
        <v>636</v>
      </c>
      <c r="E5" s="149" t="s">
        <v>636</v>
      </c>
      <c r="F5" s="149" t="s">
        <v>636</v>
      </c>
      <c r="G5" s="149" t="s">
        <v>636</v>
      </c>
      <c r="H5" s="149" t="s">
        <v>636</v>
      </c>
      <c r="I5" s="149" t="s">
        <v>636</v>
      </c>
      <c r="L5" s="135">
        <v>-2.3206729747299164</v>
      </c>
      <c r="M5" s="135">
        <f t="shared" ref="M5:M59" si="2">A7/57</f>
        <v>3.5087719298245612E-2</v>
      </c>
      <c r="N5" s="135">
        <f t="shared" si="0"/>
        <v>-1.8107766086044799</v>
      </c>
      <c r="O5" s="135"/>
      <c r="P5" s="135" t="s">
        <v>612</v>
      </c>
      <c r="Q5" s="135">
        <f>R18/R19</f>
        <v>2.0106115632933586</v>
      </c>
      <c r="R5" s="149" t="s">
        <v>580</v>
      </c>
      <c r="S5" s="135" t="s">
        <v>614</v>
      </c>
      <c r="T5" s="135">
        <f>_xlfn.T.INV.2T(0.05,54)</f>
        <v>2.0048792881880577</v>
      </c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</row>
    <row r="6" spans="1:38" ht="18" x14ac:dyDescent="0.35">
      <c r="A6">
        <v>1</v>
      </c>
      <c r="B6" s="140">
        <v>102.16</v>
      </c>
      <c r="C6" s="191">
        <f t="shared" si="1"/>
        <v>102.21</v>
      </c>
      <c r="D6" s="191">
        <f>B4</f>
        <v>102.32</v>
      </c>
      <c r="E6" s="135">
        <f>$P$18*D6+$Q$18*C6+$R$18</f>
        <v>102.69881259931405</v>
      </c>
      <c r="F6" s="172">
        <f t="shared" ref="F6:F37" si="3">B6-E6</f>
        <v>-0.53881259931405623</v>
      </c>
      <c r="G6" s="135">
        <f t="shared" ref="G6:G37" si="4">ABS(F6/B6)*100</f>
        <v>0.52742032039355546</v>
      </c>
      <c r="H6" s="135">
        <f t="shared" ref="H6:H37" si="5">F6*F6</f>
        <v>0.2903190171795697</v>
      </c>
      <c r="I6" s="135">
        <f t="shared" ref="I6:I37" si="6">(F7-F6)^2</f>
        <v>1.0047571905105837E-2</v>
      </c>
      <c r="L6" s="135">
        <v>-2.1598368831867276</v>
      </c>
      <c r="M6" s="135">
        <f t="shared" si="2"/>
        <v>5.2631578947368418E-2</v>
      </c>
      <c r="N6" s="135">
        <f t="shared" si="0"/>
        <v>-1.6198562586382697</v>
      </c>
      <c r="O6" s="135"/>
      <c r="P6" s="135" t="s">
        <v>613</v>
      </c>
      <c r="Q6" s="135">
        <f>Q18/Q19</f>
        <v>22.911689900626154</v>
      </c>
      <c r="R6" s="149" t="s">
        <v>580</v>
      </c>
      <c r="S6" s="135" t="s">
        <v>614</v>
      </c>
      <c r="T6" s="135">
        <f>_xlfn.T.INV.2T(0.05,54)</f>
        <v>2.0048792881880577</v>
      </c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</row>
    <row r="7" spans="1:38" ht="18" x14ac:dyDescent="0.35">
      <c r="A7" s="135">
        <v>2</v>
      </c>
      <c r="B7" s="140">
        <v>102.06</v>
      </c>
      <c r="C7" s="191">
        <f t="shared" si="1"/>
        <v>102.16</v>
      </c>
      <c r="D7" s="191">
        <f t="shared" ref="D7:D61" si="7">B5</f>
        <v>102.21</v>
      </c>
      <c r="E7" s="135">
        <f t="shared" ref="E7:E61" si="8">$P$18*D7+$Q$18*C7+$R$18</f>
        <v>102.6990501766247</v>
      </c>
      <c r="F7" s="172">
        <f t="shared" si="3"/>
        <v>-0.63905017662469277</v>
      </c>
      <c r="G7" s="135">
        <f t="shared" si="4"/>
        <v>0.62615145661835458</v>
      </c>
      <c r="H7" s="135">
        <f t="shared" si="5"/>
        <v>0.40838512824405104</v>
      </c>
      <c r="I7" s="135">
        <f t="shared" si="6"/>
        <v>0.3950614892628706</v>
      </c>
      <c r="L7" s="135">
        <v>-1.9368943163827907</v>
      </c>
      <c r="M7" s="135">
        <f t="shared" si="2"/>
        <v>7.0175438596491224E-2</v>
      </c>
      <c r="N7" s="135">
        <f t="shared" si="0"/>
        <v>-1.474485655159971</v>
      </c>
      <c r="O7" s="135"/>
      <c r="P7" s="135" t="s">
        <v>733</v>
      </c>
      <c r="Q7" s="135">
        <f>P18/P19</f>
        <v>-10.529474886307092</v>
      </c>
      <c r="R7" s="149" t="s">
        <v>580</v>
      </c>
      <c r="S7" s="135" t="s">
        <v>614</v>
      </c>
      <c r="T7" s="135">
        <f>_xlfn.T.INV.2T(0.05,54)</f>
        <v>2.0048792881880577</v>
      </c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</row>
    <row r="8" spans="1:38" x14ac:dyDescent="0.25">
      <c r="A8" s="135">
        <v>3</v>
      </c>
      <c r="B8" s="140">
        <v>102.55</v>
      </c>
      <c r="C8" s="191">
        <f t="shared" si="1"/>
        <v>102.06</v>
      </c>
      <c r="D8" s="191">
        <f t="shared" si="7"/>
        <v>102.16</v>
      </c>
      <c r="E8" s="135">
        <f t="shared" si="8"/>
        <v>102.5605110057985</v>
      </c>
      <c r="F8" s="172">
        <f t="shared" si="3"/>
        <v>-1.0511005798505835E-2</v>
      </c>
      <c r="G8" s="135">
        <f t="shared" si="4"/>
        <v>1.0249639979040307E-2</v>
      </c>
      <c r="H8" s="135">
        <f t="shared" si="5"/>
        <v>1.1048124289622328E-4</v>
      </c>
      <c r="I8" s="135">
        <f t="shared" si="6"/>
        <v>0.70398938926575783</v>
      </c>
      <c r="L8" s="135">
        <v>-1.8144241987222927</v>
      </c>
      <c r="M8" s="135">
        <f t="shared" si="2"/>
        <v>8.771929824561403E-2</v>
      </c>
      <c r="N8" s="135">
        <f t="shared" si="0"/>
        <v>-1.3549339667142233</v>
      </c>
      <c r="O8" s="135"/>
      <c r="P8" s="135" t="s">
        <v>686</v>
      </c>
      <c r="Q8" s="135"/>
      <c r="R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</row>
    <row r="9" spans="1:38" x14ac:dyDescent="0.25">
      <c r="A9" s="135">
        <v>4</v>
      </c>
      <c r="B9" s="140">
        <v>104.35</v>
      </c>
      <c r="C9" s="191">
        <f t="shared" si="1"/>
        <v>102.55</v>
      </c>
      <c r="D9" s="191">
        <f t="shared" si="7"/>
        <v>102.06</v>
      </c>
      <c r="E9" s="135">
        <f t="shared" si="8"/>
        <v>103.52147025037254</v>
      </c>
      <c r="F9" s="150">
        <f t="shared" si="3"/>
        <v>0.82852974962744952</v>
      </c>
      <c r="G9" s="135">
        <f t="shared" si="4"/>
        <v>0.79399113524432163</v>
      </c>
      <c r="H9" s="135">
        <f t="shared" si="5"/>
        <v>0.68646154601772413</v>
      </c>
      <c r="I9" s="135">
        <f t="shared" si="6"/>
        <v>0.15290061428576771</v>
      </c>
      <c r="L9" s="135">
        <v>-1.7306137254829821</v>
      </c>
      <c r="M9" s="135">
        <f t="shared" si="2"/>
        <v>0.10526315789473684</v>
      </c>
      <c r="N9" s="135">
        <f t="shared" si="0"/>
        <v>-1.2521195202652196</v>
      </c>
      <c r="O9" s="135"/>
      <c r="P9" s="135" t="s">
        <v>687</v>
      </c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</row>
    <row r="10" spans="1:38" ht="18" x14ac:dyDescent="0.35">
      <c r="A10" s="135">
        <v>5</v>
      </c>
      <c r="B10" s="140">
        <v>107.57</v>
      </c>
      <c r="C10" s="191">
        <f t="shared" si="1"/>
        <v>104.35</v>
      </c>
      <c r="D10" s="191">
        <f t="shared" si="7"/>
        <v>102.55</v>
      </c>
      <c r="E10" s="135">
        <f t="shared" si="8"/>
        <v>106.35044516897013</v>
      </c>
      <c r="F10" s="150">
        <f t="shared" si="3"/>
        <v>1.2195548310298676</v>
      </c>
      <c r="G10" s="135">
        <f t="shared" si="4"/>
        <v>1.1337313665797786</v>
      </c>
      <c r="H10" s="135">
        <f t="shared" si="5"/>
        <v>1.4873139858882889</v>
      </c>
      <c r="I10" s="135">
        <f t="shared" si="6"/>
        <v>7.1246516093628901E-3</v>
      </c>
      <c r="L10" s="135">
        <v>-1.7033948810429536</v>
      </c>
      <c r="M10" s="135">
        <f t="shared" si="2"/>
        <v>0.12280701754385964</v>
      </c>
      <c r="N10" s="135">
        <f t="shared" si="0"/>
        <v>-1.1610685209816876</v>
      </c>
      <c r="O10" s="135"/>
      <c r="P10" s="68" t="s">
        <v>617</v>
      </c>
      <c r="Q10" s="135">
        <f>P20</f>
        <v>0.99201637678989973</v>
      </c>
      <c r="R10" s="135"/>
      <c r="S10" s="135"/>
      <c r="T10" s="66"/>
      <c r="U10" s="66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</row>
    <row r="11" spans="1:38" x14ac:dyDescent="0.25">
      <c r="A11" s="135">
        <v>6</v>
      </c>
      <c r="B11" s="140">
        <v>111.96</v>
      </c>
      <c r="C11" s="191">
        <f t="shared" si="1"/>
        <v>107.57</v>
      </c>
      <c r="D11" s="191">
        <f t="shared" si="7"/>
        <v>104.35</v>
      </c>
      <c r="E11" s="135">
        <f t="shared" si="8"/>
        <v>110.65603751760271</v>
      </c>
      <c r="F11" s="150">
        <f t="shared" si="3"/>
        <v>1.3039624823972815</v>
      </c>
      <c r="G11" s="135">
        <f t="shared" si="4"/>
        <v>1.164668169343767</v>
      </c>
      <c r="H11" s="135">
        <f t="shared" si="5"/>
        <v>1.7003181554996807</v>
      </c>
      <c r="I11" s="135">
        <f t="shared" si="6"/>
        <v>3.7391763141737178</v>
      </c>
      <c r="L11" s="135">
        <v>-1.5562140365343282</v>
      </c>
      <c r="M11" s="135">
        <f t="shared" si="2"/>
        <v>0.14035087719298245</v>
      </c>
      <c r="N11" s="135">
        <f t="shared" si="0"/>
        <v>-1.0787442483639726</v>
      </c>
      <c r="O11" s="135"/>
      <c r="P11" s="135" t="s">
        <v>778</v>
      </c>
      <c r="Q11" s="135"/>
      <c r="R11" s="66"/>
      <c r="S11" s="66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  <c r="AK11" s="135"/>
      <c r="AL11" s="135"/>
    </row>
    <row r="12" spans="1:38" x14ac:dyDescent="0.25">
      <c r="A12" s="135">
        <v>7</v>
      </c>
      <c r="B12" s="140">
        <v>115.27</v>
      </c>
      <c r="C12" s="191">
        <f t="shared" si="1"/>
        <v>111.96</v>
      </c>
      <c r="D12" s="191">
        <f t="shared" si="7"/>
        <v>107.57</v>
      </c>
      <c r="E12" s="135">
        <f t="shared" si="8"/>
        <v>115.89973250755685</v>
      </c>
      <c r="F12" s="172">
        <f t="shared" si="3"/>
        <v>-0.62973250755685228</v>
      </c>
      <c r="G12" s="135">
        <f t="shared" si="4"/>
        <v>0.54631084198564439</v>
      </c>
      <c r="H12" s="135">
        <f t="shared" si="5"/>
        <v>0.396563031073841</v>
      </c>
      <c r="I12" s="135">
        <f t="shared" si="6"/>
        <v>0.20173695972614483</v>
      </c>
      <c r="L12" s="135">
        <v>-1.4300434207697066</v>
      </c>
      <c r="M12" s="135">
        <f t="shared" si="2"/>
        <v>0.15789473684210525</v>
      </c>
      <c r="N12" s="135">
        <f t="shared" si="0"/>
        <v>-1.0031479676625328</v>
      </c>
      <c r="O12" s="135"/>
      <c r="P12" s="135" t="s">
        <v>618</v>
      </c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  <c r="AK12" s="135"/>
      <c r="AL12" s="135"/>
    </row>
    <row r="13" spans="1:38" x14ac:dyDescent="0.25">
      <c r="A13" s="135">
        <v>8</v>
      </c>
      <c r="B13" s="140">
        <v>117.17</v>
      </c>
      <c r="C13" s="191">
        <f t="shared" si="1"/>
        <v>115.27</v>
      </c>
      <c r="D13" s="191">
        <f t="shared" si="7"/>
        <v>111.96</v>
      </c>
      <c r="E13" s="135">
        <f t="shared" si="8"/>
        <v>118.24888388485202</v>
      </c>
      <c r="F13" s="172">
        <f t="shared" si="3"/>
        <v>-1.0788838848520186</v>
      </c>
      <c r="G13" s="135">
        <f t="shared" si="4"/>
        <v>0.92078508564651251</v>
      </c>
      <c r="H13" s="135">
        <f t="shared" si="5"/>
        <v>1.1639904369933838</v>
      </c>
      <c r="I13" s="135">
        <f t="shared" si="6"/>
        <v>6.8852876216786332E-2</v>
      </c>
      <c r="L13" s="135">
        <v>-1.4114428061924968</v>
      </c>
      <c r="M13" s="135">
        <f t="shared" si="2"/>
        <v>0.17543859649122806</v>
      </c>
      <c r="N13" s="135">
        <f t="shared" si="0"/>
        <v>-0.9328891732059702</v>
      </c>
      <c r="O13" s="135"/>
      <c r="P13" s="135" t="s">
        <v>621</v>
      </c>
      <c r="Q13" s="150">
        <f>G63</f>
        <v>0.66519694703599086</v>
      </c>
      <c r="R13" s="149" t="s">
        <v>579</v>
      </c>
      <c r="S13" s="135">
        <v>10</v>
      </c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</row>
    <row r="14" spans="1:38" x14ac:dyDescent="0.25">
      <c r="A14" s="135">
        <v>9</v>
      </c>
      <c r="B14" s="140">
        <v>117.61</v>
      </c>
      <c r="C14" s="191">
        <f t="shared" si="1"/>
        <v>117.17</v>
      </c>
      <c r="D14" s="191">
        <f t="shared" si="7"/>
        <v>115.27</v>
      </c>
      <c r="E14" s="135">
        <f t="shared" si="8"/>
        <v>118.95128220080848</v>
      </c>
      <c r="F14" s="172">
        <f t="shared" si="3"/>
        <v>-1.3412822008084788</v>
      </c>
      <c r="G14" s="135">
        <f t="shared" si="4"/>
        <v>1.1404491121575366</v>
      </c>
      <c r="H14" s="135">
        <f t="shared" si="5"/>
        <v>1.7990379422056364</v>
      </c>
      <c r="I14" s="135">
        <f t="shared" si="6"/>
        <v>0.17157512356518484</v>
      </c>
      <c r="L14" s="135">
        <v>-1.3995936685132051</v>
      </c>
      <c r="M14" s="135">
        <f t="shared" si="2"/>
        <v>0.19298245614035087</v>
      </c>
      <c r="N14" s="135">
        <f t="shared" si="0"/>
        <v>-0.86695820120354383</v>
      </c>
      <c r="O14" s="135"/>
      <c r="P14" s="135" t="s">
        <v>622</v>
      </c>
      <c r="Q14" s="135"/>
      <c r="R14" s="135"/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  <c r="AK14" s="135"/>
      <c r="AL14" s="135"/>
    </row>
    <row r="15" spans="1:38" x14ac:dyDescent="0.25">
      <c r="A15" s="135">
        <v>10</v>
      </c>
      <c r="B15" s="140">
        <v>117.26</v>
      </c>
      <c r="C15" s="191">
        <f t="shared" si="1"/>
        <v>117.61</v>
      </c>
      <c r="D15" s="191">
        <f t="shared" si="7"/>
        <v>117.17</v>
      </c>
      <c r="E15" s="135">
        <f t="shared" si="8"/>
        <v>118.18706592449237</v>
      </c>
      <c r="F15" s="172">
        <f t="shared" si="3"/>
        <v>-0.9270659244923678</v>
      </c>
      <c r="G15" s="135">
        <f t="shared" si="4"/>
        <v>0.79060713328702681</v>
      </c>
      <c r="H15" s="135">
        <f t="shared" si="5"/>
        <v>0.85945122835488863</v>
      </c>
      <c r="I15" s="135">
        <f t="shared" si="6"/>
        <v>0.15382722235175303</v>
      </c>
      <c r="L15" s="135">
        <v>-1.2915464300942432</v>
      </c>
      <c r="M15" s="135">
        <f t="shared" si="2"/>
        <v>0.21052631578947367</v>
      </c>
      <c r="N15" s="135">
        <f t="shared" si="0"/>
        <v>-0.80459638036030012</v>
      </c>
      <c r="O15" s="135"/>
      <c r="P15" s="135" t="s">
        <v>738</v>
      </c>
      <c r="Q15" s="135">
        <f>1-(1-Q10)*(55/53)</f>
        <v>0.99171510798951856</v>
      </c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</row>
    <row r="16" spans="1:38" x14ac:dyDescent="0.25">
      <c r="A16" s="135">
        <v>11</v>
      </c>
      <c r="B16" s="140">
        <v>115.88</v>
      </c>
      <c r="C16" s="191">
        <f t="shared" si="1"/>
        <v>117.26</v>
      </c>
      <c r="D16" s="191">
        <f t="shared" si="7"/>
        <v>117.61</v>
      </c>
      <c r="E16" s="135">
        <f t="shared" si="8"/>
        <v>117.19927406101142</v>
      </c>
      <c r="F16" s="172">
        <f t="shared" si="3"/>
        <v>-1.3192740610114271</v>
      </c>
      <c r="G16" s="135">
        <f t="shared" si="4"/>
        <v>1.1384829660091709</v>
      </c>
      <c r="H16" s="135">
        <f t="shared" si="5"/>
        <v>1.7404840480575827</v>
      </c>
      <c r="I16" s="135">
        <f t="shared" si="6"/>
        <v>0.11568895546496656</v>
      </c>
      <c r="L16" s="135">
        <v>-1.2616296187298985</v>
      </c>
      <c r="M16" s="135">
        <f t="shared" si="2"/>
        <v>0.22807017543859648</v>
      </c>
      <c r="N16" s="135">
        <f t="shared" si="0"/>
        <v>-0.74521732523756523</v>
      </c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</row>
    <row r="17" spans="1:38" ht="18" x14ac:dyDescent="0.35">
      <c r="A17" s="135">
        <v>12</v>
      </c>
      <c r="B17" s="140">
        <v>113.35</v>
      </c>
      <c r="C17" s="191">
        <f t="shared" si="1"/>
        <v>115.88</v>
      </c>
      <c r="D17" s="191">
        <f t="shared" si="7"/>
        <v>117.26</v>
      </c>
      <c r="E17" s="135">
        <f t="shared" si="8"/>
        <v>115.00940485271509</v>
      </c>
      <c r="F17" s="172">
        <f t="shared" si="3"/>
        <v>-1.6594048527150989</v>
      </c>
      <c r="G17" s="135">
        <f t="shared" si="4"/>
        <v>1.4639654633569466</v>
      </c>
      <c r="H17" s="135">
        <f t="shared" si="5"/>
        <v>2.7536244652144188</v>
      </c>
      <c r="I17" s="135">
        <f t="shared" si="6"/>
        <v>2.105406570085079</v>
      </c>
      <c r="L17" s="135">
        <v>-1.1989563546234905</v>
      </c>
      <c r="M17" s="135">
        <f t="shared" si="2"/>
        <v>0.24561403508771928</v>
      </c>
      <c r="N17" s="135">
        <f t="shared" si="0"/>
        <v>-0.68835688090542635</v>
      </c>
      <c r="O17" s="135"/>
      <c r="P17" s="135" t="s">
        <v>777</v>
      </c>
      <c r="Q17" s="135" t="s">
        <v>566</v>
      </c>
      <c r="R17" s="135" t="s">
        <v>567</v>
      </c>
      <c r="S17" s="135"/>
      <c r="U17" s="135" t="s">
        <v>605</v>
      </c>
      <c r="V17" s="135">
        <f>CORREL(G1:G57,G2:G58)</f>
        <v>0.20304172784111521</v>
      </c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</row>
    <row r="18" spans="1:38" x14ac:dyDescent="0.25">
      <c r="A18" s="135">
        <v>13</v>
      </c>
      <c r="B18" s="140">
        <v>111.39</v>
      </c>
      <c r="C18" s="191">
        <f t="shared" si="1"/>
        <v>113.35</v>
      </c>
      <c r="D18" s="191">
        <f t="shared" si="7"/>
        <v>115.88</v>
      </c>
      <c r="E18" s="135">
        <f t="shared" si="8"/>
        <v>111.5984029333211</v>
      </c>
      <c r="F18" s="172">
        <f t="shared" si="3"/>
        <v>-0.20840293332109638</v>
      </c>
      <c r="G18" s="135">
        <f t="shared" si="4"/>
        <v>0.18709303646745343</v>
      </c>
      <c r="H18" s="135">
        <f t="shared" si="5"/>
        <v>4.3431782616837347E-2</v>
      </c>
      <c r="I18" s="135">
        <f t="shared" si="6"/>
        <v>3.3166167289305021E-2</v>
      </c>
      <c r="L18" s="135">
        <v>-1.1412630162337507</v>
      </c>
      <c r="M18" s="135">
        <f t="shared" si="2"/>
        <v>0.26315789473684209</v>
      </c>
      <c r="N18" s="135">
        <f t="shared" si="0"/>
        <v>-0.63364000077970095</v>
      </c>
      <c r="O18" s="135"/>
      <c r="P18" s="137">
        <f t="array" ref="P18:R22">LINEST(B6:B61,C6:D61,1,1)</f>
        <v>-0.81773132616149491</v>
      </c>
      <c r="Q18" s="137">
        <v>1.7942573713426317</v>
      </c>
      <c r="R18" s="137">
        <v>2.9780359672278252</v>
      </c>
      <c r="S18" s="135"/>
      <c r="U18" s="135" t="s">
        <v>602</v>
      </c>
      <c r="V18" s="135"/>
      <c r="W18" s="135"/>
      <c r="X18" s="66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</row>
    <row r="19" spans="1:38" x14ac:dyDescent="0.25">
      <c r="A19" s="135">
        <v>14</v>
      </c>
      <c r="B19" s="140">
        <v>109.76</v>
      </c>
      <c r="C19" s="191">
        <f t="shared" si="1"/>
        <v>111.39</v>
      </c>
      <c r="D19" s="191">
        <f t="shared" si="7"/>
        <v>113.35</v>
      </c>
      <c r="E19" s="135">
        <f t="shared" si="8"/>
        <v>110.15051874067814</v>
      </c>
      <c r="F19" s="172">
        <f t="shared" si="3"/>
        <v>-0.3905187406781323</v>
      </c>
      <c r="G19" s="135">
        <f t="shared" si="4"/>
        <v>0.3557933133000476</v>
      </c>
      <c r="H19" s="135">
        <f t="shared" si="5"/>
        <v>0.15250488682083435</v>
      </c>
      <c r="I19" s="135">
        <f t="shared" si="6"/>
        <v>1.1276021233789402</v>
      </c>
      <c r="L19" s="135">
        <v>-1.1203071095846298</v>
      </c>
      <c r="M19" s="135">
        <f t="shared" si="2"/>
        <v>0.2807017543859649</v>
      </c>
      <c r="N19" s="135">
        <f t="shared" si="0"/>
        <v>-0.58075808400855022</v>
      </c>
      <c r="O19" s="135"/>
      <c r="P19" s="137">
        <v>7.7661168765870953E-2</v>
      </c>
      <c r="Q19" s="137">
        <v>7.831187394403398E-2</v>
      </c>
      <c r="R19" s="137">
        <v>1.4811592759119701</v>
      </c>
      <c r="S19" s="135"/>
      <c r="U19" s="155" t="s">
        <v>649</v>
      </c>
      <c r="V19" s="135"/>
      <c r="W19" s="135"/>
      <c r="X19" s="66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</row>
    <row r="20" spans="1:38" x14ac:dyDescent="0.25">
      <c r="A20" s="135">
        <v>15</v>
      </c>
      <c r="B20" s="140">
        <v>109.5</v>
      </c>
      <c r="C20" s="191">
        <f t="shared" si="1"/>
        <v>109.76</v>
      </c>
      <c r="D20" s="191">
        <f t="shared" si="7"/>
        <v>111.39</v>
      </c>
      <c r="E20" s="135">
        <f t="shared" si="8"/>
        <v>108.82863262466618</v>
      </c>
      <c r="F20" s="150">
        <f t="shared" si="3"/>
        <v>0.67136737533381563</v>
      </c>
      <c r="G20" s="135">
        <f t="shared" si="4"/>
        <v>0.61312089071581333</v>
      </c>
      <c r="H20" s="135">
        <f t="shared" si="5"/>
        <v>0.45073415266261646</v>
      </c>
      <c r="I20" s="135">
        <f t="shared" si="6"/>
        <v>2.2692263331631701</v>
      </c>
      <c r="L20" s="135">
        <v>-1.0625855642543343</v>
      </c>
      <c r="M20" s="135">
        <f t="shared" si="2"/>
        <v>0.2982456140350877</v>
      </c>
      <c r="N20" s="135">
        <f t="shared" si="0"/>
        <v>-0.5294530175447888</v>
      </c>
      <c r="O20" s="135"/>
      <c r="P20" s="137">
        <v>0.99201637678989973</v>
      </c>
      <c r="Q20" s="137">
        <v>1.1637933324111713</v>
      </c>
      <c r="R20" s="137" t="e">
        <v>#N/A</v>
      </c>
      <c r="S20" s="135"/>
      <c r="U20" s="155" t="s">
        <v>735</v>
      </c>
      <c r="V20" s="155"/>
      <c r="W20" s="135"/>
      <c r="X20" s="66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</row>
    <row r="21" spans="1:38" x14ac:dyDescent="0.25">
      <c r="A21" s="135">
        <v>16</v>
      </c>
      <c r="B21" s="140">
        <v>108.86</v>
      </c>
      <c r="C21" s="191">
        <f t="shared" si="1"/>
        <v>109.5</v>
      </c>
      <c r="D21" s="191">
        <f t="shared" si="7"/>
        <v>109.76</v>
      </c>
      <c r="E21" s="135">
        <f t="shared" si="8"/>
        <v>109.69502776976032</v>
      </c>
      <c r="F21" s="172">
        <f t="shared" si="3"/>
        <v>-0.83502776976031612</v>
      </c>
      <c r="G21" s="135">
        <f t="shared" si="4"/>
        <v>0.76706574477339351</v>
      </c>
      <c r="H21" s="135">
        <f t="shared" si="5"/>
        <v>0.69727137627088753</v>
      </c>
      <c r="I21" s="135">
        <f t="shared" si="6"/>
        <v>0.32003297794308833</v>
      </c>
      <c r="L21" s="135">
        <v>-1.0492334172505196</v>
      </c>
      <c r="M21" s="135">
        <f t="shared" si="2"/>
        <v>0.31578947368421051</v>
      </c>
      <c r="N21" s="135">
        <f t="shared" si="0"/>
        <v>-0.47950565333095035</v>
      </c>
      <c r="O21" s="135"/>
      <c r="P21" s="137">
        <v>3292.7949244491247</v>
      </c>
      <c r="Q21" s="137">
        <v>53</v>
      </c>
      <c r="R21" s="137" t="e">
        <v>#N/A</v>
      </c>
      <c r="S21" s="135"/>
      <c r="U21" s="69" t="s">
        <v>630</v>
      </c>
      <c r="V21" s="167"/>
      <c r="W21" s="135"/>
      <c r="X21" s="66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</row>
    <row r="22" spans="1:38" x14ac:dyDescent="0.25">
      <c r="A22" s="135">
        <v>17</v>
      </c>
      <c r="B22" s="140">
        <v>108.49</v>
      </c>
      <c r="C22" s="191">
        <f t="shared" si="1"/>
        <v>108.86</v>
      </c>
      <c r="D22" s="191">
        <f t="shared" si="7"/>
        <v>109.5</v>
      </c>
      <c r="E22" s="135">
        <f t="shared" si="8"/>
        <v>108.75931319690304</v>
      </c>
      <c r="F22" s="172">
        <f t="shared" si="3"/>
        <v>-0.26931319690304178</v>
      </c>
      <c r="G22" s="135">
        <f t="shared" si="4"/>
        <v>0.24823780708179721</v>
      </c>
      <c r="H22" s="135">
        <f t="shared" si="5"/>
        <v>7.2529598026136552E-2</v>
      </c>
      <c r="I22" s="135">
        <f t="shared" si="6"/>
        <v>1.1082149040159698E-4</v>
      </c>
      <c r="L22" s="135">
        <v>-1.04212030388382</v>
      </c>
      <c r="M22" s="135">
        <f t="shared" si="2"/>
        <v>0.33333333333333331</v>
      </c>
      <c r="N22" s="135">
        <f t="shared" si="0"/>
        <v>-0.43072729929545767</v>
      </c>
      <c r="O22" s="135"/>
      <c r="P22" s="137">
        <v>8919.6211520672132</v>
      </c>
      <c r="Q22" s="137">
        <v>71.783990789929064</v>
      </c>
      <c r="R22" s="137" t="e">
        <v>#N/A</v>
      </c>
      <c r="S22" s="135"/>
      <c r="U22" s="155" t="s">
        <v>794</v>
      </c>
      <c r="V22" s="135"/>
      <c r="W22" s="135"/>
      <c r="X22" s="66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</row>
    <row r="23" spans="1:38" ht="18" x14ac:dyDescent="0.35">
      <c r="A23" s="135">
        <v>18</v>
      </c>
      <c r="B23" s="140">
        <v>108.36</v>
      </c>
      <c r="C23" s="191">
        <f t="shared" si="1"/>
        <v>108.49</v>
      </c>
      <c r="D23" s="191">
        <f t="shared" si="7"/>
        <v>108.86</v>
      </c>
      <c r="E23" s="135">
        <f t="shared" si="8"/>
        <v>108.61878601824959</v>
      </c>
      <c r="F23" s="172">
        <f t="shared" si="3"/>
        <v>-0.25878601824959446</v>
      </c>
      <c r="G23" s="135">
        <f t="shared" si="4"/>
        <v>0.23882061484827838</v>
      </c>
      <c r="H23" s="135">
        <f t="shared" si="5"/>
        <v>6.697020324147944E-2</v>
      </c>
      <c r="I23" s="135">
        <f t="shared" si="6"/>
        <v>5.7267903620014306E-2</v>
      </c>
      <c r="L23" s="135">
        <v>-1.0245516996474606</v>
      </c>
      <c r="M23" s="135">
        <f t="shared" si="2"/>
        <v>0.35087719298245612</v>
      </c>
      <c r="N23" s="135">
        <f t="shared" si="0"/>
        <v>-0.38295330612550205</v>
      </c>
      <c r="O23" s="135"/>
      <c r="P23" s="168" t="s">
        <v>789</v>
      </c>
      <c r="Q23" s="168"/>
      <c r="R23" s="168"/>
      <c r="S23" s="167"/>
      <c r="U23" s="69" t="s">
        <v>606</v>
      </c>
      <c r="V23" s="167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</row>
    <row r="24" spans="1:38" x14ac:dyDescent="0.25">
      <c r="A24" s="135">
        <v>19</v>
      </c>
      <c r="B24" s="140">
        <v>108.19</v>
      </c>
      <c r="C24" s="191">
        <f t="shared" si="1"/>
        <v>108.36</v>
      </c>
      <c r="D24" s="191">
        <f t="shared" si="7"/>
        <v>108.49</v>
      </c>
      <c r="E24" s="135">
        <f t="shared" si="8"/>
        <v>108.68809315065482</v>
      </c>
      <c r="F24" s="172">
        <f t="shared" si="3"/>
        <v>-0.49809315065482451</v>
      </c>
      <c r="G24" s="135">
        <f t="shared" si="4"/>
        <v>0.46038742088439272</v>
      </c>
      <c r="H24" s="135">
        <f t="shared" si="5"/>
        <v>0.2480967867292497</v>
      </c>
      <c r="I24" s="135">
        <f t="shared" si="6"/>
        <v>3.6588543102722554E-2</v>
      </c>
      <c r="L24" s="135">
        <v>-0.98833316364168411</v>
      </c>
      <c r="M24" s="135">
        <f t="shared" si="2"/>
        <v>0.36842105263157893</v>
      </c>
      <c r="N24" s="135">
        <f t="shared" si="0"/>
        <v>-0.33603814037182311</v>
      </c>
      <c r="O24" s="135"/>
      <c r="P24" s="135"/>
      <c r="Q24" s="135"/>
      <c r="R24" s="135"/>
      <c r="S24" s="135"/>
      <c r="U24" s="135" t="s">
        <v>607</v>
      </c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</row>
    <row r="25" spans="1:38" x14ac:dyDescent="0.25">
      <c r="A25" s="135">
        <v>20</v>
      </c>
      <c r="B25" s="140">
        <v>107.8</v>
      </c>
      <c r="C25" s="191">
        <f t="shared" si="1"/>
        <v>108.19</v>
      </c>
      <c r="D25" s="191">
        <f t="shared" si="7"/>
        <v>108.36</v>
      </c>
      <c r="E25" s="135">
        <f t="shared" si="8"/>
        <v>108.48937446992757</v>
      </c>
      <c r="F25" s="172">
        <f t="shared" si="3"/>
        <v>-0.68937446992757145</v>
      </c>
      <c r="G25" s="135">
        <f t="shared" si="4"/>
        <v>0.63949394241889745</v>
      </c>
      <c r="H25" s="135">
        <f t="shared" si="5"/>
        <v>0.47523715978792014</v>
      </c>
      <c r="I25" s="135">
        <f t="shared" si="6"/>
        <v>5.3243739302714262E-2</v>
      </c>
      <c r="L25" s="135">
        <v>-0.94445584742021538</v>
      </c>
      <c r="M25" s="135">
        <f t="shared" si="2"/>
        <v>0.38596491228070173</v>
      </c>
      <c r="N25" s="135">
        <f t="shared" si="0"/>
        <v>-0.28985152916650303</v>
      </c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</row>
    <row r="26" spans="1:38" x14ac:dyDescent="0.25">
      <c r="A26" s="135">
        <v>21</v>
      </c>
      <c r="B26" s="140">
        <v>107.47</v>
      </c>
      <c r="C26" s="191">
        <f t="shared" si="1"/>
        <v>107.8</v>
      </c>
      <c r="D26" s="191">
        <f t="shared" si="7"/>
        <v>108.19</v>
      </c>
      <c r="E26" s="135">
        <f t="shared" si="8"/>
        <v>107.92862842055139</v>
      </c>
      <c r="F26" s="172">
        <f t="shared" si="3"/>
        <v>-0.45862842055139197</v>
      </c>
      <c r="G26" s="135">
        <f t="shared" si="4"/>
        <v>0.4267501819590509</v>
      </c>
      <c r="H26" s="135">
        <f t="shared" si="5"/>
        <v>0.21034002813746447</v>
      </c>
      <c r="I26" s="135">
        <f t="shared" si="6"/>
        <v>2.78256710683225E-2</v>
      </c>
      <c r="L26" s="135">
        <v>-0.92096173503816203</v>
      </c>
      <c r="M26" s="135">
        <f t="shared" si="2"/>
        <v>0.40350877192982454</v>
      </c>
      <c r="N26" s="135">
        <f t="shared" si="0"/>
        <v>-0.24427538781443445</v>
      </c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</row>
    <row r="27" spans="1:38" x14ac:dyDescent="0.25">
      <c r="A27" s="135">
        <v>22</v>
      </c>
      <c r="B27" s="140">
        <v>107.03</v>
      </c>
      <c r="C27" s="191">
        <f t="shared" si="1"/>
        <v>107.47</v>
      </c>
      <c r="D27" s="191">
        <f t="shared" si="7"/>
        <v>107.8</v>
      </c>
      <c r="E27" s="135">
        <f t="shared" si="8"/>
        <v>107.65543870521131</v>
      </c>
      <c r="F27" s="172">
        <f t="shared" si="3"/>
        <v>-0.62543870521130884</v>
      </c>
      <c r="G27" s="135">
        <f t="shared" si="4"/>
        <v>0.58435831562301122</v>
      </c>
      <c r="H27" s="135">
        <f t="shared" si="5"/>
        <v>0.39117357397639846</v>
      </c>
      <c r="I27" s="135">
        <f t="shared" si="6"/>
        <v>9.9245241067509177E-3</v>
      </c>
      <c r="L27" s="135">
        <v>-0.89335605531712758</v>
      </c>
      <c r="M27" s="135">
        <f t="shared" si="2"/>
        <v>0.42105263157894735</v>
      </c>
      <c r="N27" s="135">
        <f t="shared" si="0"/>
        <v>-0.19920132478926703</v>
      </c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</row>
    <row r="28" spans="1:38" x14ac:dyDescent="0.25">
      <c r="A28" s="135">
        <v>23</v>
      </c>
      <c r="B28" s="140">
        <v>106.61</v>
      </c>
      <c r="C28" s="191">
        <f t="shared" si="1"/>
        <v>107.03</v>
      </c>
      <c r="D28" s="191">
        <f t="shared" si="7"/>
        <v>107.47</v>
      </c>
      <c r="E28" s="135">
        <f t="shared" si="8"/>
        <v>107.13581679945383</v>
      </c>
      <c r="F28" s="172">
        <f t="shared" si="3"/>
        <v>-0.52581679945383542</v>
      </c>
      <c r="G28" s="135">
        <f t="shared" si="4"/>
        <v>0.49321527010021143</v>
      </c>
      <c r="H28" s="135">
        <f t="shared" si="5"/>
        <v>0.27648330658787496</v>
      </c>
      <c r="I28" s="135">
        <f t="shared" si="6"/>
        <v>0.12516475487896847</v>
      </c>
      <c r="L28" s="135">
        <v>-0.89269312590778327</v>
      </c>
      <c r="M28" s="135">
        <f t="shared" si="2"/>
        <v>0.43859649122807015</v>
      </c>
      <c r="N28" s="135">
        <f t="shared" si="0"/>
        <v>-0.15452857469470732</v>
      </c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</row>
    <row r="29" spans="1:38" x14ac:dyDescent="0.25">
      <c r="A29" s="135">
        <v>24</v>
      </c>
      <c r="B29" s="140">
        <v>106.57</v>
      </c>
      <c r="C29" s="191">
        <f t="shared" si="1"/>
        <v>106.61</v>
      </c>
      <c r="D29" s="191">
        <f t="shared" si="7"/>
        <v>107.03</v>
      </c>
      <c r="E29" s="135">
        <f t="shared" si="8"/>
        <v>106.742030487001</v>
      </c>
      <c r="F29" s="172">
        <f t="shared" si="3"/>
        <v>-0.17203048700100965</v>
      </c>
      <c r="G29" s="135">
        <f t="shared" si="4"/>
        <v>0.16142487285447091</v>
      </c>
      <c r="H29" s="135">
        <f t="shared" si="5"/>
        <v>2.959448845780455E-2</v>
      </c>
      <c r="I29" s="135">
        <f t="shared" si="6"/>
        <v>0.12367661536049583</v>
      </c>
      <c r="L29" s="135">
        <v>-0.88647977015557444</v>
      </c>
      <c r="M29" s="135">
        <f t="shared" si="2"/>
        <v>0.45614035087719296</v>
      </c>
      <c r="N29" s="135">
        <f t="shared" si="0"/>
        <v>-0.11016224796840547</v>
      </c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</row>
    <row r="30" spans="1:38" x14ac:dyDescent="0.25">
      <c r="A30" s="135">
        <v>25</v>
      </c>
      <c r="B30" s="140">
        <v>106.49</v>
      </c>
      <c r="C30" s="191">
        <f t="shared" si="1"/>
        <v>106.57</v>
      </c>
      <c r="D30" s="191">
        <f t="shared" si="7"/>
        <v>106.61</v>
      </c>
      <c r="E30" s="135">
        <f t="shared" si="8"/>
        <v>107.01370734913512</v>
      </c>
      <c r="F30" s="172">
        <f t="shared" si="3"/>
        <v>-0.52370734913512251</v>
      </c>
      <c r="G30" s="135">
        <f t="shared" si="4"/>
        <v>0.49179016727873281</v>
      </c>
      <c r="H30" s="135">
        <f t="shared" si="5"/>
        <v>0.27426938753813712</v>
      </c>
      <c r="I30" s="135">
        <f t="shared" si="6"/>
        <v>0.43669805551311391</v>
      </c>
      <c r="L30" s="135">
        <v>-0.85288699989915528</v>
      </c>
      <c r="M30" s="135">
        <f t="shared" si="2"/>
        <v>0.47368421052631576</v>
      </c>
      <c r="N30" s="135">
        <f t="shared" si="0"/>
        <v>-6.6011812375840737E-2</v>
      </c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</row>
    <row r="31" spans="1:38" x14ac:dyDescent="0.25">
      <c r="A31" s="135">
        <v>26</v>
      </c>
      <c r="B31" s="140">
        <v>107.04</v>
      </c>
      <c r="C31" s="191">
        <f t="shared" si="1"/>
        <v>106.49</v>
      </c>
      <c r="D31" s="191">
        <f t="shared" si="7"/>
        <v>106.57</v>
      </c>
      <c r="E31" s="135">
        <f t="shared" si="8"/>
        <v>106.90287601247417</v>
      </c>
      <c r="F31" s="150">
        <f t="shared" si="3"/>
        <v>0.13712398752583965</v>
      </c>
      <c r="G31" s="135">
        <f t="shared" si="4"/>
        <v>0.12810536951218202</v>
      </c>
      <c r="H31" s="135">
        <f t="shared" si="5"/>
        <v>1.8802987954986628E-2</v>
      </c>
      <c r="I31" s="135">
        <f t="shared" si="6"/>
        <v>10.612869514512042</v>
      </c>
      <c r="L31" s="135">
        <v>-0.77935888511439089</v>
      </c>
      <c r="M31" s="135">
        <f t="shared" si="2"/>
        <v>0.49122807017543857</v>
      </c>
      <c r="N31" s="135">
        <f t="shared" si="0"/>
        <v>-2.1989739377545343E-2</v>
      </c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</row>
    <row r="32" spans="1:38" x14ac:dyDescent="0.25">
      <c r="A32" s="135">
        <v>27</v>
      </c>
      <c r="B32" s="140">
        <v>111.35</v>
      </c>
      <c r="C32" s="191">
        <f t="shared" si="1"/>
        <v>107.04</v>
      </c>
      <c r="D32" s="191">
        <f t="shared" si="7"/>
        <v>106.49</v>
      </c>
      <c r="E32" s="135">
        <f t="shared" si="8"/>
        <v>107.95513607280554</v>
      </c>
      <c r="F32" s="150">
        <f t="shared" si="3"/>
        <v>3.3948639271944501</v>
      </c>
      <c r="G32" s="135">
        <f t="shared" si="4"/>
        <v>3.0488225659581953</v>
      </c>
      <c r="H32" s="135">
        <f t="shared" si="5"/>
        <v>11.525101084166124</v>
      </c>
      <c r="I32" s="135">
        <f t="shared" si="6"/>
        <v>1.1957357788898417</v>
      </c>
      <c r="L32" s="135">
        <v>-0.75575376932150107</v>
      </c>
      <c r="M32" s="135">
        <f t="shared" si="2"/>
        <v>0.50877192982456143</v>
      </c>
      <c r="N32" s="135">
        <f t="shared" si="0"/>
        <v>2.1989739377545343E-2</v>
      </c>
      <c r="O32" s="135"/>
      <c r="P32" s="135"/>
      <c r="Q32" s="135"/>
      <c r="R32" s="135"/>
      <c r="S32" s="135"/>
      <c r="T32" s="135"/>
      <c r="U32" s="135"/>
      <c r="V32" s="135"/>
      <c r="W32" s="135"/>
      <c r="X32" s="135"/>
      <c r="Y32" s="135"/>
      <c r="Z32" s="135"/>
      <c r="AA32" s="135"/>
      <c r="AB32" s="135"/>
      <c r="AC32" s="135"/>
      <c r="AD32" s="135"/>
      <c r="AE32" s="135"/>
      <c r="AF32" s="135"/>
      <c r="AG32" s="135"/>
      <c r="AH32" s="135"/>
      <c r="AI32" s="135"/>
      <c r="AJ32" s="135"/>
      <c r="AK32" s="135"/>
      <c r="AL32" s="135"/>
    </row>
    <row r="33" spans="1:38" x14ac:dyDescent="0.25">
      <c r="A33" s="135">
        <v>28</v>
      </c>
      <c r="B33" s="140">
        <v>117.54</v>
      </c>
      <c r="C33" s="191">
        <f t="shared" si="1"/>
        <v>111.35</v>
      </c>
      <c r="D33" s="191">
        <f t="shared" si="7"/>
        <v>107.04</v>
      </c>
      <c r="E33" s="135">
        <f t="shared" si="8"/>
        <v>115.23863311390345</v>
      </c>
      <c r="F33" s="150">
        <f t="shared" si="3"/>
        <v>2.3013668860965595</v>
      </c>
      <c r="G33" s="135">
        <f t="shared" si="4"/>
        <v>1.9579435818415512</v>
      </c>
      <c r="H33" s="135">
        <f t="shared" si="5"/>
        <v>5.296289544421775</v>
      </c>
      <c r="I33" s="135">
        <f t="shared" si="6"/>
        <v>6.4619221787221779</v>
      </c>
      <c r="L33" s="135">
        <v>-0.6629739718372889</v>
      </c>
      <c r="M33" s="135">
        <f t="shared" si="2"/>
        <v>0.52631578947368418</v>
      </c>
      <c r="N33" s="135">
        <f t="shared" si="0"/>
        <v>6.6011812375840584E-2</v>
      </c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  <c r="AK33" s="135"/>
      <c r="AL33" s="135"/>
    </row>
    <row r="34" spans="1:38" x14ac:dyDescent="0.25">
      <c r="A34" s="135">
        <v>29</v>
      </c>
      <c r="B34" s="140">
        <v>122.58</v>
      </c>
      <c r="C34" s="191">
        <f t="shared" si="1"/>
        <v>117.54</v>
      </c>
      <c r="D34" s="191">
        <f t="shared" si="7"/>
        <v>111.35</v>
      </c>
      <c r="E34" s="135">
        <f t="shared" si="8"/>
        <v>122.82066422675831</v>
      </c>
      <c r="F34" s="172">
        <f t="shared" si="3"/>
        <v>-0.24066422675831234</v>
      </c>
      <c r="G34" s="135">
        <f t="shared" si="4"/>
        <v>0.19633237621007696</v>
      </c>
      <c r="H34" s="135">
        <f t="shared" si="5"/>
        <v>5.7919270041176384E-2</v>
      </c>
      <c r="I34" s="135">
        <f t="shared" si="6"/>
        <v>2.5558409142238463</v>
      </c>
      <c r="L34" s="135">
        <v>-0.57143645495901296</v>
      </c>
      <c r="M34" s="135">
        <f t="shared" si="2"/>
        <v>0.54385964912280704</v>
      </c>
      <c r="N34" s="135">
        <f t="shared" si="0"/>
        <v>0.11016224796840547</v>
      </c>
      <c r="O34" s="135"/>
      <c r="P34" s="135"/>
      <c r="Q34" s="135"/>
      <c r="R34" s="135"/>
      <c r="S34" s="135"/>
      <c r="T34" s="135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</row>
    <row r="35" spans="1:38" x14ac:dyDescent="0.25">
      <c r="A35" s="135">
        <v>30</v>
      </c>
      <c r="B35" s="140">
        <v>128.16</v>
      </c>
      <c r="C35" s="191">
        <f t="shared" si="1"/>
        <v>122.58</v>
      </c>
      <c r="D35" s="191">
        <f t="shared" si="7"/>
        <v>117.54</v>
      </c>
      <c r="E35" s="135">
        <f t="shared" si="8"/>
        <v>126.80196446938551</v>
      </c>
      <c r="F35" s="150">
        <f t="shared" si="3"/>
        <v>1.3580355306144867</v>
      </c>
      <c r="G35" s="135">
        <f t="shared" si="4"/>
        <v>1.0596407074083074</v>
      </c>
      <c r="H35" s="135">
        <f t="shared" si="5"/>
        <v>1.8442605024113703</v>
      </c>
      <c r="I35" s="135">
        <f t="shared" si="6"/>
        <v>1.417505139199277</v>
      </c>
      <c r="L35" s="135">
        <v>-0.50944141414980493</v>
      </c>
      <c r="M35" s="135">
        <f t="shared" si="2"/>
        <v>0.56140350877192979</v>
      </c>
      <c r="N35" s="135">
        <f t="shared" si="0"/>
        <v>0.15452857469470718</v>
      </c>
      <c r="O35" s="135"/>
      <c r="P35" s="135"/>
      <c r="Q35" s="135"/>
      <c r="R35" s="135"/>
      <c r="S35" s="135"/>
      <c r="T35" s="135"/>
      <c r="U35" s="135"/>
      <c r="V35" s="135"/>
      <c r="W35" s="135"/>
      <c r="X35" s="135"/>
      <c r="Y35" s="135"/>
      <c r="Z35" s="135"/>
      <c r="AA35" s="135"/>
      <c r="AB35" s="135"/>
      <c r="AC35" s="135"/>
      <c r="AD35" s="135"/>
      <c r="AE35" s="135"/>
      <c r="AF35" s="135"/>
      <c r="AG35" s="135"/>
      <c r="AH35" s="135"/>
      <c r="AI35" s="135"/>
      <c r="AJ35" s="135"/>
      <c r="AK35" s="135"/>
      <c r="AL35" s="135"/>
    </row>
    <row r="36" spans="1:38" x14ac:dyDescent="0.25">
      <c r="A36" s="135">
        <v>31</v>
      </c>
      <c r="B36" s="140">
        <v>132.86000000000001</v>
      </c>
      <c r="C36" s="191">
        <f t="shared" si="1"/>
        <v>128.16</v>
      </c>
      <c r="D36" s="191">
        <f t="shared" si="7"/>
        <v>122.58</v>
      </c>
      <c r="E36" s="135">
        <f t="shared" si="8"/>
        <v>132.69255471762347</v>
      </c>
      <c r="F36" s="150">
        <f t="shared" si="3"/>
        <v>0.16744528237654777</v>
      </c>
      <c r="G36" s="135">
        <f t="shared" si="4"/>
        <v>0.1260313731571186</v>
      </c>
      <c r="H36" s="135">
        <f t="shared" si="5"/>
        <v>2.8037922590161819E-2</v>
      </c>
      <c r="I36" s="135">
        <f t="shared" si="6"/>
        <v>3.276349224831582</v>
      </c>
      <c r="L36" s="135">
        <v>-0.41336171982001702</v>
      </c>
      <c r="M36" s="135">
        <f t="shared" si="2"/>
        <v>0.57894736842105265</v>
      </c>
      <c r="N36" s="135">
        <f t="shared" ref="N36:N59" si="9">_xlfn.NORM.S.INV(M36)</f>
        <v>0.19920132478926703</v>
      </c>
      <c r="O36" s="135"/>
      <c r="P36" s="135"/>
      <c r="Q36" s="135"/>
      <c r="R36" s="135"/>
      <c r="S36" s="135"/>
      <c r="T36" s="135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  <c r="AE36" s="135"/>
      <c r="AF36" s="135"/>
      <c r="AG36" s="135"/>
      <c r="AH36" s="135"/>
      <c r="AI36" s="135"/>
      <c r="AJ36" s="135"/>
      <c r="AK36" s="135"/>
      <c r="AL36" s="135"/>
    </row>
    <row r="37" spans="1:38" x14ac:dyDescent="0.25">
      <c r="A37" s="135">
        <v>32</v>
      </c>
      <c r="B37" s="140">
        <v>134.91999999999999</v>
      </c>
      <c r="C37" s="191">
        <f t="shared" ref="C37:C61" si="10">B36</f>
        <v>132.86000000000001</v>
      </c>
      <c r="D37" s="191">
        <f t="shared" si="7"/>
        <v>128.16</v>
      </c>
      <c r="E37" s="135">
        <f t="shared" si="8"/>
        <v>136.56262356295269</v>
      </c>
      <c r="F37" s="172">
        <f t="shared" si="3"/>
        <v>-1.6426235629527071</v>
      </c>
      <c r="G37" s="135">
        <f t="shared" si="4"/>
        <v>1.2174796642104264</v>
      </c>
      <c r="H37" s="135">
        <f t="shared" si="5"/>
        <v>2.6982121695674461</v>
      </c>
      <c r="I37" s="135">
        <f t="shared" si="6"/>
        <v>0.85963873488454579</v>
      </c>
      <c r="L37" s="135">
        <v>-0.35080241922082678</v>
      </c>
      <c r="M37" s="135">
        <f t="shared" si="2"/>
        <v>0.59649122807017541</v>
      </c>
      <c r="N37" s="135">
        <f t="shared" si="9"/>
        <v>0.24427538781443431</v>
      </c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</row>
    <row r="38" spans="1:38" x14ac:dyDescent="0.25">
      <c r="A38" s="135">
        <v>33</v>
      </c>
      <c r="B38" s="140">
        <v>135.69999999999999</v>
      </c>
      <c r="C38" s="191">
        <f t="shared" si="10"/>
        <v>134.91999999999999</v>
      </c>
      <c r="D38" s="191">
        <f t="shared" si="7"/>
        <v>132.86000000000001</v>
      </c>
      <c r="E38" s="135">
        <f t="shared" si="8"/>
        <v>136.41545651495943</v>
      </c>
      <c r="F38" s="172">
        <f t="shared" ref="F38:F61" si="11">B38-E38</f>
        <v>-0.71545651495944185</v>
      </c>
      <c r="G38" s="135">
        <f t="shared" ref="G38:G61" si="12">ABS(F38/B38)*100</f>
        <v>0.52723398302095936</v>
      </c>
      <c r="H38" s="135">
        <f t="shared" ref="H38:H61" si="13">F38*F38</f>
        <v>0.51187802479791</v>
      </c>
      <c r="I38" s="135">
        <f t="shared" ref="I38:I60" si="14">(F39-F38)^2</f>
        <v>0.52563338428922879</v>
      </c>
      <c r="L38" s="135">
        <v>-0.33055873204287423</v>
      </c>
      <c r="M38" s="135">
        <f t="shared" si="2"/>
        <v>0.61403508771929827</v>
      </c>
      <c r="N38" s="135">
        <f t="shared" si="9"/>
        <v>0.28985152916650303</v>
      </c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5"/>
      <c r="AB38" s="135"/>
      <c r="AC38" s="135"/>
      <c r="AD38" s="135"/>
      <c r="AE38" s="135"/>
      <c r="AF38" s="135"/>
      <c r="AG38" s="135"/>
      <c r="AH38" s="135"/>
      <c r="AI38" s="135"/>
      <c r="AJ38" s="135"/>
      <c r="AK38" s="135"/>
      <c r="AL38" s="135"/>
    </row>
    <row r="39" spans="1:38" x14ac:dyDescent="0.25">
      <c r="A39" s="135">
        <v>34</v>
      </c>
      <c r="B39" s="140">
        <v>136.13999999999999</v>
      </c>
      <c r="C39" s="191">
        <f t="shared" si="10"/>
        <v>135.69999999999999</v>
      </c>
      <c r="D39" s="191">
        <f t="shared" si="7"/>
        <v>134.91999999999999</v>
      </c>
      <c r="E39" s="135">
        <f t="shared" si="8"/>
        <v>136.13045073271405</v>
      </c>
      <c r="F39" s="150">
        <f t="shared" si="11"/>
        <v>9.549267285933638E-3</v>
      </c>
      <c r="G39" s="135">
        <f t="shared" si="12"/>
        <v>7.0142994608003804E-3</v>
      </c>
      <c r="H39" s="135">
        <f t="shared" si="13"/>
        <v>9.1188505698202384E-5</v>
      </c>
      <c r="I39" s="135">
        <f t="shared" si="14"/>
        <v>14.886920213459046</v>
      </c>
      <c r="L39" s="135">
        <v>-0.23129121142932263</v>
      </c>
      <c r="M39" s="135">
        <f t="shared" si="2"/>
        <v>0.63157894736842102</v>
      </c>
      <c r="N39" s="135">
        <f t="shared" si="9"/>
        <v>0.336038140371823</v>
      </c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  <c r="AE39" s="135"/>
      <c r="AF39" s="135"/>
      <c r="AG39" s="135"/>
      <c r="AH39" s="135"/>
      <c r="AI39" s="135"/>
      <c r="AJ39" s="135"/>
      <c r="AK39" s="135"/>
      <c r="AL39" s="135"/>
    </row>
    <row r="40" spans="1:38" x14ac:dyDescent="0.25">
      <c r="A40" s="135">
        <v>35</v>
      </c>
      <c r="B40" s="140">
        <v>140.15</v>
      </c>
      <c r="C40" s="191">
        <f t="shared" si="10"/>
        <v>136.13999999999999</v>
      </c>
      <c r="D40" s="191">
        <f t="shared" si="7"/>
        <v>135.69999999999999</v>
      </c>
      <c r="E40" s="135">
        <f t="shared" si="8"/>
        <v>136.28209354169883</v>
      </c>
      <c r="F40" s="150">
        <f t="shared" si="11"/>
        <v>3.867906458301178</v>
      </c>
      <c r="G40" s="135">
        <f t="shared" si="12"/>
        <v>2.7598333630404408</v>
      </c>
      <c r="H40" s="135">
        <f t="shared" si="13"/>
        <v>14.960700370167961</v>
      </c>
      <c r="I40" s="135">
        <f t="shared" si="14"/>
        <v>47.543373129144378</v>
      </c>
      <c r="L40" s="135">
        <v>-9.3692378936054865E-2</v>
      </c>
      <c r="M40" s="135">
        <f t="shared" si="2"/>
        <v>0.64912280701754388</v>
      </c>
      <c r="N40" s="135">
        <f t="shared" si="9"/>
        <v>0.38295330612550205</v>
      </c>
      <c r="O40" s="135"/>
      <c r="P40" s="135"/>
      <c r="Q40" s="135"/>
      <c r="R40" s="135"/>
      <c r="S40" s="135"/>
      <c r="T40" s="135"/>
      <c r="U40" s="135"/>
      <c r="V40" s="135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135"/>
    </row>
    <row r="41" spans="1:38" x14ac:dyDescent="0.25">
      <c r="A41" s="135">
        <v>36</v>
      </c>
      <c r="B41" s="140">
        <v>140.09</v>
      </c>
      <c r="C41" s="191">
        <f t="shared" si="10"/>
        <v>140.15</v>
      </c>
      <c r="D41" s="191">
        <f t="shared" si="7"/>
        <v>136.13999999999999</v>
      </c>
      <c r="E41" s="135">
        <f t="shared" si="8"/>
        <v>143.11726381727175</v>
      </c>
      <c r="F41" s="172">
        <f t="shared" si="11"/>
        <v>-3.027263817271745</v>
      </c>
      <c r="G41" s="135">
        <f t="shared" si="12"/>
        <v>2.1609421209734778</v>
      </c>
      <c r="H41" s="135">
        <f t="shared" si="13"/>
        <v>9.1643262193626978</v>
      </c>
      <c r="I41" s="135">
        <f t="shared" si="14"/>
        <v>5.7444491990767172</v>
      </c>
      <c r="L41" s="135">
        <v>3.5014665190004735E-2</v>
      </c>
      <c r="M41" s="135">
        <f t="shared" si="2"/>
        <v>0.66666666666666663</v>
      </c>
      <c r="N41" s="135">
        <f t="shared" si="9"/>
        <v>0.4307272992954575</v>
      </c>
      <c r="O41" s="135"/>
      <c r="P41" s="135"/>
      <c r="Q41" s="135"/>
      <c r="R41" s="135" t="s">
        <v>634</v>
      </c>
      <c r="S41" s="135"/>
      <c r="T41" s="135"/>
      <c r="U41" s="135"/>
      <c r="V41" s="135"/>
      <c r="W41" s="135"/>
      <c r="X41" s="135"/>
      <c r="Y41" s="135"/>
      <c r="Z41" s="135"/>
      <c r="AA41" s="135"/>
      <c r="AB41" s="135"/>
      <c r="AC41" s="135"/>
      <c r="AD41" s="135"/>
      <c r="AE41" s="135"/>
      <c r="AF41" s="135"/>
      <c r="AG41" s="135"/>
      <c r="AH41" s="135"/>
      <c r="AI41" s="135"/>
      <c r="AJ41" s="135"/>
      <c r="AK41" s="135"/>
      <c r="AL41" s="135"/>
    </row>
    <row r="42" spans="1:38" x14ac:dyDescent="0.25">
      <c r="A42" s="135">
        <v>37</v>
      </c>
      <c r="B42" s="140">
        <v>139.1</v>
      </c>
      <c r="C42" s="191">
        <f t="shared" si="10"/>
        <v>140.09</v>
      </c>
      <c r="D42" s="191">
        <f t="shared" si="7"/>
        <v>140.15</v>
      </c>
      <c r="E42" s="135">
        <f t="shared" si="8"/>
        <v>139.73050575708362</v>
      </c>
      <c r="F42" s="172">
        <f t="shared" si="11"/>
        <v>-0.63050575708362544</v>
      </c>
      <c r="G42" s="135">
        <f t="shared" si="12"/>
        <v>0.45327516684660352</v>
      </c>
      <c r="H42" s="135">
        <f t="shared" si="13"/>
        <v>0.3975375097155957</v>
      </c>
      <c r="I42" s="135">
        <f t="shared" si="14"/>
        <v>1.6192796147000629E-2</v>
      </c>
      <c r="L42" s="135">
        <v>0.28175572837218965</v>
      </c>
      <c r="M42" s="135">
        <f t="shared" si="2"/>
        <v>0.68421052631578949</v>
      </c>
      <c r="N42" s="135">
        <f t="shared" si="9"/>
        <v>0.47950565333095035</v>
      </c>
      <c r="O42" s="135"/>
      <c r="P42" s="135"/>
      <c r="Q42" s="135"/>
      <c r="R42" s="135"/>
      <c r="S42" s="135"/>
      <c r="T42" s="135"/>
      <c r="U42" s="135"/>
      <c r="V42" s="135"/>
      <c r="W42" s="135"/>
      <c r="X42" s="135"/>
      <c r="Y42" s="135"/>
      <c r="Z42" s="135"/>
      <c r="AA42" s="135"/>
      <c r="AB42" s="135"/>
      <c r="AC42" s="135"/>
      <c r="AD42" s="135"/>
      <c r="AE42" s="135"/>
      <c r="AF42" s="135"/>
      <c r="AG42" s="135"/>
      <c r="AH42" s="135"/>
      <c r="AI42" s="135"/>
      <c r="AJ42" s="135"/>
      <c r="AK42" s="135"/>
      <c r="AL42" s="135"/>
    </row>
    <row r="43" spans="1:38" x14ac:dyDescent="0.25">
      <c r="A43" s="135">
        <v>38</v>
      </c>
      <c r="B43" s="140">
        <v>137.5</v>
      </c>
      <c r="C43" s="191">
        <f t="shared" si="10"/>
        <v>139.1</v>
      </c>
      <c r="D43" s="191">
        <f t="shared" si="7"/>
        <v>140.09</v>
      </c>
      <c r="E43" s="135">
        <f t="shared" si="8"/>
        <v>138.00325483902407</v>
      </c>
      <c r="F43" s="172">
        <f t="shared" si="11"/>
        <v>-0.50325483902406631</v>
      </c>
      <c r="G43" s="135">
        <f t="shared" si="12"/>
        <v>0.36600351929023001</v>
      </c>
      <c r="H43" s="135">
        <f t="shared" si="13"/>
        <v>0.25326543300113891</v>
      </c>
      <c r="I43" s="135">
        <f t="shared" si="14"/>
        <v>0.46411216451142229</v>
      </c>
      <c r="L43" s="135">
        <v>0.61051570938704458</v>
      </c>
      <c r="M43" s="135">
        <f t="shared" si="2"/>
        <v>0.70175438596491224</v>
      </c>
      <c r="N43" s="135">
        <f t="shared" si="9"/>
        <v>0.52945301754478868</v>
      </c>
      <c r="O43" s="135"/>
      <c r="P43" s="135"/>
      <c r="Q43" s="135"/>
      <c r="R43" s="137">
        <f t="array" ref="R43:S47">LINEST(F7:F61,F6:F60,1,1)</f>
        <v>0.14276622795782681</v>
      </c>
      <c r="S43" s="137">
        <v>1.1272710560623326E-2</v>
      </c>
      <c r="T43" s="135"/>
      <c r="U43" s="135"/>
      <c r="V43" s="135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</row>
    <row r="44" spans="1:38" x14ac:dyDescent="0.25">
      <c r="A44" s="135">
        <v>39</v>
      </c>
      <c r="B44" s="140">
        <v>136.12</v>
      </c>
      <c r="C44" s="191">
        <f t="shared" si="10"/>
        <v>137.5</v>
      </c>
      <c r="D44" s="191">
        <f t="shared" si="7"/>
        <v>139.1</v>
      </c>
      <c r="E44" s="135">
        <f t="shared" si="8"/>
        <v>135.94199705777572</v>
      </c>
      <c r="F44" s="150">
        <f t="shared" si="11"/>
        <v>0.17800294222428192</v>
      </c>
      <c r="G44" s="135">
        <f t="shared" si="12"/>
        <v>0.13076913181331321</v>
      </c>
      <c r="H44" s="135">
        <f t="shared" si="13"/>
        <v>3.1685047440501046E-2</v>
      </c>
      <c r="I44" s="135">
        <f t="shared" si="14"/>
        <v>7.1665994113750783E-2</v>
      </c>
      <c r="L44" s="135">
        <v>0.65735097215556948</v>
      </c>
      <c r="M44" s="135">
        <f t="shared" si="2"/>
        <v>0.7192982456140351</v>
      </c>
      <c r="N44" s="135">
        <f t="shared" si="9"/>
        <v>0.58075808400855022</v>
      </c>
      <c r="O44" s="135"/>
      <c r="P44" s="135"/>
      <c r="Q44" s="135"/>
      <c r="R44" s="137">
        <v>0.13598619075830845</v>
      </c>
      <c r="S44" s="137">
        <v>0.15500539644502659</v>
      </c>
      <c r="T44" s="135"/>
      <c r="U44" s="135"/>
      <c r="V44" s="135"/>
      <c r="W44" s="135"/>
      <c r="X44" s="135"/>
      <c r="Y44" s="135"/>
      <c r="Z44" s="135"/>
      <c r="AA44" s="135"/>
      <c r="AB44" s="135"/>
      <c r="AC44" s="135"/>
      <c r="AD44" s="135"/>
      <c r="AE44" s="135"/>
      <c r="AF44" s="135"/>
      <c r="AG44" s="135"/>
      <c r="AH44" s="135"/>
      <c r="AI44" s="135"/>
      <c r="AJ44" s="135"/>
      <c r="AK44" s="135"/>
      <c r="AL44" s="135"/>
    </row>
    <row r="45" spans="1:38" x14ac:dyDescent="0.25">
      <c r="A45" s="135">
        <v>40</v>
      </c>
      <c r="B45" s="140">
        <v>135.22</v>
      </c>
      <c r="C45" s="191">
        <f t="shared" si="10"/>
        <v>136.12</v>
      </c>
      <c r="D45" s="191">
        <f t="shared" si="7"/>
        <v>137.5</v>
      </c>
      <c r="E45" s="135">
        <f t="shared" si="8"/>
        <v>134.77429200718132</v>
      </c>
      <c r="F45" s="150">
        <f t="shared" si="11"/>
        <v>0.4457079928186829</v>
      </c>
      <c r="G45" s="135">
        <f t="shared" si="12"/>
        <v>0.32961691526304016</v>
      </c>
      <c r="H45" s="135">
        <f t="shared" si="13"/>
        <v>0.19865561486245908</v>
      </c>
      <c r="I45" s="135">
        <f t="shared" si="14"/>
        <v>1.3232103891498053E-5</v>
      </c>
      <c r="L45" s="135">
        <v>0.96019509531129188</v>
      </c>
      <c r="M45" s="135">
        <f t="shared" si="2"/>
        <v>0.73684210526315785</v>
      </c>
      <c r="N45" s="135">
        <f t="shared" si="9"/>
        <v>0.63364000077970106</v>
      </c>
      <c r="O45" s="135"/>
      <c r="P45" s="135"/>
      <c r="Q45" s="135"/>
      <c r="R45" s="137">
        <v>2.0372597664173177E-2</v>
      </c>
      <c r="S45" s="137">
        <v>1.1495034939003461</v>
      </c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  <c r="AE45" s="135"/>
      <c r="AF45" s="135"/>
      <c r="AG45" s="135"/>
      <c r="AH45" s="135"/>
      <c r="AI45" s="135"/>
      <c r="AJ45" s="135"/>
      <c r="AK45" s="135"/>
      <c r="AL45" s="135"/>
    </row>
    <row r="46" spans="1:38" x14ac:dyDescent="0.25">
      <c r="A46" s="135">
        <v>41</v>
      </c>
      <c r="B46" s="140">
        <v>134.72999999999999</v>
      </c>
      <c r="C46" s="191">
        <f t="shared" si="10"/>
        <v>135.22</v>
      </c>
      <c r="D46" s="191">
        <f t="shared" si="7"/>
        <v>136.12</v>
      </c>
      <c r="E46" s="135">
        <f t="shared" si="8"/>
        <v>134.28792960307578</v>
      </c>
      <c r="F46" s="150">
        <f t="shared" si="11"/>
        <v>0.44207039692420835</v>
      </c>
      <c r="G46" s="135">
        <f t="shared" si="12"/>
        <v>0.32811578484688519</v>
      </c>
      <c r="H46" s="135">
        <f t="shared" si="13"/>
        <v>0.19542623583672714</v>
      </c>
      <c r="I46" s="135">
        <f t="shared" si="14"/>
        <v>3.8719252092259772E-2</v>
      </c>
      <c r="L46" s="135">
        <v>1.1169568611943816</v>
      </c>
      <c r="M46" s="135">
        <f t="shared" si="2"/>
        <v>0.75438596491228072</v>
      </c>
      <c r="N46" s="135">
        <f t="shared" si="9"/>
        <v>0.68835688090542635</v>
      </c>
      <c r="O46" s="135"/>
      <c r="P46" s="135"/>
      <c r="Q46" s="135"/>
      <c r="R46" s="137">
        <v>1.1022024022874661</v>
      </c>
      <c r="S46" s="137">
        <v>53</v>
      </c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</row>
    <row r="47" spans="1:38" x14ac:dyDescent="0.25">
      <c r="A47" s="135">
        <v>42</v>
      </c>
      <c r="B47" s="140">
        <v>134.38999999999999</v>
      </c>
      <c r="C47" s="191">
        <f t="shared" si="10"/>
        <v>134.72999999999999</v>
      </c>
      <c r="D47" s="191">
        <f t="shared" si="7"/>
        <v>135.22</v>
      </c>
      <c r="E47" s="135">
        <f t="shared" si="8"/>
        <v>134.14470168466323</v>
      </c>
      <c r="F47" s="150">
        <f t="shared" si="11"/>
        <v>0.24529831533675406</v>
      </c>
      <c r="G47" s="135">
        <f t="shared" si="12"/>
        <v>0.1825272083761843</v>
      </c>
      <c r="H47" s="135">
        <f t="shared" si="13"/>
        <v>6.0171263507049634E-2</v>
      </c>
      <c r="I47" s="135">
        <f t="shared" si="14"/>
        <v>0.10847745392913122</v>
      </c>
      <c r="L47" s="135">
        <v>1.2258473149757663</v>
      </c>
      <c r="M47" s="135">
        <f t="shared" si="2"/>
        <v>0.77192982456140347</v>
      </c>
      <c r="N47" s="135">
        <f t="shared" si="9"/>
        <v>0.74521732523756501</v>
      </c>
      <c r="O47" s="135"/>
      <c r="P47" s="135"/>
      <c r="Q47" s="135"/>
      <c r="R47" s="137">
        <v>1.4564042732419296</v>
      </c>
      <c r="S47" s="137">
        <v>70.031988971922459</v>
      </c>
      <c r="T47" s="135"/>
      <c r="U47" s="135"/>
      <c r="V47" s="135"/>
      <c r="W47" s="135"/>
      <c r="X47" s="135"/>
      <c r="Y47" s="135"/>
      <c r="Z47" s="135"/>
      <c r="AA47" s="135"/>
      <c r="AB47" s="135"/>
      <c r="AC47" s="135"/>
      <c r="AD47" s="135"/>
      <c r="AE47" s="135"/>
      <c r="AF47" s="135"/>
      <c r="AG47" s="135"/>
      <c r="AH47" s="135"/>
      <c r="AI47" s="135"/>
      <c r="AJ47" s="135"/>
      <c r="AK47" s="135"/>
      <c r="AL47" s="135"/>
    </row>
    <row r="48" spans="1:38" x14ac:dyDescent="0.25">
      <c r="A48" s="135">
        <v>43</v>
      </c>
      <c r="B48" s="140">
        <v>134.51</v>
      </c>
      <c r="C48" s="191">
        <f t="shared" si="10"/>
        <v>134.38999999999999</v>
      </c>
      <c r="D48" s="191">
        <f t="shared" si="7"/>
        <v>134.72999999999999</v>
      </c>
      <c r="E48" s="135">
        <f t="shared" si="8"/>
        <v>133.93534252822587</v>
      </c>
      <c r="F48" s="150">
        <f t="shared" si="11"/>
        <v>0.57465747177411686</v>
      </c>
      <c r="G48" s="135">
        <f t="shared" si="12"/>
        <v>0.42722286207279531</v>
      </c>
      <c r="H48" s="135">
        <f t="shared" si="13"/>
        <v>0.33023120986581989</v>
      </c>
      <c r="I48" s="135">
        <f t="shared" si="14"/>
        <v>0.29521785078954094</v>
      </c>
      <c r="L48" s="135">
        <v>1.2417499120084017</v>
      </c>
      <c r="M48" s="135">
        <f t="shared" si="2"/>
        <v>0.78947368421052633</v>
      </c>
      <c r="N48" s="135">
        <f t="shared" si="9"/>
        <v>0.80459638036030012</v>
      </c>
      <c r="O48" s="135"/>
      <c r="P48" s="135"/>
      <c r="Q48" s="135"/>
      <c r="R48" s="135"/>
      <c r="S48" s="135"/>
      <c r="T48" s="135"/>
      <c r="U48" s="135"/>
      <c r="V48" s="135"/>
      <c r="W48" s="135"/>
      <c r="X48" s="135"/>
      <c r="Y48" s="135"/>
      <c r="Z48" s="135"/>
      <c r="AA48" s="135"/>
      <c r="AB48" s="135"/>
      <c r="AC48" s="135"/>
      <c r="AD48" s="135"/>
      <c r="AE48" s="135"/>
      <c r="AF48" s="135"/>
      <c r="AG48" s="135"/>
      <c r="AH48" s="135"/>
      <c r="AI48" s="135"/>
      <c r="AJ48" s="135"/>
      <c r="AK48" s="135"/>
      <c r="AL48" s="135"/>
    </row>
    <row r="49" spans="1:38" x14ac:dyDescent="0.25">
      <c r="A49" s="135">
        <v>44</v>
      </c>
      <c r="B49" s="140">
        <v>134.46</v>
      </c>
      <c r="C49" s="191">
        <f t="shared" si="10"/>
        <v>134.51</v>
      </c>
      <c r="D49" s="191">
        <f t="shared" si="7"/>
        <v>134.38999999999999</v>
      </c>
      <c r="E49" s="135">
        <f t="shared" si="8"/>
        <v>134.42868206368189</v>
      </c>
      <c r="F49" s="150">
        <f t="shared" si="11"/>
        <v>3.1317936318117745E-2</v>
      </c>
      <c r="G49" s="135">
        <f t="shared" si="12"/>
        <v>2.3291637898347272E-2</v>
      </c>
      <c r="H49" s="135">
        <f t="shared" si="13"/>
        <v>9.808131352256784E-4</v>
      </c>
      <c r="I49" s="135">
        <f t="shared" si="14"/>
        <v>4.6628887020804696E-6</v>
      </c>
      <c r="L49" s="135">
        <v>1.4442173876276883</v>
      </c>
      <c r="M49" s="135">
        <f t="shared" si="2"/>
        <v>0.80701754385964908</v>
      </c>
      <c r="N49" s="135">
        <f t="shared" si="9"/>
        <v>0.86695820120354306</v>
      </c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135"/>
    </row>
    <row r="50" spans="1:38" x14ac:dyDescent="0.25">
      <c r="A50" s="135">
        <v>45</v>
      </c>
      <c r="B50" s="140">
        <v>134.27000000000001</v>
      </c>
      <c r="C50" s="191">
        <f t="shared" si="10"/>
        <v>134.46</v>
      </c>
      <c r="D50" s="191">
        <f t="shared" si="7"/>
        <v>134.51</v>
      </c>
      <c r="E50" s="135">
        <f t="shared" si="8"/>
        <v>134.24084143597543</v>
      </c>
      <c r="F50" s="150">
        <f t="shared" si="11"/>
        <v>2.9158564024584166E-2</v>
      </c>
      <c r="G50" s="135">
        <f t="shared" si="12"/>
        <v>2.1716365550446239E-2</v>
      </c>
      <c r="H50" s="135">
        <f t="shared" si="13"/>
        <v>8.5022185597577395E-4</v>
      </c>
      <c r="I50" s="135">
        <f t="shared" si="14"/>
        <v>5.7589280060246203E-2</v>
      </c>
      <c r="L50" s="135">
        <v>1.8340673948850963</v>
      </c>
      <c r="M50" s="135">
        <f t="shared" si="2"/>
        <v>0.82456140350877194</v>
      </c>
      <c r="N50" s="135">
        <f t="shared" si="9"/>
        <v>0.9328891732059702</v>
      </c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  <c r="AA50" s="135"/>
      <c r="AB50" s="135"/>
      <c r="AC50" s="135"/>
      <c r="AD50" s="135"/>
      <c r="AE50" s="135"/>
      <c r="AF50" s="135"/>
      <c r="AG50" s="135"/>
      <c r="AH50" s="135"/>
      <c r="AI50" s="135"/>
      <c r="AJ50" s="135"/>
      <c r="AK50" s="135"/>
      <c r="AL50" s="135"/>
    </row>
    <row r="51" spans="1:38" x14ac:dyDescent="0.25">
      <c r="A51" s="135">
        <v>46</v>
      </c>
      <c r="B51" s="140">
        <v>133.72999999999999</v>
      </c>
      <c r="C51" s="191">
        <f t="shared" si="10"/>
        <v>134.27000000000001</v>
      </c>
      <c r="D51" s="191">
        <f t="shared" si="7"/>
        <v>134.46</v>
      </c>
      <c r="E51" s="135">
        <f t="shared" si="8"/>
        <v>133.94081910172838</v>
      </c>
      <c r="F51" s="172">
        <f t="shared" si="11"/>
        <v>-0.21081910172839002</v>
      </c>
      <c r="G51" s="135">
        <f t="shared" si="12"/>
        <v>0.1576453314352726</v>
      </c>
      <c r="H51" s="135">
        <f t="shared" si="13"/>
        <v>4.4444693653565265E-2</v>
      </c>
      <c r="I51" s="135">
        <f t="shared" si="14"/>
        <v>0.82168780913269468</v>
      </c>
      <c r="L51" s="135">
        <v>2.4274604747863577</v>
      </c>
      <c r="M51" s="135">
        <f t="shared" si="2"/>
        <v>0.84210526315789469</v>
      </c>
      <c r="N51" s="135">
        <f t="shared" si="9"/>
        <v>1.0031479676625328</v>
      </c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  <c r="AA51" s="135"/>
      <c r="AB51" s="135"/>
      <c r="AC51" s="135"/>
      <c r="AD51" s="135"/>
      <c r="AE51" s="135"/>
      <c r="AF51" s="135"/>
      <c r="AG51" s="135"/>
      <c r="AH51" s="135"/>
      <c r="AI51" s="135"/>
      <c r="AJ51" s="135"/>
      <c r="AK51" s="135"/>
      <c r="AL51" s="135"/>
    </row>
    <row r="52" spans="1:38" x14ac:dyDescent="0.25">
      <c r="A52" s="135">
        <v>47</v>
      </c>
      <c r="B52" s="140">
        <v>132.01</v>
      </c>
      <c r="C52" s="191">
        <f t="shared" si="10"/>
        <v>133.72999999999999</v>
      </c>
      <c r="D52" s="191">
        <f t="shared" si="7"/>
        <v>134.27000000000001</v>
      </c>
      <c r="E52" s="135">
        <f t="shared" si="8"/>
        <v>133.12728907317404</v>
      </c>
      <c r="F52" s="172">
        <f t="shared" si="11"/>
        <v>-1.1172890731740495</v>
      </c>
      <c r="G52" s="135">
        <f t="shared" si="12"/>
        <v>0.84636699732902787</v>
      </c>
      <c r="H52" s="135">
        <f t="shared" si="13"/>
        <v>1.2483348730341264</v>
      </c>
      <c r="I52" s="135">
        <f t="shared" si="14"/>
        <v>1.4995172228449445</v>
      </c>
      <c r="L52" s="135">
        <v>2.7536203470351666</v>
      </c>
      <c r="M52" s="135">
        <f t="shared" si="2"/>
        <v>0.85964912280701755</v>
      </c>
      <c r="N52" s="135">
        <f t="shared" si="9"/>
        <v>1.0787442483639726</v>
      </c>
      <c r="O52" s="135"/>
      <c r="P52" s="135"/>
      <c r="Q52" s="135"/>
      <c r="R52" s="135"/>
      <c r="S52" s="135"/>
      <c r="T52" s="135"/>
      <c r="U52" s="135"/>
      <c r="V52" s="135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135"/>
    </row>
    <row r="53" spans="1:38" x14ac:dyDescent="0.25">
      <c r="A53" s="135">
        <v>48</v>
      </c>
      <c r="B53" s="140">
        <v>130.59</v>
      </c>
      <c r="C53" s="191">
        <f t="shared" si="10"/>
        <v>132.01</v>
      </c>
      <c r="D53" s="191">
        <f t="shared" si="7"/>
        <v>133.72999999999999</v>
      </c>
      <c r="E53" s="135">
        <f t="shared" si="8"/>
        <v>130.4827413105919</v>
      </c>
      <c r="F53" s="150">
        <f t="shared" si="11"/>
        <v>0.10725868940809846</v>
      </c>
      <c r="G53" s="135">
        <f t="shared" si="12"/>
        <v>8.2133922511753166E-2</v>
      </c>
      <c r="H53" s="135">
        <f t="shared" si="13"/>
        <v>1.1504426453542934E-2</v>
      </c>
      <c r="I53" s="135">
        <f t="shared" si="14"/>
        <v>0.69113880926131666</v>
      </c>
      <c r="L53" s="135">
        <v>3.2536752392346386</v>
      </c>
      <c r="M53" s="135">
        <f t="shared" si="2"/>
        <v>0.8771929824561403</v>
      </c>
      <c r="N53" s="135">
        <f t="shared" si="9"/>
        <v>1.1610685209816871</v>
      </c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  <c r="AA53" s="135"/>
      <c r="AB53" s="135"/>
      <c r="AC53" s="135"/>
      <c r="AD53" s="135"/>
      <c r="AE53" s="135"/>
      <c r="AF53" s="135"/>
      <c r="AG53" s="135"/>
      <c r="AH53" s="135"/>
      <c r="AI53" s="135"/>
      <c r="AJ53" s="135"/>
      <c r="AK53" s="135"/>
      <c r="AL53" s="135"/>
    </row>
    <row r="54" spans="1:38" x14ac:dyDescent="0.25">
      <c r="A54" s="135">
        <v>49</v>
      </c>
      <c r="B54" s="140">
        <v>130.28</v>
      </c>
      <c r="C54" s="191">
        <f t="shared" si="10"/>
        <v>130.59</v>
      </c>
      <c r="D54" s="191">
        <f t="shared" si="7"/>
        <v>132.01</v>
      </c>
      <c r="E54" s="135">
        <f t="shared" si="8"/>
        <v>129.34139372428319</v>
      </c>
      <c r="F54" s="150">
        <f t="shared" si="11"/>
        <v>0.93860627571680766</v>
      </c>
      <c r="G54" s="135">
        <f t="shared" si="12"/>
        <v>0.72045308237396966</v>
      </c>
      <c r="H54" s="135">
        <f t="shared" si="13"/>
        <v>0.88098174081497593</v>
      </c>
      <c r="I54" s="135">
        <f t="shared" si="14"/>
        <v>2.9754825099199702</v>
      </c>
      <c r="L54" s="135">
        <v>3.6948788071003662</v>
      </c>
      <c r="M54" s="135">
        <f t="shared" si="2"/>
        <v>0.89473684210526316</v>
      </c>
      <c r="N54" s="135">
        <f t="shared" si="9"/>
        <v>1.2521195202652196</v>
      </c>
      <c r="O54" s="135"/>
      <c r="P54" s="135"/>
      <c r="Q54" s="135"/>
      <c r="R54" s="135"/>
      <c r="S54" s="135"/>
      <c r="T54" s="135"/>
      <c r="U54" s="135"/>
      <c r="V54" s="135"/>
      <c r="W54" s="135"/>
      <c r="X54" s="135"/>
      <c r="Y54" s="135"/>
      <c r="Z54" s="135"/>
      <c r="AA54" s="135"/>
      <c r="AB54" s="135"/>
      <c r="AC54" s="135"/>
      <c r="AD54" s="135"/>
      <c r="AE54" s="135"/>
      <c r="AF54" s="135"/>
      <c r="AG54" s="135"/>
      <c r="AH54" s="135"/>
      <c r="AI54" s="135"/>
      <c r="AJ54" s="135"/>
      <c r="AK54" s="135"/>
      <c r="AL54" s="135"/>
    </row>
    <row r="55" spans="1:38" x14ac:dyDescent="0.25">
      <c r="A55" s="135">
        <v>50</v>
      </c>
      <c r="B55" s="140">
        <v>129.16</v>
      </c>
      <c r="C55" s="191">
        <f t="shared" si="10"/>
        <v>130.28</v>
      </c>
      <c r="D55" s="191">
        <f t="shared" si="7"/>
        <v>130.59</v>
      </c>
      <c r="E55" s="135">
        <f t="shared" si="8"/>
        <v>129.94635242231627</v>
      </c>
      <c r="F55" s="172">
        <f t="shared" si="11"/>
        <v>-0.78635242231626989</v>
      </c>
      <c r="G55" s="135">
        <f t="shared" si="12"/>
        <v>0.60882039510395625</v>
      </c>
      <c r="H55" s="135">
        <f t="shared" si="13"/>
        <v>0.61835013208266532</v>
      </c>
      <c r="I55" s="135">
        <f t="shared" si="14"/>
        <v>2.3595157907248594</v>
      </c>
      <c r="L55" s="135">
        <v>3.8509872938606975</v>
      </c>
      <c r="M55" s="135">
        <f t="shared" si="2"/>
        <v>0.91228070175438591</v>
      </c>
      <c r="N55" s="135">
        <f t="shared" si="9"/>
        <v>1.3549339667142222</v>
      </c>
      <c r="O55" s="135"/>
      <c r="P55" s="135"/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</row>
    <row r="56" spans="1:38" x14ac:dyDescent="0.25">
      <c r="A56" s="135">
        <v>51</v>
      </c>
      <c r="B56" s="140">
        <v>128.94</v>
      </c>
      <c r="C56" s="191">
        <f t="shared" si="10"/>
        <v>129.16</v>
      </c>
      <c r="D56" s="191">
        <f t="shared" si="7"/>
        <v>130.28</v>
      </c>
      <c r="E56" s="135">
        <f t="shared" si="8"/>
        <v>128.19028087752258</v>
      </c>
      <c r="F56" s="150">
        <f t="shared" si="11"/>
        <v>0.74971912247741557</v>
      </c>
      <c r="G56" s="135">
        <f t="shared" si="12"/>
        <v>0.58144805527952192</v>
      </c>
      <c r="H56" s="135">
        <f t="shared" si="13"/>
        <v>0.56207876260830603</v>
      </c>
      <c r="I56" s="135">
        <f t="shared" si="14"/>
        <v>2.5960448278303804E-2</v>
      </c>
      <c r="L56" s="135">
        <v>4.3219069662048923</v>
      </c>
      <c r="M56" s="135">
        <f t="shared" si="2"/>
        <v>0.92982456140350878</v>
      </c>
      <c r="N56" s="135">
        <f t="shared" si="9"/>
        <v>1.4744856551599712</v>
      </c>
      <c r="O56" s="135"/>
      <c r="P56" s="135"/>
      <c r="Q56" s="135"/>
      <c r="R56" s="135"/>
      <c r="S56" s="135"/>
      <c r="T56" s="135"/>
      <c r="U56" s="135"/>
      <c r="V56" s="135"/>
      <c r="W56" s="135"/>
      <c r="X56" s="135"/>
      <c r="Y56" s="135"/>
      <c r="Z56" s="135"/>
      <c r="AA56" s="135"/>
      <c r="AB56" s="135"/>
      <c r="AC56" s="135"/>
      <c r="AD56" s="135"/>
      <c r="AE56" s="135"/>
      <c r="AF56" s="135"/>
      <c r="AG56" s="135"/>
      <c r="AH56" s="135"/>
      <c r="AI56" s="135"/>
      <c r="AJ56" s="135"/>
      <c r="AK56" s="135"/>
      <c r="AL56" s="135"/>
    </row>
    <row r="57" spans="1:38" x14ac:dyDescent="0.25">
      <c r="A57" s="135">
        <v>52</v>
      </c>
      <c r="B57" s="140">
        <v>129.30000000000001</v>
      </c>
      <c r="C57" s="191">
        <f t="shared" si="10"/>
        <v>128.94</v>
      </c>
      <c r="D57" s="191">
        <f t="shared" si="7"/>
        <v>129.16</v>
      </c>
      <c r="E57" s="135">
        <f t="shared" si="8"/>
        <v>128.71140334112809</v>
      </c>
      <c r="F57" s="150">
        <f t="shared" si="11"/>
        <v>0.58859665887192136</v>
      </c>
      <c r="G57" s="135">
        <f t="shared" si="12"/>
        <v>0.45521783362097551</v>
      </c>
      <c r="H57" s="135">
        <f t="shared" si="13"/>
        <v>0.34644602683518899</v>
      </c>
      <c r="I57" s="135">
        <f t="shared" si="14"/>
        <v>1.1972002302868181</v>
      </c>
      <c r="L57" s="135">
        <v>4.3243769708798823</v>
      </c>
      <c r="M57" s="135">
        <f t="shared" si="2"/>
        <v>0.94736842105263153</v>
      </c>
      <c r="N57" s="135">
        <f t="shared" si="9"/>
        <v>1.6198562586382692</v>
      </c>
      <c r="O57" s="135"/>
      <c r="P57" s="135"/>
      <c r="Q57" s="135"/>
      <c r="R57" s="135"/>
      <c r="S57" s="135"/>
      <c r="T57" s="135"/>
      <c r="U57" s="135"/>
      <c r="V57" s="135"/>
      <c r="W57" s="135"/>
      <c r="X57" s="135"/>
      <c r="Y57" s="135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5"/>
      <c r="AL57" s="135"/>
    </row>
    <row r="58" spans="1:38" x14ac:dyDescent="0.25">
      <c r="A58" s="135">
        <v>53</v>
      </c>
      <c r="B58" s="140">
        <v>131.22</v>
      </c>
      <c r="C58" s="191">
        <f t="shared" si="10"/>
        <v>129.30000000000001</v>
      </c>
      <c r="D58" s="191">
        <f t="shared" si="7"/>
        <v>128.94</v>
      </c>
      <c r="E58" s="135">
        <f t="shared" si="8"/>
        <v>129.53723688656697</v>
      </c>
      <c r="F58" s="150">
        <f t="shared" si="11"/>
        <v>1.6827631134330261</v>
      </c>
      <c r="G58" s="135">
        <f t="shared" si="12"/>
        <v>1.2823983489049124</v>
      </c>
      <c r="H58" s="135">
        <f t="shared" si="13"/>
        <v>2.8316916959308114</v>
      </c>
      <c r="I58" s="135">
        <f t="shared" si="14"/>
        <v>3.4246865887046192</v>
      </c>
      <c r="L58" s="135">
        <v>5.0236058437068181</v>
      </c>
      <c r="M58" s="135">
        <f t="shared" si="2"/>
        <v>0.96491228070175439</v>
      </c>
      <c r="N58" s="135">
        <f t="shared" si="9"/>
        <v>1.8107766086044799</v>
      </c>
      <c r="O58" s="135"/>
      <c r="P58" s="135"/>
      <c r="Q58" s="135"/>
      <c r="R58" s="135"/>
      <c r="S58" s="135"/>
      <c r="T58" s="135"/>
      <c r="U58" s="135"/>
      <c r="V58" s="135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</row>
    <row r="59" spans="1:38" x14ac:dyDescent="0.25">
      <c r="A59" s="135">
        <v>54</v>
      </c>
      <c r="B59" s="140">
        <v>132.52000000000001</v>
      </c>
      <c r="C59" s="191">
        <f t="shared" si="10"/>
        <v>131.22</v>
      </c>
      <c r="D59" s="191">
        <f t="shared" si="7"/>
        <v>129.30000000000001</v>
      </c>
      <c r="E59" s="135">
        <f t="shared" si="8"/>
        <v>132.68782776212663</v>
      </c>
      <c r="F59" s="172">
        <f t="shared" si="11"/>
        <v>-0.16782776212662043</v>
      </c>
      <c r="G59" s="135">
        <f t="shared" si="12"/>
        <v>0.12664334600559946</v>
      </c>
      <c r="H59" s="135">
        <f t="shared" si="13"/>
        <v>2.8166157740429489E-2</v>
      </c>
      <c r="I59" s="135">
        <f t="shared" si="14"/>
        <v>0.93607475543412866</v>
      </c>
      <c r="L59" s="135">
        <v>5.2695912606996558</v>
      </c>
      <c r="M59" s="135">
        <f t="shared" si="2"/>
        <v>0.98245614035087714</v>
      </c>
      <c r="N59" s="135">
        <f t="shared" si="9"/>
        <v>2.1073446081072977</v>
      </c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  <c r="AE59" s="135"/>
      <c r="AF59" s="135"/>
      <c r="AG59" s="135"/>
      <c r="AH59" s="135"/>
      <c r="AI59" s="135"/>
      <c r="AJ59" s="135"/>
      <c r="AK59" s="135"/>
      <c r="AL59" s="135"/>
    </row>
    <row r="60" spans="1:38" x14ac:dyDescent="0.25">
      <c r="A60" s="135">
        <v>55</v>
      </c>
      <c r="B60" s="140">
        <v>134.25</v>
      </c>
      <c r="C60" s="191">
        <f t="shared" si="10"/>
        <v>132.52000000000001</v>
      </c>
      <c r="D60" s="191">
        <f t="shared" si="7"/>
        <v>131.22</v>
      </c>
      <c r="E60" s="135">
        <f t="shared" si="8"/>
        <v>133.45031819864204</v>
      </c>
      <c r="F60" s="150">
        <f t="shared" si="11"/>
        <v>0.79968180135796274</v>
      </c>
      <c r="G60" s="135">
        <f t="shared" si="12"/>
        <v>0.59566614626291448</v>
      </c>
      <c r="H60" s="135">
        <f t="shared" si="13"/>
        <v>0.63949098342311617</v>
      </c>
      <c r="I60" s="135">
        <f t="shared" si="14"/>
        <v>5.3367712337788281E-2</v>
      </c>
      <c r="O60" s="135"/>
      <c r="P60" s="135"/>
      <c r="Q60" s="135"/>
      <c r="R60" s="135"/>
      <c r="S60" s="135"/>
      <c r="T60" s="135"/>
      <c r="U60" s="135"/>
      <c r="V60" s="135"/>
      <c r="W60" s="135"/>
      <c r="X60" s="135"/>
      <c r="Y60" s="135"/>
      <c r="Z60" s="135"/>
      <c r="AA60" s="135"/>
      <c r="AB60" s="135"/>
      <c r="AC60" s="135"/>
      <c r="AD60" s="135"/>
      <c r="AE60" s="135"/>
      <c r="AF60" s="135"/>
      <c r="AG60" s="135"/>
      <c r="AH60" s="135"/>
      <c r="AI60" s="135"/>
      <c r="AJ60" s="135"/>
      <c r="AK60" s="135"/>
      <c r="AL60" s="135"/>
    </row>
    <row r="61" spans="1:38" x14ac:dyDescent="0.25">
      <c r="A61" s="135">
        <v>56</v>
      </c>
      <c r="B61" s="140">
        <v>136.06</v>
      </c>
      <c r="C61" s="191">
        <f t="shared" si="10"/>
        <v>134.25</v>
      </c>
      <c r="D61" s="191">
        <f t="shared" si="7"/>
        <v>132.52000000000001</v>
      </c>
      <c r="E61" s="135">
        <f t="shared" si="8"/>
        <v>135.49133272705484</v>
      </c>
      <c r="F61" s="150">
        <f t="shared" si="11"/>
        <v>0.56866727294516295</v>
      </c>
      <c r="G61" s="135">
        <f t="shared" si="12"/>
        <v>0.41795330952900406</v>
      </c>
      <c r="H61" s="135">
        <f t="shared" si="13"/>
        <v>0.32338246731888848</v>
      </c>
      <c r="I61" s="135"/>
      <c r="L61" s="135"/>
      <c r="M61" s="135"/>
      <c r="N61" s="135"/>
      <c r="O61" s="135"/>
      <c r="P61" s="135"/>
      <c r="Q61" s="135"/>
      <c r="R61" s="135"/>
      <c r="S61" s="135"/>
      <c r="T61" s="135"/>
      <c r="U61" s="135"/>
      <c r="V61" s="135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135"/>
    </row>
    <row r="62" spans="1:38" x14ac:dyDescent="0.25">
      <c r="A62" s="135" t="s">
        <v>76</v>
      </c>
      <c r="B62" s="150">
        <f>SUM(B4:B61)</f>
        <v>7013.130000000001</v>
      </c>
      <c r="C62" s="150">
        <f>SUM(C4:C61)</f>
        <v>6877.0700000000006</v>
      </c>
      <c r="D62" s="150">
        <f t="shared" ref="D62:I62" si="15">SUM(D4:D61)</f>
        <v>6742.8200000000006</v>
      </c>
      <c r="E62" s="150">
        <f t="shared" si="15"/>
        <v>6808.6000000000031</v>
      </c>
      <c r="F62" s="150">
        <f t="shared" si="15"/>
        <v>-1.4210854715202004E-12</v>
      </c>
      <c r="G62" s="150">
        <f t="shared" si="15"/>
        <v>37.251029034015488</v>
      </c>
      <c r="H62" s="150">
        <f t="shared" si="15"/>
        <v>71.783990789929035</v>
      </c>
      <c r="I62" s="150">
        <f t="shared" si="15"/>
        <v>122.56277794292455</v>
      </c>
      <c r="L62" s="135"/>
      <c r="M62" s="135"/>
      <c r="N62" s="135"/>
      <c r="O62" s="135"/>
      <c r="P62" s="135"/>
      <c r="Q62" s="135"/>
      <c r="R62" s="135"/>
      <c r="S62" s="135"/>
      <c r="T62" s="135"/>
      <c r="U62" s="135"/>
      <c r="V62" s="135"/>
      <c r="W62" s="135"/>
      <c r="X62" s="135"/>
      <c r="Y62" s="135"/>
      <c r="Z62" s="135"/>
      <c r="AA62" s="135"/>
      <c r="AB62" s="135"/>
      <c r="AC62" s="135"/>
      <c r="AD62" s="135"/>
      <c r="AE62" s="135"/>
      <c r="AF62" s="135"/>
      <c r="AG62" s="135"/>
      <c r="AH62" s="135"/>
      <c r="AI62" s="135"/>
      <c r="AJ62" s="135"/>
      <c r="AK62" s="135"/>
      <c r="AL62" s="135"/>
    </row>
    <row r="63" spans="1:38" x14ac:dyDescent="0.25">
      <c r="A63" s="135" t="s">
        <v>77</v>
      </c>
      <c r="B63" s="150">
        <f>AVERAGE(B4:B61)</f>
        <v>120.91603448275863</v>
      </c>
      <c r="C63" s="150">
        <f>AVERAGE(C4:C61)</f>
        <v>120.65035087719299</v>
      </c>
      <c r="D63" s="150">
        <f t="shared" ref="D63:I63" si="16">AVERAGE(D4:D61)</f>
        <v>120.40750000000001</v>
      </c>
      <c r="E63" s="150">
        <f t="shared" si="16"/>
        <v>121.58214285714291</v>
      </c>
      <c r="F63" s="150">
        <f t="shared" si="16"/>
        <v>-2.5376526277146437E-14</v>
      </c>
      <c r="G63" s="150">
        <f t="shared" si="16"/>
        <v>0.66519694703599086</v>
      </c>
      <c r="H63" s="150">
        <f t="shared" si="16"/>
        <v>1.2818569783915899</v>
      </c>
      <c r="I63" s="150">
        <f t="shared" si="16"/>
        <v>2.22841414441681</v>
      </c>
    </row>
  </sheetData>
  <mergeCells count="1">
    <mergeCell ref="L2:N2"/>
  </mergeCells>
  <hyperlinks>
    <hyperlink ref="U20" location="'Y от t-2'!F63" display="2) Значение ячейки F63=0, т.е. средняя величина остатков равна 0 и не зависит от Xi."/>
    <hyperlink ref="U23" location="'Y от t-2'!AA26:AG40" display="5)Нанесенные на график проверки распределения на нормальность точки укладываются вдоль линии тренда,"/>
    <hyperlink ref="U22" location="'Y от t-2'!V17" display="4) Коэффициент корреляции rɛiɛj  существенно отличен от 0, что говорит о наличии автокорреляции остатков."/>
    <hyperlink ref="U21" location="'Y от t-2'!Q26:Z40" display="3) Наличие гомоскедастичности можно видеть на графике зависимости остатков ɛi от теоретических значений Ŷₓ. "/>
    <hyperlink ref="U19" location="'Y от t-2'!Q23:Z46" display="1) Из графика зависимости случайных остатков ɛi от теоретического Ŷₓ видно, что остаткиимеют случайный характер."/>
    <hyperlink ref="U20:V20" location="'Тренд с лагом 1'!F63" display="2) Значение ячейки F63=0, т.е. средняя величина остатков равна 0 и не зависит от Xi.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"/>
  <sheetViews>
    <sheetView workbookViewId="0">
      <selection activeCell="J7" sqref="J7"/>
    </sheetView>
  </sheetViews>
  <sheetFormatPr defaultRowHeight="15" x14ac:dyDescent="0.25"/>
  <sheetData>
    <row r="1" spans="1:8" s="135" customFormat="1" x14ac:dyDescent="0.25"/>
    <row r="2" spans="1:8" ht="18" x14ac:dyDescent="0.25">
      <c r="A2" s="138" t="s">
        <v>727</v>
      </c>
      <c r="B2" s="138" t="s">
        <v>48</v>
      </c>
      <c r="C2" s="138" t="s">
        <v>49</v>
      </c>
      <c r="D2" s="138" t="s">
        <v>50</v>
      </c>
      <c r="E2" s="138" t="s">
        <v>51</v>
      </c>
      <c r="F2" s="138" t="s">
        <v>52</v>
      </c>
      <c r="G2" s="138" t="s">
        <v>53</v>
      </c>
      <c r="H2" s="138" t="s">
        <v>54</v>
      </c>
    </row>
    <row r="3" spans="1:8" x14ac:dyDescent="0.25">
      <c r="A3">
        <v>1</v>
      </c>
      <c r="B3" s="140">
        <v>102.32</v>
      </c>
      <c r="C3" s="140">
        <v>70893.600000000006</v>
      </c>
      <c r="D3" s="137">
        <v>495852.6</v>
      </c>
      <c r="E3" s="137">
        <v>30693.27</v>
      </c>
      <c r="F3" s="140">
        <v>2710.03</v>
      </c>
      <c r="G3" s="140">
        <v>-5</v>
      </c>
      <c r="H3" s="140">
        <v>21675</v>
      </c>
    </row>
    <row r="4" spans="1:8" x14ac:dyDescent="0.25">
      <c r="A4">
        <v>2</v>
      </c>
      <c r="B4" s="140">
        <v>102.21</v>
      </c>
      <c r="C4" s="140">
        <v>70392.98</v>
      </c>
      <c r="D4" s="137">
        <v>494356.21</v>
      </c>
      <c r="E4" s="137">
        <v>30330.845000000001</v>
      </c>
      <c r="F4" s="140">
        <v>2802.63</v>
      </c>
      <c r="G4" s="140">
        <v>-4</v>
      </c>
      <c r="H4" s="140">
        <v>21721</v>
      </c>
    </row>
    <row r="5" spans="1:8" x14ac:dyDescent="0.25">
      <c r="A5" s="135">
        <v>3</v>
      </c>
      <c r="B5" s="140">
        <v>102.16</v>
      </c>
      <c r="C5" s="140">
        <v>70256.63</v>
      </c>
      <c r="D5" s="137">
        <v>493826.35</v>
      </c>
      <c r="E5" s="137">
        <v>29117.575000000001</v>
      </c>
      <c r="F5" s="140">
        <v>2739.21</v>
      </c>
      <c r="G5" s="140">
        <v>-5</v>
      </c>
      <c r="H5" s="140">
        <v>20525</v>
      </c>
    </row>
    <row r="6" spans="1:8" x14ac:dyDescent="0.25">
      <c r="A6" s="135">
        <v>4</v>
      </c>
      <c r="B6" s="140">
        <v>102.06</v>
      </c>
      <c r="C6" s="140">
        <v>70189.759999999995</v>
      </c>
      <c r="D6" s="137">
        <v>491922.49</v>
      </c>
      <c r="E6" s="137">
        <v>26374.77</v>
      </c>
      <c r="F6" s="140">
        <v>3487.76</v>
      </c>
      <c r="G6" s="140">
        <v>-4</v>
      </c>
      <c r="H6" s="140">
        <v>20233</v>
      </c>
    </row>
    <row r="7" spans="1:8" x14ac:dyDescent="0.25">
      <c r="A7" s="135">
        <v>5</v>
      </c>
      <c r="B7" s="140">
        <v>102.55</v>
      </c>
      <c r="C7" s="140">
        <v>70468.94</v>
      </c>
      <c r="D7" s="137">
        <v>494987.4</v>
      </c>
      <c r="E7" s="137">
        <v>27921.035</v>
      </c>
      <c r="F7" s="140">
        <v>2649.2</v>
      </c>
      <c r="G7" s="140">
        <v>-6</v>
      </c>
      <c r="H7" s="140">
        <v>19933</v>
      </c>
    </row>
    <row r="8" spans="1:8" x14ac:dyDescent="0.25">
      <c r="A8" s="135">
        <v>6</v>
      </c>
      <c r="B8" s="140">
        <v>104.35</v>
      </c>
      <c r="C8" s="140">
        <v>70520.399999999994</v>
      </c>
      <c r="D8" s="137">
        <v>499933.2</v>
      </c>
      <c r="E8" s="137">
        <v>26684.254999999997</v>
      </c>
      <c r="F8" s="140">
        <v>2645.58</v>
      </c>
      <c r="G8" s="140">
        <v>-5</v>
      </c>
      <c r="H8" s="140">
        <v>18654</v>
      </c>
    </row>
    <row r="9" spans="1:8" x14ac:dyDescent="0.25">
      <c r="A9" s="135">
        <v>7</v>
      </c>
      <c r="B9" s="140">
        <v>107.57</v>
      </c>
      <c r="C9" s="140">
        <v>74325.27</v>
      </c>
      <c r="D9" s="137">
        <v>504654.29</v>
      </c>
      <c r="E9" s="137">
        <v>27998.165000000001</v>
      </c>
      <c r="F9" s="140">
        <v>3077.61</v>
      </c>
      <c r="G9" s="140">
        <v>-6</v>
      </c>
      <c r="H9" s="140">
        <v>18125</v>
      </c>
    </row>
    <row r="10" spans="1:8" x14ac:dyDescent="0.25">
      <c r="A10" s="135">
        <v>8</v>
      </c>
      <c r="B10" s="140">
        <v>111.96</v>
      </c>
      <c r="C10" s="140">
        <v>76378.39</v>
      </c>
      <c r="D10" s="137">
        <v>502246.32</v>
      </c>
      <c r="E10" s="137">
        <v>26800.445</v>
      </c>
      <c r="F10" s="140">
        <v>3099.03</v>
      </c>
      <c r="G10" s="140">
        <v>-7</v>
      </c>
      <c r="H10" s="140">
        <v>18226</v>
      </c>
    </row>
    <row r="11" spans="1:8" x14ac:dyDescent="0.25">
      <c r="A11" s="135">
        <v>9</v>
      </c>
      <c r="B11" s="140">
        <v>115.27</v>
      </c>
      <c r="C11" s="140">
        <v>79677.22</v>
      </c>
      <c r="D11" s="137">
        <v>507284.61</v>
      </c>
      <c r="E11" s="137">
        <v>28104.639999999999</v>
      </c>
      <c r="F11" s="140">
        <v>3279.89</v>
      </c>
      <c r="G11" s="140">
        <v>-8</v>
      </c>
      <c r="H11" s="140">
        <v>18486</v>
      </c>
    </row>
    <row r="12" spans="1:8" x14ac:dyDescent="0.25">
      <c r="A12" s="135">
        <v>10</v>
      </c>
      <c r="B12" s="140">
        <v>117.17</v>
      </c>
      <c r="C12" s="140">
        <v>80664.95</v>
      </c>
      <c r="D12" s="137">
        <v>511264.1</v>
      </c>
      <c r="E12" s="137">
        <v>29187.01</v>
      </c>
      <c r="F12" s="140">
        <v>3087.95</v>
      </c>
      <c r="G12" s="140">
        <v>-8</v>
      </c>
      <c r="H12" s="140">
        <v>18478</v>
      </c>
    </row>
    <row r="13" spans="1:8" x14ac:dyDescent="0.25">
      <c r="A13" s="135">
        <v>11</v>
      </c>
      <c r="B13" s="140">
        <v>117.61</v>
      </c>
      <c r="C13" s="140">
        <v>82246.86</v>
      </c>
      <c r="D13" s="137">
        <v>507893.75</v>
      </c>
      <c r="E13" s="137">
        <v>31053.75</v>
      </c>
      <c r="F13" s="140">
        <v>3004.93</v>
      </c>
      <c r="G13" s="140">
        <v>-8</v>
      </c>
      <c r="H13" s="140">
        <v>17569</v>
      </c>
    </row>
    <row r="14" spans="1:8" x14ac:dyDescent="0.25">
      <c r="A14" s="135">
        <v>12</v>
      </c>
      <c r="B14" s="140">
        <v>117.26</v>
      </c>
      <c r="C14" s="140">
        <v>81836.759999999995</v>
      </c>
      <c r="D14" s="137">
        <v>503968.92</v>
      </c>
      <c r="E14" s="137">
        <v>32834.595000000001</v>
      </c>
      <c r="F14" s="140">
        <v>2833.66</v>
      </c>
      <c r="G14" s="140">
        <v>-7</v>
      </c>
      <c r="H14" s="140">
        <v>17236</v>
      </c>
    </row>
    <row r="15" spans="1:8" x14ac:dyDescent="0.25">
      <c r="A15" s="135">
        <v>13</v>
      </c>
      <c r="B15" s="140">
        <v>115.88</v>
      </c>
      <c r="C15" s="140">
        <v>78275.3</v>
      </c>
      <c r="D15" s="137">
        <v>494578.49</v>
      </c>
      <c r="E15" s="137">
        <v>33410.415000000001</v>
      </c>
      <c r="F15" s="140">
        <v>3534.59</v>
      </c>
      <c r="G15" s="140">
        <v>-7</v>
      </c>
      <c r="H15" s="140">
        <v>16378</v>
      </c>
    </row>
    <row r="16" spans="1:8" x14ac:dyDescent="0.25">
      <c r="A16" s="135">
        <v>14</v>
      </c>
      <c r="B16" s="140">
        <v>113.35</v>
      </c>
      <c r="C16" s="140">
        <v>73730.42</v>
      </c>
      <c r="D16" s="137">
        <v>497892.4</v>
      </c>
      <c r="E16" s="137">
        <v>33158.774999999994</v>
      </c>
      <c r="F16" s="140">
        <v>3518.38</v>
      </c>
      <c r="G16" s="140">
        <v>-6</v>
      </c>
      <c r="H16" s="140">
        <v>16112</v>
      </c>
    </row>
    <row r="17" spans="1:8" x14ac:dyDescent="0.25">
      <c r="A17" s="135">
        <v>15</v>
      </c>
      <c r="B17" s="140">
        <v>111.39</v>
      </c>
      <c r="C17" s="140">
        <v>71289.279999999999</v>
      </c>
      <c r="D17" s="137">
        <v>502643.15</v>
      </c>
      <c r="E17" s="137">
        <v>32302.74</v>
      </c>
      <c r="F17" s="140">
        <v>3585.83</v>
      </c>
      <c r="G17" s="140">
        <v>-5</v>
      </c>
      <c r="H17" s="140">
        <v>15321</v>
      </c>
    </row>
    <row r="18" spans="1:8" x14ac:dyDescent="0.25">
      <c r="A18" s="135">
        <v>16</v>
      </c>
      <c r="B18" s="140">
        <v>109.76</v>
      </c>
      <c r="C18" s="140">
        <v>72839.63</v>
      </c>
      <c r="D18" s="137">
        <v>505356.49</v>
      </c>
      <c r="E18" s="137">
        <v>31546.885000000002</v>
      </c>
      <c r="F18" s="140">
        <v>3185.23</v>
      </c>
      <c r="G18" s="140">
        <v>-6</v>
      </c>
      <c r="H18" s="140">
        <v>14803</v>
      </c>
    </row>
    <row r="19" spans="1:8" x14ac:dyDescent="0.25">
      <c r="A19" s="135">
        <v>17</v>
      </c>
      <c r="B19" s="140">
        <v>109.5</v>
      </c>
      <c r="C19" s="140">
        <v>70868.39</v>
      </c>
      <c r="D19" s="137">
        <v>505894.26</v>
      </c>
      <c r="E19" s="137">
        <v>31470.025000000001</v>
      </c>
      <c r="F19" s="140">
        <v>3405.33</v>
      </c>
      <c r="G19" s="140">
        <v>-8</v>
      </c>
      <c r="H19" s="140">
        <v>15026</v>
      </c>
    </row>
    <row r="20" spans="1:8" x14ac:dyDescent="0.25">
      <c r="A20" s="135">
        <v>18</v>
      </c>
      <c r="B20" s="140">
        <v>108.86</v>
      </c>
      <c r="C20" s="140">
        <v>72645.23</v>
      </c>
      <c r="D20" s="137">
        <v>509487.6</v>
      </c>
      <c r="E20" s="137">
        <v>31161.184999999998</v>
      </c>
      <c r="F20" s="140">
        <v>3370.77</v>
      </c>
      <c r="G20" s="140">
        <v>-6</v>
      </c>
      <c r="H20" s="140">
        <v>14564</v>
      </c>
    </row>
    <row r="21" spans="1:8" x14ac:dyDescent="0.25">
      <c r="A21" s="135">
        <v>19</v>
      </c>
      <c r="B21" s="140">
        <v>108.49</v>
      </c>
      <c r="C21" s="140">
        <v>72701.83</v>
      </c>
      <c r="D21" s="137">
        <v>515679.9</v>
      </c>
      <c r="E21" s="137">
        <v>31784.445</v>
      </c>
      <c r="F21" s="140">
        <v>3789.67</v>
      </c>
      <c r="G21" s="140">
        <v>-7</v>
      </c>
      <c r="H21" s="140">
        <v>14159</v>
      </c>
    </row>
    <row r="22" spans="1:8" x14ac:dyDescent="0.25">
      <c r="A22" s="135">
        <v>20</v>
      </c>
      <c r="B22" s="140">
        <v>108.36</v>
      </c>
      <c r="C22" s="140">
        <v>72815.929999999993</v>
      </c>
      <c r="D22" s="137">
        <v>516214.74</v>
      </c>
      <c r="E22" s="137">
        <v>32330.63</v>
      </c>
      <c r="F22" s="140">
        <v>3843.62</v>
      </c>
      <c r="G22" s="140">
        <v>-9</v>
      </c>
      <c r="H22" s="140">
        <v>14258</v>
      </c>
    </row>
    <row r="23" spans="1:8" x14ac:dyDescent="0.25">
      <c r="A23" s="135">
        <v>21</v>
      </c>
      <c r="B23" s="140">
        <v>108.19</v>
      </c>
      <c r="C23" s="139">
        <v>72786</v>
      </c>
      <c r="D23" s="137">
        <v>514256.13</v>
      </c>
      <c r="E23" s="137">
        <v>33370.205000000002</v>
      </c>
      <c r="F23" s="139">
        <v>3837</v>
      </c>
      <c r="G23" s="140">
        <v>-9</v>
      </c>
      <c r="H23" s="140">
        <v>15224</v>
      </c>
    </row>
    <row r="24" spans="1:8" x14ac:dyDescent="0.25">
      <c r="A24" s="135">
        <v>22</v>
      </c>
      <c r="B24" s="140">
        <v>107.8</v>
      </c>
      <c r="C24" s="140">
        <v>69715.53</v>
      </c>
      <c r="D24" s="137">
        <v>512965.3</v>
      </c>
      <c r="E24" s="137">
        <v>33649.68</v>
      </c>
      <c r="F24" s="140">
        <v>3673.56</v>
      </c>
      <c r="G24" s="140">
        <v>-11</v>
      </c>
      <c r="H24" s="140">
        <v>14652</v>
      </c>
    </row>
    <row r="25" spans="1:8" x14ac:dyDescent="0.25">
      <c r="A25" s="135">
        <v>23</v>
      </c>
      <c r="B25" s="140">
        <v>107.47</v>
      </c>
      <c r="C25" s="140">
        <v>70508.039999999994</v>
      </c>
      <c r="D25" s="137">
        <v>519654.25</v>
      </c>
      <c r="E25" s="137">
        <v>34390.550000000003</v>
      </c>
      <c r="F25" s="140">
        <v>3495.5</v>
      </c>
      <c r="G25" s="140">
        <v>-10</v>
      </c>
      <c r="H25" s="140">
        <v>14781</v>
      </c>
    </row>
    <row r="26" spans="1:8" x14ac:dyDescent="0.25">
      <c r="A26" s="135">
        <v>24</v>
      </c>
      <c r="B26" s="140">
        <v>107.03</v>
      </c>
      <c r="C26" s="140">
        <v>69879.350000000006</v>
      </c>
      <c r="D26" s="137">
        <v>523874.3</v>
      </c>
      <c r="E26" s="137">
        <v>35060.425000000003</v>
      </c>
      <c r="F26" s="140">
        <v>3518.73</v>
      </c>
      <c r="G26" s="140">
        <v>11</v>
      </c>
      <c r="H26" s="140">
        <v>14361</v>
      </c>
    </row>
    <row r="27" spans="1:8" x14ac:dyDescent="0.25">
      <c r="A27" s="135">
        <v>25</v>
      </c>
      <c r="B27" s="140">
        <v>106.61</v>
      </c>
      <c r="C27" s="140">
        <v>74218.64</v>
      </c>
      <c r="D27" s="137">
        <v>527326</v>
      </c>
      <c r="E27" s="137">
        <v>35321.544999999998</v>
      </c>
      <c r="F27" s="140">
        <v>3664.96</v>
      </c>
      <c r="G27" s="140">
        <v>-11</v>
      </c>
      <c r="H27" s="140">
        <v>13997</v>
      </c>
    </row>
    <row r="28" spans="1:8" x14ac:dyDescent="0.25">
      <c r="A28" s="135">
        <v>26</v>
      </c>
      <c r="B28" s="140">
        <v>106.57</v>
      </c>
      <c r="C28" s="140">
        <v>72517.240000000005</v>
      </c>
      <c r="D28" s="137">
        <v>521835.7</v>
      </c>
      <c r="E28" s="137">
        <v>34869.084999999999</v>
      </c>
      <c r="F28" s="140">
        <v>3675.08</v>
      </c>
      <c r="G28" s="140">
        <v>-8</v>
      </c>
      <c r="H28" s="140">
        <v>13845</v>
      </c>
    </row>
    <row r="29" spans="1:8" x14ac:dyDescent="0.25">
      <c r="A29" s="135">
        <v>27</v>
      </c>
      <c r="B29" s="140">
        <v>106.49</v>
      </c>
      <c r="C29" s="140">
        <v>76730.179999999993</v>
      </c>
      <c r="D29" s="137">
        <v>515389</v>
      </c>
      <c r="E29" s="137">
        <v>34749.365000000005</v>
      </c>
      <c r="F29" s="140">
        <v>3610.9</v>
      </c>
      <c r="G29" s="140">
        <v>-7</v>
      </c>
      <c r="H29" s="140">
        <v>13456</v>
      </c>
    </row>
    <row r="30" spans="1:8" x14ac:dyDescent="0.25">
      <c r="A30" s="135">
        <v>28</v>
      </c>
      <c r="B30" s="140">
        <v>107.04</v>
      </c>
      <c r="C30" s="140">
        <v>78696.2</v>
      </c>
      <c r="D30" s="137">
        <v>510620.8</v>
      </c>
      <c r="E30" s="137">
        <v>34217.119999999995</v>
      </c>
      <c r="F30" s="140">
        <v>3918.14</v>
      </c>
      <c r="G30" s="140">
        <v>-6</v>
      </c>
      <c r="H30" s="140">
        <v>13342</v>
      </c>
    </row>
    <row r="31" spans="1:8" x14ac:dyDescent="0.25">
      <c r="A31" s="135">
        <v>29</v>
      </c>
      <c r="B31" s="140">
        <v>111.35</v>
      </c>
      <c r="C31" s="140">
        <v>82153.98</v>
      </c>
      <c r="D31" s="137">
        <v>518659</v>
      </c>
      <c r="E31" s="137">
        <v>34651.399999999994</v>
      </c>
      <c r="F31" s="140">
        <v>3896.81</v>
      </c>
      <c r="G31" s="140">
        <v>-6</v>
      </c>
      <c r="H31" s="140">
        <v>13645</v>
      </c>
    </row>
    <row r="32" spans="1:8" x14ac:dyDescent="0.25">
      <c r="A32" s="135">
        <v>30</v>
      </c>
      <c r="B32" s="140">
        <v>117.54</v>
      </c>
      <c r="C32" s="140">
        <v>86601.85</v>
      </c>
      <c r="D32" s="137">
        <v>529324.68000000005</v>
      </c>
      <c r="E32" s="137">
        <v>34633.524999999994</v>
      </c>
      <c r="F32" s="140">
        <v>3995.53</v>
      </c>
      <c r="G32" s="140">
        <v>-7</v>
      </c>
      <c r="H32" s="140">
        <v>13171</v>
      </c>
    </row>
    <row r="33" spans="1:8" x14ac:dyDescent="0.25">
      <c r="A33" s="135">
        <v>31</v>
      </c>
      <c r="B33" s="140">
        <v>122.58</v>
      </c>
      <c r="C33" s="140">
        <v>91844.53</v>
      </c>
      <c r="D33" s="137">
        <v>537441.18999999994</v>
      </c>
      <c r="E33" s="137">
        <v>35402.485000000001</v>
      </c>
      <c r="F33" s="140">
        <v>4005.55</v>
      </c>
      <c r="G33" s="140">
        <v>-7</v>
      </c>
      <c r="H33" s="140">
        <v>13272</v>
      </c>
    </row>
    <row r="34" spans="1:8" x14ac:dyDescent="0.25">
      <c r="A34" s="135">
        <v>32</v>
      </c>
      <c r="B34" s="140">
        <v>128.16</v>
      </c>
      <c r="C34" s="140">
        <v>95474.23</v>
      </c>
      <c r="D34" s="137">
        <v>542365.21</v>
      </c>
      <c r="E34" s="137">
        <v>35556.824999999997</v>
      </c>
      <c r="F34" s="140">
        <v>4088.28</v>
      </c>
      <c r="G34" s="140">
        <v>-12</v>
      </c>
      <c r="H34" s="140">
        <v>13121</v>
      </c>
    </row>
    <row r="35" spans="1:8" x14ac:dyDescent="0.25">
      <c r="A35" s="135">
        <v>33</v>
      </c>
      <c r="B35" s="140">
        <v>132.86000000000001</v>
      </c>
      <c r="C35" s="140">
        <v>98413.41</v>
      </c>
      <c r="D35" s="137">
        <v>545986.31999999995</v>
      </c>
      <c r="E35" s="137">
        <v>36010.71</v>
      </c>
      <c r="F35" s="140">
        <v>3942.97</v>
      </c>
      <c r="G35" s="140">
        <v>-15</v>
      </c>
      <c r="H35" s="140">
        <v>12964</v>
      </c>
    </row>
    <row r="36" spans="1:8" x14ac:dyDescent="0.25">
      <c r="A36" s="135">
        <v>34</v>
      </c>
      <c r="B36" s="140">
        <v>134.91999999999999</v>
      </c>
      <c r="C36" s="140">
        <v>100417.43</v>
      </c>
      <c r="D36" s="137">
        <v>547324.80000000005</v>
      </c>
      <c r="E36" s="137">
        <v>36435.434999999998</v>
      </c>
      <c r="F36" s="140">
        <v>3667.51</v>
      </c>
      <c r="G36" s="140">
        <v>-18</v>
      </c>
      <c r="H36" s="140">
        <v>12732</v>
      </c>
    </row>
    <row r="37" spans="1:8" x14ac:dyDescent="0.25">
      <c r="A37" s="135">
        <v>35</v>
      </c>
      <c r="B37" s="140">
        <v>135.69999999999999</v>
      </c>
      <c r="C37" s="140">
        <v>98281.93</v>
      </c>
      <c r="D37" s="137">
        <v>545895.19999999995</v>
      </c>
      <c r="E37" s="137">
        <v>37231.79</v>
      </c>
      <c r="F37" s="140">
        <v>3931.27</v>
      </c>
      <c r="G37" s="140">
        <v>-22.7</v>
      </c>
      <c r="H37" s="140">
        <v>13121</v>
      </c>
    </row>
    <row r="38" spans="1:8" x14ac:dyDescent="0.25">
      <c r="A38" s="135">
        <v>36</v>
      </c>
      <c r="B38" s="140">
        <v>136.13999999999999</v>
      </c>
      <c r="C38" s="140">
        <v>97019.43</v>
      </c>
      <c r="D38" s="137">
        <v>548956.56000000006</v>
      </c>
      <c r="E38" s="137">
        <v>37307.69</v>
      </c>
      <c r="F38" s="140">
        <v>3877.77</v>
      </c>
      <c r="G38" s="140">
        <v>-26.4</v>
      </c>
      <c r="H38" s="140">
        <v>12745</v>
      </c>
    </row>
    <row r="39" spans="1:8" x14ac:dyDescent="0.25">
      <c r="A39" s="135">
        <v>37</v>
      </c>
      <c r="B39" s="140">
        <v>140.15</v>
      </c>
      <c r="C39" s="140">
        <v>98420.3</v>
      </c>
      <c r="D39" s="137">
        <v>547195.30000000005</v>
      </c>
      <c r="E39" s="137">
        <v>36741.72</v>
      </c>
      <c r="F39" s="140">
        <v>3963.93</v>
      </c>
      <c r="G39" s="140">
        <v>-32.299999999999997</v>
      </c>
      <c r="H39" s="140">
        <v>12949</v>
      </c>
    </row>
    <row r="40" spans="1:8" x14ac:dyDescent="0.25">
      <c r="A40" s="135">
        <v>38</v>
      </c>
      <c r="B40" s="140">
        <v>140.09</v>
      </c>
      <c r="C40" s="140">
        <v>97818.39</v>
      </c>
      <c r="D40" s="137">
        <v>546512.30000000005</v>
      </c>
      <c r="E40" s="137">
        <v>36150.604999999996</v>
      </c>
      <c r="F40" s="140">
        <v>4197.93</v>
      </c>
      <c r="G40" s="140">
        <v>-25.6</v>
      </c>
      <c r="H40" s="140">
        <v>12626</v>
      </c>
    </row>
    <row r="41" spans="1:8" x14ac:dyDescent="0.25">
      <c r="A41" s="135">
        <v>39</v>
      </c>
      <c r="B41" s="140">
        <v>139.1</v>
      </c>
      <c r="C41" s="140">
        <v>96463.79</v>
      </c>
      <c r="D41" s="137">
        <v>544625</v>
      </c>
      <c r="E41" s="137">
        <v>38026.050000000003</v>
      </c>
      <c r="F41" s="140">
        <v>4405.04</v>
      </c>
      <c r="G41" s="140">
        <v>-24.2</v>
      </c>
      <c r="H41" s="140">
        <v>12426</v>
      </c>
    </row>
    <row r="42" spans="1:8" x14ac:dyDescent="0.25">
      <c r="A42" s="135">
        <v>40</v>
      </c>
      <c r="B42" s="140">
        <v>137.5</v>
      </c>
      <c r="C42" s="140">
        <v>97592.48</v>
      </c>
      <c r="D42" s="137">
        <v>545049.80000000005</v>
      </c>
      <c r="E42" s="137">
        <v>36228.885000000002</v>
      </c>
      <c r="F42" s="140">
        <v>4407.75</v>
      </c>
      <c r="G42" s="140">
        <v>-23.4</v>
      </c>
      <c r="H42" s="140">
        <v>12344</v>
      </c>
    </row>
    <row r="43" spans="1:8" x14ac:dyDescent="0.25">
      <c r="A43" s="135">
        <v>41</v>
      </c>
      <c r="B43" s="140">
        <v>136.12</v>
      </c>
      <c r="C43" s="140">
        <v>95935.15</v>
      </c>
      <c r="D43" s="137">
        <v>547123.1</v>
      </c>
      <c r="E43" s="137">
        <v>37326.339999999997</v>
      </c>
      <c r="F43" s="140">
        <v>4450.25</v>
      </c>
      <c r="G43" s="140">
        <v>-22.7</v>
      </c>
      <c r="H43" s="140">
        <v>12343</v>
      </c>
    </row>
    <row r="44" spans="1:8" x14ac:dyDescent="0.25">
      <c r="A44" s="135">
        <v>42</v>
      </c>
      <c r="B44" s="140">
        <v>135.22</v>
      </c>
      <c r="C44" s="140">
        <v>95011.99</v>
      </c>
      <c r="D44" s="137">
        <v>545156.30000000005</v>
      </c>
      <c r="E44" s="137">
        <v>36578.83</v>
      </c>
      <c r="F44" s="140">
        <v>4434.34</v>
      </c>
      <c r="G44" s="140">
        <v>-23.6</v>
      </c>
      <c r="H44" s="140">
        <v>13001</v>
      </c>
    </row>
    <row r="45" spans="1:8" x14ac:dyDescent="0.25">
      <c r="A45" s="135">
        <v>43</v>
      </c>
      <c r="B45" s="140">
        <v>134.72999999999999</v>
      </c>
      <c r="C45" s="140">
        <v>96402.04</v>
      </c>
      <c r="D45" s="137">
        <v>545049.80000000005</v>
      </c>
      <c r="E45" s="137">
        <v>37371.214999999997</v>
      </c>
      <c r="F45" s="140">
        <v>4768.6099999999997</v>
      </c>
      <c r="G45" s="140">
        <v>-24.1</v>
      </c>
      <c r="H45" s="140">
        <v>12329.99</v>
      </c>
    </row>
    <row r="46" spans="1:8" x14ac:dyDescent="0.25">
      <c r="A46" s="135">
        <v>44</v>
      </c>
      <c r="B46" s="140">
        <v>134.38999999999999</v>
      </c>
      <c r="C46" s="140">
        <v>95988.39</v>
      </c>
      <c r="D46" s="137">
        <v>551483.6</v>
      </c>
      <c r="E46" s="137">
        <v>37812.94</v>
      </c>
      <c r="F46" s="140">
        <v>4761.05</v>
      </c>
      <c r="G46" s="140">
        <v>-24.1</v>
      </c>
      <c r="H46" s="140">
        <v>12054</v>
      </c>
    </row>
    <row r="47" spans="1:8" x14ac:dyDescent="0.25">
      <c r="A47" s="135">
        <v>45</v>
      </c>
      <c r="B47" s="140">
        <v>134.51</v>
      </c>
      <c r="C47" s="140">
        <v>94977.86</v>
      </c>
      <c r="D47" s="137">
        <v>559456.31999999995</v>
      </c>
      <c r="E47" s="137">
        <v>38081.755000000005</v>
      </c>
      <c r="F47" s="140">
        <v>4728.13</v>
      </c>
      <c r="G47" s="140">
        <v>-25.3</v>
      </c>
      <c r="H47" s="140">
        <v>12242</v>
      </c>
    </row>
    <row r="48" spans="1:8" x14ac:dyDescent="0.25">
      <c r="A48" s="135">
        <v>46</v>
      </c>
      <c r="B48" s="140">
        <v>134.46</v>
      </c>
      <c r="C48" s="140">
        <v>96262.87</v>
      </c>
      <c r="D48" s="137">
        <v>569744.39</v>
      </c>
      <c r="E48" s="137">
        <v>38537.42</v>
      </c>
      <c r="F48" s="140">
        <v>4789.46</v>
      </c>
      <c r="G48" s="140">
        <v>-26.4</v>
      </c>
      <c r="H48" s="140">
        <v>12548</v>
      </c>
    </row>
    <row r="49" spans="1:8" x14ac:dyDescent="0.25">
      <c r="A49" s="135">
        <v>47</v>
      </c>
      <c r="B49" s="140">
        <v>134.27000000000001</v>
      </c>
      <c r="C49" s="140">
        <v>97210.37</v>
      </c>
      <c r="D49" s="137">
        <v>562321.17000000004</v>
      </c>
      <c r="E49" s="137">
        <v>38555.22</v>
      </c>
      <c r="F49" s="140">
        <v>4849.1000000000004</v>
      </c>
      <c r="G49" s="140">
        <v>-27.8</v>
      </c>
      <c r="H49" s="140">
        <v>13012</v>
      </c>
    </row>
    <row r="50" spans="1:8" x14ac:dyDescent="0.25">
      <c r="A50" s="135">
        <v>48</v>
      </c>
      <c r="B50" s="140">
        <v>133.72999999999999</v>
      </c>
      <c r="C50" s="140">
        <v>96372.24</v>
      </c>
      <c r="D50" s="137">
        <v>557562.30000000005</v>
      </c>
      <c r="E50" s="137">
        <v>37939.195</v>
      </c>
      <c r="F50" s="140">
        <v>4694.05</v>
      </c>
      <c r="G50" s="140">
        <v>-29.2</v>
      </c>
      <c r="H50" s="140">
        <v>12856</v>
      </c>
    </row>
    <row r="51" spans="1:8" x14ac:dyDescent="0.25">
      <c r="A51" s="135">
        <v>49</v>
      </c>
      <c r="B51" s="140">
        <v>132.01</v>
      </c>
      <c r="C51" s="140">
        <v>94819.62</v>
      </c>
      <c r="D51" s="137">
        <v>553010.49</v>
      </c>
      <c r="E51" s="137">
        <v>37000.61</v>
      </c>
      <c r="F51" s="140">
        <v>4493.75</v>
      </c>
      <c r="G51" s="140">
        <v>-30.4</v>
      </c>
      <c r="H51" s="140">
        <v>12583</v>
      </c>
    </row>
    <row r="52" spans="1:8" x14ac:dyDescent="0.25">
      <c r="A52" s="135">
        <v>50</v>
      </c>
      <c r="B52" s="140">
        <v>130.59</v>
      </c>
      <c r="C52" s="140">
        <v>94680.68</v>
      </c>
      <c r="D52" s="137">
        <v>554289.6</v>
      </c>
      <c r="E52" s="137">
        <v>36885.69</v>
      </c>
      <c r="F52" s="140">
        <v>4625.6400000000003</v>
      </c>
      <c r="G52" s="140">
        <v>-28.5</v>
      </c>
      <c r="H52" s="140">
        <v>12486</v>
      </c>
    </row>
    <row r="53" spans="1:8" x14ac:dyDescent="0.25">
      <c r="A53" s="135">
        <v>51</v>
      </c>
      <c r="B53" s="140">
        <v>130.28</v>
      </c>
      <c r="C53" s="140">
        <v>95779.95</v>
      </c>
      <c r="D53" s="137">
        <v>552386.15</v>
      </c>
      <c r="E53" s="137">
        <v>36631.455000000002</v>
      </c>
      <c r="F53" s="140">
        <v>4615.66</v>
      </c>
      <c r="G53" s="140">
        <v>-27.2</v>
      </c>
      <c r="H53" s="140">
        <v>12725</v>
      </c>
    </row>
    <row r="54" spans="1:8" x14ac:dyDescent="0.25">
      <c r="A54" s="135">
        <v>52</v>
      </c>
      <c r="B54" s="140">
        <v>129.16</v>
      </c>
      <c r="C54" s="140">
        <v>94871.55</v>
      </c>
      <c r="D54" s="137">
        <v>551803.18999999994</v>
      </c>
      <c r="E54" s="137">
        <v>36881.425000000003</v>
      </c>
      <c r="F54" s="140">
        <v>4951.17</v>
      </c>
      <c r="G54" s="140">
        <v>-25.8</v>
      </c>
      <c r="H54" s="140">
        <v>12998</v>
      </c>
    </row>
    <row r="55" spans="1:8" x14ac:dyDescent="0.25">
      <c r="A55" s="135">
        <v>53</v>
      </c>
      <c r="B55" s="140">
        <v>128.94</v>
      </c>
      <c r="C55" s="140">
        <v>95734.9</v>
      </c>
      <c r="D55" s="137">
        <v>556821.30000000005</v>
      </c>
      <c r="E55" s="137">
        <v>36675.324999999997</v>
      </c>
      <c r="F55" s="140">
        <v>4934.33</v>
      </c>
      <c r="G55" s="140">
        <v>-22.1</v>
      </c>
      <c r="H55" s="140">
        <v>12764</v>
      </c>
    </row>
    <row r="56" spans="1:8" x14ac:dyDescent="0.25">
      <c r="A56" s="135">
        <v>54</v>
      </c>
      <c r="B56" s="140">
        <v>129.30000000000001</v>
      </c>
      <c r="C56" s="140">
        <v>95827.11</v>
      </c>
      <c r="D56" s="137">
        <v>557458.36</v>
      </c>
      <c r="E56" s="137">
        <v>37859.599999999999</v>
      </c>
      <c r="F56" s="140">
        <v>5018.21</v>
      </c>
      <c r="G56" s="140">
        <v>-20.9</v>
      </c>
      <c r="H56" s="140">
        <v>12433</v>
      </c>
    </row>
    <row r="57" spans="1:8" x14ac:dyDescent="0.25">
      <c r="A57" s="135">
        <v>55</v>
      </c>
      <c r="B57" s="140">
        <v>131.22</v>
      </c>
      <c r="C57" s="140">
        <v>96289.02</v>
      </c>
      <c r="D57" s="137">
        <v>559287.59</v>
      </c>
      <c r="E57" s="137">
        <v>38639.339999999997</v>
      </c>
      <c r="F57" s="140">
        <v>5337.03</v>
      </c>
      <c r="G57" s="140">
        <v>-18.899999999999999</v>
      </c>
      <c r="H57" s="140">
        <v>12355.99</v>
      </c>
    </row>
    <row r="58" spans="1:8" x14ac:dyDescent="0.25">
      <c r="A58" s="135">
        <v>56</v>
      </c>
      <c r="B58" s="140">
        <v>132.52000000000001</v>
      </c>
      <c r="C58" s="140">
        <v>98548.43</v>
      </c>
      <c r="D58" s="137">
        <v>564587.19999999995</v>
      </c>
      <c r="E58" s="137">
        <v>38118.095000000001</v>
      </c>
      <c r="F58" s="140">
        <v>4828.42</v>
      </c>
      <c r="G58" s="140">
        <v>-19.399999999999999</v>
      </c>
      <c r="H58" s="140">
        <v>12212</v>
      </c>
    </row>
    <row r="59" spans="1:8" x14ac:dyDescent="0.25">
      <c r="A59" s="135">
        <v>57</v>
      </c>
      <c r="B59" s="140">
        <v>134.25</v>
      </c>
      <c r="C59" s="140">
        <v>102016.72</v>
      </c>
      <c r="D59" s="137">
        <v>566745.39</v>
      </c>
      <c r="E59" s="137">
        <v>38031.785000000003</v>
      </c>
      <c r="F59" s="140">
        <v>4839.95</v>
      </c>
      <c r="G59" s="140">
        <v>-18.100000000000001</v>
      </c>
      <c r="H59" s="140">
        <v>12308</v>
      </c>
    </row>
    <row r="60" spans="1:8" x14ac:dyDescent="0.25">
      <c r="A60" s="135">
        <v>58</v>
      </c>
      <c r="B60" s="140">
        <v>136.06</v>
      </c>
      <c r="C60" s="140">
        <v>103575.62</v>
      </c>
      <c r="D60" s="137">
        <v>570205.5</v>
      </c>
      <c r="E60" s="137">
        <v>38303.055</v>
      </c>
      <c r="F60" s="140">
        <v>4872.42</v>
      </c>
      <c r="G60" s="140">
        <v>-17.899999999999999</v>
      </c>
      <c r="H60" s="140">
        <v>12393.99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"/>
  <sheetViews>
    <sheetView zoomScaleNormal="100" workbookViewId="0">
      <selection activeCell="D9" sqref="D9"/>
    </sheetView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145" t="s">
        <v>22</v>
      </c>
      <c r="B3" s="145"/>
    </row>
    <row r="4" spans="1:9" x14ac:dyDescent="0.25">
      <c r="A4" s="142" t="s">
        <v>23</v>
      </c>
      <c r="B4" s="142">
        <v>0.90286673861594935</v>
      </c>
    </row>
    <row r="5" spans="1:9" x14ac:dyDescent="0.25">
      <c r="A5" s="142" t="s">
        <v>24</v>
      </c>
      <c r="B5" s="142">
        <v>0.81516834769900104</v>
      </c>
    </row>
    <row r="6" spans="1:9" x14ac:dyDescent="0.25">
      <c r="A6" s="142" t="s">
        <v>25</v>
      </c>
      <c r="B6" s="142">
        <v>0.80844719670623744</v>
      </c>
    </row>
    <row r="7" spans="1:9" x14ac:dyDescent="0.25">
      <c r="A7" s="142" t="s">
        <v>26</v>
      </c>
      <c r="B7" s="142">
        <v>5.7129540506761236</v>
      </c>
    </row>
    <row r="8" spans="1:9" ht="15.75" thickBot="1" x14ac:dyDescent="0.3">
      <c r="A8" s="143" t="s">
        <v>27</v>
      </c>
      <c r="B8" s="143">
        <v>58</v>
      </c>
    </row>
    <row r="10" spans="1:9" ht="15.75" thickBot="1" x14ac:dyDescent="0.3">
      <c r="A10" t="s">
        <v>28</v>
      </c>
    </row>
    <row r="11" spans="1:9" x14ac:dyDescent="0.25">
      <c r="A11" s="144"/>
      <c r="B11" s="144" t="s">
        <v>33</v>
      </c>
      <c r="C11" s="144" t="s">
        <v>34</v>
      </c>
      <c r="D11" s="144" t="s">
        <v>35</v>
      </c>
      <c r="E11" s="144" t="s">
        <v>36</v>
      </c>
      <c r="F11" s="144" t="s">
        <v>37</v>
      </c>
    </row>
    <row r="12" spans="1:9" x14ac:dyDescent="0.25">
      <c r="A12" s="142" t="s">
        <v>29</v>
      </c>
      <c r="B12" s="142">
        <v>2</v>
      </c>
      <c r="C12" s="142">
        <v>7916.8991687485131</v>
      </c>
      <c r="D12" s="142">
        <v>3958.4495843742566</v>
      </c>
      <c r="E12" s="142">
        <v>121.28404027474775</v>
      </c>
      <c r="F12" s="142">
        <v>6.860401169758654E-21</v>
      </c>
    </row>
    <row r="13" spans="1:9" x14ac:dyDescent="0.25">
      <c r="A13" s="142" t="s">
        <v>30</v>
      </c>
      <c r="B13" s="142">
        <v>55</v>
      </c>
      <c r="C13" s="142">
        <v>1795.08141918252</v>
      </c>
      <c r="D13" s="142">
        <v>32.637843985136726</v>
      </c>
      <c r="E13" s="142"/>
      <c r="F13" s="142"/>
    </row>
    <row r="14" spans="1:9" ht="15.75" thickBot="1" x14ac:dyDescent="0.3">
      <c r="A14" s="143" t="s">
        <v>31</v>
      </c>
      <c r="B14" s="143">
        <v>57</v>
      </c>
      <c r="C14" s="143">
        <v>9711.9805879310334</v>
      </c>
      <c r="D14" s="143"/>
      <c r="E14" s="143"/>
      <c r="F14" s="143"/>
    </row>
    <row r="15" spans="1:9" ht="15.75" thickBot="1" x14ac:dyDescent="0.3"/>
    <row r="16" spans="1:9" x14ac:dyDescent="0.25">
      <c r="A16" s="144"/>
      <c r="B16" s="144" t="s">
        <v>38</v>
      </c>
      <c r="C16" s="144" t="s">
        <v>26</v>
      </c>
      <c r="D16" s="144" t="s">
        <v>39</v>
      </c>
      <c r="E16" s="144" t="s">
        <v>40</v>
      </c>
      <c r="F16" s="144" t="s">
        <v>41</v>
      </c>
      <c r="G16" s="144" t="s">
        <v>42</v>
      </c>
      <c r="H16" s="144" t="s">
        <v>569</v>
      </c>
      <c r="I16" s="144" t="s">
        <v>570</v>
      </c>
    </row>
    <row r="17" spans="1:9" x14ac:dyDescent="0.25">
      <c r="A17" s="142" t="s">
        <v>32</v>
      </c>
      <c r="B17" s="142">
        <v>126.95324448380872</v>
      </c>
      <c r="C17" s="142">
        <v>6.506365602917465</v>
      </c>
      <c r="D17" s="142">
        <v>19.5121596651259</v>
      </c>
      <c r="E17" s="142">
        <v>2.1859449272476794E-26</v>
      </c>
      <c r="F17" s="142">
        <v>113.91419643911004</v>
      </c>
      <c r="G17" s="142">
        <v>139.99229252850739</v>
      </c>
      <c r="H17" s="142">
        <v>113.91419643911004</v>
      </c>
      <c r="I17" s="142">
        <v>139.99229252850739</v>
      </c>
    </row>
    <row r="18" spans="1:9" x14ac:dyDescent="0.25">
      <c r="A18" s="142" t="s">
        <v>699</v>
      </c>
      <c r="B18" s="142">
        <v>-0.95692992426254553</v>
      </c>
      <c r="C18" s="142">
        <v>0.10398247683909215</v>
      </c>
      <c r="D18" s="142">
        <v>-9.2027998692832469</v>
      </c>
      <c r="E18" s="142">
        <v>1.0032928667504089E-12</v>
      </c>
      <c r="F18" s="142">
        <v>-1.1653154645254125</v>
      </c>
      <c r="G18" s="142">
        <v>-0.74854438399967849</v>
      </c>
      <c r="H18" s="142">
        <v>-1.1653154645254125</v>
      </c>
      <c r="I18" s="142">
        <v>-0.74854438399967849</v>
      </c>
    </row>
    <row r="19" spans="1:9" ht="15.75" thickBot="1" x14ac:dyDescent="0.3">
      <c r="A19" s="143" t="s">
        <v>728</v>
      </c>
      <c r="B19" s="143">
        <v>-1.3528888815422661E-3</v>
      </c>
      <c r="C19" s="143">
        <v>3.7036163435912376E-4</v>
      </c>
      <c r="D19" s="143">
        <v>-3.6528861416310412</v>
      </c>
      <c r="E19" s="143">
        <v>5.7951671044310742E-4</v>
      </c>
      <c r="F19" s="143">
        <v>-2.0951101828101098E-3</v>
      </c>
      <c r="G19" s="143">
        <v>-6.1066758027442211E-4</v>
      </c>
      <c r="H19" s="143">
        <v>-2.0951101828101098E-3</v>
      </c>
      <c r="I19" s="143">
        <v>-6.1066758027442211E-4</v>
      </c>
    </row>
    <row r="23" spans="1:9" x14ac:dyDescent="0.25">
      <c r="A23" t="s">
        <v>57</v>
      </c>
      <c r="F23" t="s">
        <v>61</v>
      </c>
    </row>
    <row r="24" spans="1:9" ht="15.75" thickBot="1" x14ac:dyDescent="0.3"/>
    <row r="25" spans="1:9" x14ac:dyDescent="0.25">
      <c r="A25" s="144" t="s">
        <v>58</v>
      </c>
      <c r="B25" s="144" t="s">
        <v>651</v>
      </c>
      <c r="C25" s="144" t="s">
        <v>59</v>
      </c>
      <c r="D25" s="144" t="s">
        <v>60</v>
      </c>
      <c r="F25" s="144" t="s">
        <v>62</v>
      </c>
      <c r="G25" s="144" t="s">
        <v>48</v>
      </c>
    </row>
    <row r="26" spans="1:9" x14ac:dyDescent="0.25">
      <c r="A26" s="142">
        <v>1</v>
      </c>
      <c r="B26" s="142">
        <v>102.41402759769284</v>
      </c>
      <c r="C26" s="142">
        <v>-9.4027597692843301E-2</v>
      </c>
      <c r="D26" s="142">
        <v>-1.6755241525071615E-2</v>
      </c>
      <c r="F26" s="142">
        <v>0.86206896551724133</v>
      </c>
      <c r="G26" s="142">
        <v>102.06</v>
      </c>
    </row>
    <row r="27" spans="1:9" x14ac:dyDescent="0.25">
      <c r="A27" s="142">
        <v>2</v>
      </c>
      <c r="B27" s="142">
        <v>101.39486478487933</v>
      </c>
      <c r="C27" s="142">
        <v>0.81513521512066234</v>
      </c>
      <c r="D27" s="142">
        <v>0.14525296551288408</v>
      </c>
      <c r="F27" s="142">
        <v>2.5862068965517242</v>
      </c>
      <c r="G27" s="142">
        <v>102.16</v>
      </c>
    </row>
    <row r="28" spans="1:9" x14ac:dyDescent="0.25">
      <c r="A28" s="142">
        <v>3</v>
      </c>
      <c r="B28" s="142">
        <v>103.96984981146645</v>
      </c>
      <c r="C28" s="142">
        <v>-1.8098498114664494</v>
      </c>
      <c r="D28" s="142">
        <v>-0.32250606693457795</v>
      </c>
      <c r="F28" s="142">
        <v>4.3103448275862064</v>
      </c>
      <c r="G28" s="142">
        <v>102.21</v>
      </c>
    </row>
    <row r="29" spans="1:9" x14ac:dyDescent="0.25">
      <c r="A29" s="142">
        <v>4</v>
      </c>
      <c r="B29" s="142">
        <v>103.40796344061422</v>
      </c>
      <c r="C29" s="142">
        <v>-1.3479634406142225</v>
      </c>
      <c r="D29" s="142">
        <v>-0.24020025576147278</v>
      </c>
      <c r="F29" s="142">
        <v>6.0344827586206895</v>
      </c>
      <c r="G29" s="142">
        <v>102.32</v>
      </c>
    </row>
    <row r="30" spans="1:9" x14ac:dyDescent="0.25">
      <c r="A30" s="142">
        <v>5</v>
      </c>
      <c r="B30" s="142">
        <v>105.72768995360201</v>
      </c>
      <c r="C30" s="142">
        <v>-3.1776899536020125</v>
      </c>
      <c r="D30" s="142">
        <v>-0.56624825020333158</v>
      </c>
      <c r="F30" s="142">
        <v>7.7586206896551717</v>
      </c>
      <c r="G30" s="142">
        <v>102.55</v>
      </c>
    </row>
    <row r="31" spans="1:9" x14ac:dyDescent="0.25">
      <c r="A31" s="142">
        <v>6</v>
      </c>
      <c r="B31" s="142">
        <v>106.50110490883202</v>
      </c>
      <c r="C31" s="142">
        <v>-2.1511049088320249</v>
      </c>
      <c r="D31" s="142">
        <v>-0.38331599634168911</v>
      </c>
      <c r="F31" s="142">
        <v>9.4827586206896548</v>
      </c>
      <c r="G31" s="142">
        <v>104.35</v>
      </c>
    </row>
    <row r="32" spans="1:9" x14ac:dyDescent="0.25">
      <c r="A32" s="142">
        <v>7</v>
      </c>
      <c r="B32" s="142">
        <v>108.17371305143043</v>
      </c>
      <c r="C32" s="142">
        <v>-0.6037130514304323</v>
      </c>
      <c r="D32" s="142">
        <v>-0.10757860709786891</v>
      </c>
      <c r="F32" s="142">
        <v>11.206896551724139</v>
      </c>
      <c r="G32" s="142">
        <v>106.49</v>
      </c>
    </row>
    <row r="33" spans="1:7" x14ac:dyDescent="0.25">
      <c r="A33" s="142">
        <v>8</v>
      </c>
      <c r="B33" s="142">
        <v>108.99400119865719</v>
      </c>
      <c r="C33" s="142">
        <v>2.9659988013428062</v>
      </c>
      <c r="D33" s="142">
        <v>0.52852595938813529</v>
      </c>
      <c r="F33" s="142">
        <v>12.931034482758621</v>
      </c>
      <c r="G33" s="142">
        <v>106.57</v>
      </c>
    </row>
    <row r="34" spans="1:7" x14ac:dyDescent="0.25">
      <c r="A34" s="142">
        <v>9</v>
      </c>
      <c r="B34" s="142">
        <v>109.59918001371875</v>
      </c>
      <c r="C34" s="142">
        <v>5.670819986281245</v>
      </c>
      <c r="D34" s="142">
        <v>1.0105113907698771</v>
      </c>
      <c r="F34" s="142">
        <v>14.655172413793103</v>
      </c>
      <c r="G34" s="142">
        <v>106.61</v>
      </c>
    </row>
    <row r="35" spans="1:7" x14ac:dyDescent="0.25">
      <c r="A35" s="142">
        <v>10</v>
      </c>
      <c r="B35" s="142">
        <v>109.61000312477108</v>
      </c>
      <c r="C35" s="142">
        <v>7.5599968752289186</v>
      </c>
      <c r="D35" s="142">
        <v>1.3471531410069026</v>
      </c>
      <c r="F35" s="142">
        <v>16.379310344827584</v>
      </c>
      <c r="G35" s="142">
        <v>107.03</v>
      </c>
    </row>
    <row r="36" spans="1:7" x14ac:dyDescent="0.25">
      <c r="A36" s="142">
        <v>11</v>
      </c>
      <c r="B36" s="142">
        <v>110.83977911809299</v>
      </c>
      <c r="C36" s="142">
        <v>6.770220881907008</v>
      </c>
      <c r="D36" s="142">
        <v>1.206419060337955</v>
      </c>
      <c r="F36" s="142">
        <v>18.103448275862068</v>
      </c>
      <c r="G36" s="142">
        <v>107.04</v>
      </c>
    </row>
    <row r="37" spans="1:7" x14ac:dyDescent="0.25">
      <c r="A37" s="142">
        <v>12</v>
      </c>
      <c r="B37" s="142">
        <v>110.33336119138403</v>
      </c>
      <c r="C37" s="142">
        <v>6.9266388086159765</v>
      </c>
      <c r="D37" s="142">
        <v>1.2342919423977632</v>
      </c>
      <c r="F37" s="142">
        <v>19.827586206896552</v>
      </c>
      <c r="G37" s="142">
        <v>107.47</v>
      </c>
    </row>
    <row r="38" spans="1:7" x14ac:dyDescent="0.25">
      <c r="A38" s="142">
        <v>13</v>
      </c>
      <c r="B38" s="142">
        <v>111.49413985174729</v>
      </c>
      <c r="C38" s="142">
        <v>4.3858601482527035</v>
      </c>
      <c r="D38" s="142">
        <v>0.78153805778613106</v>
      </c>
      <c r="F38" s="142">
        <v>21.551724137931036</v>
      </c>
      <c r="G38" s="142">
        <v>107.57</v>
      </c>
    </row>
    <row r="39" spans="1:7" x14ac:dyDescent="0.25">
      <c r="A39" s="142">
        <v>14</v>
      </c>
      <c r="B39" s="142">
        <v>110.89707836997501</v>
      </c>
      <c r="C39" s="142">
        <v>2.4529216300249885</v>
      </c>
      <c r="D39" s="142">
        <v>0.43709820692642481</v>
      </c>
      <c r="F39" s="142">
        <v>23.275862068965516</v>
      </c>
      <c r="G39" s="142">
        <v>107.8</v>
      </c>
    </row>
    <row r="40" spans="1:7" x14ac:dyDescent="0.25">
      <c r="A40" s="142">
        <v>15</v>
      </c>
      <c r="B40" s="142">
        <v>111.01028355101239</v>
      </c>
      <c r="C40" s="142">
        <v>0.37971644898760815</v>
      </c>
      <c r="D40" s="142">
        <v>6.7663547404595209E-2</v>
      </c>
      <c r="F40" s="142">
        <v>25</v>
      </c>
      <c r="G40" s="142">
        <v>108.19</v>
      </c>
    </row>
    <row r="41" spans="1:7" x14ac:dyDescent="0.25">
      <c r="A41" s="142">
        <v>16</v>
      </c>
      <c r="B41" s="142">
        <v>112.66800991591383</v>
      </c>
      <c r="C41" s="142">
        <v>-2.9080099159138229</v>
      </c>
      <c r="D41" s="142">
        <v>-0.51819263380104252</v>
      </c>
      <c r="F41" s="142">
        <v>26.72413793103448</v>
      </c>
      <c r="G41" s="142">
        <v>108.36</v>
      </c>
    </row>
    <row r="42" spans="1:7" x14ac:dyDescent="0.25">
      <c r="A42" s="142">
        <v>17</v>
      </c>
      <c r="B42" s="142">
        <v>114.28017554385498</v>
      </c>
      <c r="C42" s="142">
        <v>-4.7801755438549804</v>
      </c>
      <c r="D42" s="142">
        <v>-0.85180306351298885</v>
      </c>
      <c r="F42" s="142">
        <v>28.448275862068964</v>
      </c>
      <c r="G42" s="142">
        <v>108.49</v>
      </c>
    </row>
    <row r="43" spans="1:7" x14ac:dyDescent="0.25">
      <c r="A43" s="142">
        <v>18</v>
      </c>
      <c r="B43" s="142">
        <v>112.99135035860243</v>
      </c>
      <c r="C43" s="142">
        <v>-4.1313503586024325</v>
      </c>
      <c r="D43" s="142">
        <v>-0.73618570272527184</v>
      </c>
      <c r="F43" s="142">
        <v>30.172413793103448</v>
      </c>
      <c r="G43" s="142">
        <v>108.86</v>
      </c>
    </row>
    <row r="44" spans="1:7" x14ac:dyDescent="0.25">
      <c r="A44" s="142">
        <v>19</v>
      </c>
      <c r="B44" s="142">
        <v>114.49620027988959</v>
      </c>
      <c r="C44" s="142">
        <v>-6.0062002798895975</v>
      </c>
      <c r="D44" s="142">
        <v>-1.0702744599117051</v>
      </c>
      <c r="F44" s="142">
        <v>31.896551724137929</v>
      </c>
      <c r="G44" s="142">
        <v>109.5</v>
      </c>
    </row>
    <row r="45" spans="1:7" x14ac:dyDescent="0.25">
      <c r="A45" s="142">
        <v>20</v>
      </c>
      <c r="B45" s="142">
        <v>116.276124129142</v>
      </c>
      <c r="C45" s="142">
        <v>-7.9161241291420055</v>
      </c>
      <c r="D45" s="142">
        <v>-1.4106132133621112</v>
      </c>
      <c r="F45" s="142">
        <v>33.620689655172406</v>
      </c>
      <c r="G45" s="142">
        <v>109.76</v>
      </c>
    </row>
    <row r="46" spans="1:7" x14ac:dyDescent="0.25">
      <c r="A46" s="142">
        <v>21</v>
      </c>
      <c r="B46" s="142">
        <v>114.96923346957217</v>
      </c>
      <c r="C46" s="142">
        <v>-6.7792334695721763</v>
      </c>
      <c r="D46" s="142">
        <v>-1.2080250577982865</v>
      </c>
      <c r="F46" s="142">
        <v>35.34482758620689</v>
      </c>
      <c r="G46" s="142">
        <v>111.35</v>
      </c>
    </row>
    <row r="47" spans="1:7" x14ac:dyDescent="0.25">
      <c r="A47" s="142">
        <v>22</v>
      </c>
      <c r="B47" s="142">
        <v>117.65694575833943</v>
      </c>
      <c r="C47" s="142">
        <v>-9.8569457583394353</v>
      </c>
      <c r="D47" s="142">
        <v>-1.7564577946574282</v>
      </c>
      <c r="F47" s="142">
        <v>37.068965517241374</v>
      </c>
      <c r="G47" s="142">
        <v>111.39</v>
      </c>
    </row>
    <row r="48" spans="1:7" x14ac:dyDescent="0.25">
      <c r="A48" s="142">
        <v>23</v>
      </c>
      <c r="B48" s="142">
        <v>116.52549316835794</v>
      </c>
      <c r="C48" s="142">
        <v>-9.0554931683579412</v>
      </c>
      <c r="D48" s="142">
        <v>-1.6136430036223468</v>
      </c>
      <c r="F48" s="142">
        <v>38.793103448275858</v>
      </c>
      <c r="G48" s="142">
        <v>111.96</v>
      </c>
    </row>
    <row r="49" spans="1:7" x14ac:dyDescent="0.25">
      <c r="A49" s="142">
        <v>24</v>
      </c>
      <c r="B49" s="142">
        <v>96.998178089092235</v>
      </c>
      <c r="C49" s="142">
        <v>10.031821910907766</v>
      </c>
      <c r="D49" s="142">
        <v>1.7876198390481537</v>
      </c>
      <c r="F49" s="142">
        <v>40.517241379310342</v>
      </c>
      <c r="G49" s="142">
        <v>113.35</v>
      </c>
    </row>
    <row r="50" spans="1:7" x14ac:dyDescent="0.25">
      <c r="A50" s="142">
        <v>25</v>
      </c>
      <c r="B50" s="142">
        <v>118.54308797574961</v>
      </c>
      <c r="C50" s="142">
        <v>-11.933087975749615</v>
      </c>
      <c r="D50" s="142">
        <v>-2.1264158191806155</v>
      </c>
      <c r="F50" s="142">
        <v>42.241379310344826</v>
      </c>
      <c r="G50" s="142">
        <v>115.27</v>
      </c>
    </row>
    <row r="51" spans="1:7" x14ac:dyDescent="0.25">
      <c r="A51" s="142">
        <v>26</v>
      </c>
      <c r="B51" s="142">
        <v>115.87793731295639</v>
      </c>
      <c r="C51" s="142">
        <v>-9.3079373129563976</v>
      </c>
      <c r="D51" s="142">
        <v>-1.6586272712004089</v>
      </c>
      <c r="F51" s="142">
        <v>43.965517241379303</v>
      </c>
      <c r="G51" s="142">
        <v>115.88</v>
      </c>
    </row>
    <row r="52" spans="1:7" x14ac:dyDescent="0.25">
      <c r="A52" s="142">
        <v>27</v>
      </c>
      <c r="B52" s="142">
        <v>115.44728116361381</v>
      </c>
      <c r="C52" s="142">
        <v>-8.9572811636138141</v>
      </c>
      <c r="D52" s="142">
        <v>-1.5961421219607219</v>
      </c>
      <c r="F52" s="142">
        <v>45.689655172413786</v>
      </c>
      <c r="G52" s="142">
        <v>117.17</v>
      </c>
    </row>
    <row r="53" spans="1:7" x14ac:dyDescent="0.25">
      <c r="A53" s="142">
        <v>28</v>
      </c>
      <c r="B53" s="142">
        <v>114.64458057184709</v>
      </c>
      <c r="C53" s="142">
        <v>-7.6045805718470803</v>
      </c>
      <c r="D53" s="142">
        <v>-1.3550977298642937</v>
      </c>
      <c r="F53" s="142">
        <v>47.41379310344827</v>
      </c>
      <c r="G53" s="142">
        <v>117.26</v>
      </c>
    </row>
    <row r="54" spans="1:7" x14ac:dyDescent="0.25">
      <c r="A54" s="142">
        <v>29</v>
      </c>
      <c r="B54" s="142">
        <v>114.23465524073977</v>
      </c>
      <c r="C54" s="142">
        <v>-2.8846552407397752</v>
      </c>
      <c r="D54" s="142">
        <v>-0.51403094900974278</v>
      </c>
      <c r="F54" s="142">
        <v>49.137931034482754</v>
      </c>
      <c r="G54" s="142">
        <v>117.54</v>
      </c>
    </row>
    <row r="55" spans="1:7" x14ac:dyDescent="0.25">
      <c r="A55" s="142">
        <v>30</v>
      </c>
      <c r="B55" s="142">
        <v>115.83285449485335</v>
      </c>
      <c r="C55" s="142">
        <v>1.7071455051466558</v>
      </c>
      <c r="D55" s="142">
        <v>0.30420467989207928</v>
      </c>
      <c r="F55" s="142">
        <v>50.862068965517238</v>
      </c>
      <c r="G55" s="142">
        <v>117.61</v>
      </c>
    </row>
    <row r="56" spans="1:7" x14ac:dyDescent="0.25">
      <c r="A56" s="142">
        <v>31</v>
      </c>
      <c r="B56" s="142">
        <v>115.69621271781757</v>
      </c>
      <c r="C56" s="142">
        <v>6.8837872821824249</v>
      </c>
      <c r="D56" s="142">
        <v>1.2266560174913588</v>
      </c>
      <c r="F56" s="142">
        <v>52.586206896551715</v>
      </c>
      <c r="G56" s="142">
        <v>122.58</v>
      </c>
    </row>
    <row r="57" spans="1:7" x14ac:dyDescent="0.25">
      <c r="A57" s="142">
        <v>32</v>
      </c>
      <c r="B57" s="142">
        <v>120.68514856024319</v>
      </c>
      <c r="C57" s="142">
        <v>7.4748514397568044</v>
      </c>
      <c r="D57" s="142">
        <v>1.3319806557887541</v>
      </c>
      <c r="F57" s="142">
        <v>54.310344827586199</v>
      </c>
      <c r="G57" s="142">
        <v>128.16</v>
      </c>
    </row>
    <row r="58" spans="1:7" x14ac:dyDescent="0.25">
      <c r="A58" s="142">
        <v>33</v>
      </c>
      <c r="B58" s="142">
        <v>123.76834188743297</v>
      </c>
      <c r="C58" s="142">
        <v>9.0916581125670461</v>
      </c>
      <c r="D58" s="142">
        <v>1.6200874134534236</v>
      </c>
      <c r="F58" s="142">
        <v>56.034482758620683</v>
      </c>
      <c r="G58" s="142">
        <v>128.94</v>
      </c>
    </row>
    <row r="59" spans="1:7" x14ac:dyDescent="0.25">
      <c r="A59" s="142">
        <v>34</v>
      </c>
      <c r="B59" s="142">
        <v>126.95300188073841</v>
      </c>
      <c r="C59" s="142">
        <v>7.9669981192615751</v>
      </c>
      <c r="D59" s="142">
        <v>1.4196787006521514</v>
      </c>
      <c r="F59" s="142">
        <v>57.758620689655167</v>
      </c>
      <c r="G59" s="142">
        <v>129.16</v>
      </c>
    </row>
    <row r="60" spans="1:7" x14ac:dyDescent="0.25">
      <c r="A60" s="142">
        <v>35</v>
      </c>
      <c r="B60" s="142">
        <v>130.92429874985243</v>
      </c>
      <c r="C60" s="142">
        <v>4.7757012501475629</v>
      </c>
      <c r="D60" s="142">
        <v>0.85100576704300157</v>
      </c>
      <c r="F60" s="142">
        <v>59.482758620689651</v>
      </c>
      <c r="G60" s="142">
        <v>129.30000000000001</v>
      </c>
    </row>
    <row r="61" spans="1:7" x14ac:dyDescent="0.25">
      <c r="A61" s="142">
        <v>36</v>
      </c>
      <c r="B61" s="142">
        <v>134.97362568908375</v>
      </c>
      <c r="C61" s="142">
        <v>1.1663743109162397</v>
      </c>
      <c r="D61" s="142">
        <v>0.20784199285704003</v>
      </c>
      <c r="F61" s="142">
        <v>61.206896551724128</v>
      </c>
      <c r="G61" s="142">
        <v>130.28</v>
      </c>
    </row>
    <row r="62" spans="1:7" x14ac:dyDescent="0.25">
      <c r="A62" s="142">
        <v>37</v>
      </c>
      <c r="B62" s="142">
        <v>140.34352291039812</v>
      </c>
      <c r="C62" s="142">
        <v>-0.19352291039811576</v>
      </c>
      <c r="D62" s="142">
        <v>-3.4484802163588832E-2</v>
      </c>
      <c r="F62" s="142">
        <v>62.931034482758612</v>
      </c>
      <c r="G62" s="142">
        <v>130.59</v>
      </c>
    </row>
    <row r="63" spans="1:7" x14ac:dyDescent="0.25">
      <c r="A63" s="142">
        <v>38</v>
      </c>
      <c r="B63" s="142">
        <v>134.36907552657723</v>
      </c>
      <c r="C63" s="142">
        <v>5.7209244734227696</v>
      </c>
      <c r="D63" s="142">
        <v>1.019439756527859</v>
      </c>
      <c r="F63" s="142">
        <v>64.655172413793096</v>
      </c>
      <c r="G63" s="142">
        <v>131.22</v>
      </c>
    </row>
    <row r="64" spans="1:7" x14ac:dyDescent="0.25">
      <c r="A64" s="142">
        <v>39</v>
      </c>
      <c r="B64" s="142">
        <v>133.2999514089181</v>
      </c>
      <c r="C64" s="142">
        <v>5.8000485910818895</v>
      </c>
      <c r="D64" s="142">
        <v>1.0335392734182884</v>
      </c>
      <c r="F64" s="142">
        <v>66.379310344827573</v>
      </c>
      <c r="G64" s="142">
        <v>132.01</v>
      </c>
    </row>
    <row r="65" spans="1:7" x14ac:dyDescent="0.25">
      <c r="A65" s="142">
        <v>40</v>
      </c>
      <c r="B65" s="142">
        <v>132.64534435779456</v>
      </c>
      <c r="C65" s="142">
        <v>4.8546556422054437</v>
      </c>
      <c r="D65" s="142">
        <v>0.86507503969119215</v>
      </c>
      <c r="F65" s="142">
        <v>68.103448275862064</v>
      </c>
      <c r="G65" s="142">
        <v>132.52000000000001</v>
      </c>
    </row>
    <row r="66" spans="1:7" x14ac:dyDescent="0.25">
      <c r="A66" s="142">
        <v>41</v>
      </c>
      <c r="B66" s="142">
        <v>131.97684629969231</v>
      </c>
      <c r="C66" s="142">
        <v>4.1431537003076926</v>
      </c>
      <c r="D66" s="142">
        <v>0.73828899841640094</v>
      </c>
      <c r="F66" s="142">
        <v>69.827586206896541</v>
      </c>
      <c r="G66" s="142">
        <v>132.86000000000001</v>
      </c>
    </row>
    <row r="67" spans="1:7" x14ac:dyDescent="0.25">
      <c r="A67" s="142">
        <v>42</v>
      </c>
      <c r="B67" s="142">
        <v>131.94788234747381</v>
      </c>
      <c r="C67" s="142">
        <v>3.272117652526191</v>
      </c>
      <c r="D67" s="142">
        <v>0.58307478774074417</v>
      </c>
      <c r="F67" s="142">
        <v>71.551724137931032</v>
      </c>
      <c r="G67" s="142">
        <v>133.72999999999999</v>
      </c>
    </row>
    <row r="68" spans="1:7" x14ac:dyDescent="0.25">
      <c r="A68" s="142">
        <v>43</v>
      </c>
      <c r="B68" s="142">
        <v>133.33414927800874</v>
      </c>
      <c r="C68" s="142">
        <v>1.3958507219912519</v>
      </c>
      <c r="D68" s="142">
        <v>0.24873352668552895</v>
      </c>
      <c r="F68" s="142">
        <v>73.275862068965509</v>
      </c>
      <c r="G68" s="142">
        <v>134.25</v>
      </c>
    </row>
    <row r="69" spans="1:7" x14ac:dyDescent="0.25">
      <c r="A69" s="142">
        <v>44</v>
      </c>
      <c r="B69" s="142">
        <v>133.70753308042558</v>
      </c>
      <c r="C69" s="142">
        <v>0.6824669195744093</v>
      </c>
      <c r="D69" s="142">
        <v>0.12161214740054127</v>
      </c>
      <c r="F69" s="142">
        <v>74.999999999999986</v>
      </c>
      <c r="G69" s="142">
        <v>134.27000000000001</v>
      </c>
    </row>
    <row r="70" spans="1:7" x14ac:dyDescent="0.25">
      <c r="A70" s="142">
        <v>45</v>
      </c>
      <c r="B70" s="142">
        <v>134.60150587981067</v>
      </c>
      <c r="C70" s="142">
        <v>-9.15058798106827E-2</v>
      </c>
      <c r="D70" s="142">
        <v>-1.6305884174565691E-2</v>
      </c>
      <c r="F70" s="142">
        <v>76.724137931034477</v>
      </c>
      <c r="G70" s="142">
        <v>134.38999999999999</v>
      </c>
    </row>
    <row r="71" spans="1:7" x14ac:dyDescent="0.25">
      <c r="A71" s="142">
        <v>46</v>
      </c>
      <c r="B71" s="142">
        <v>135.24014479874756</v>
      </c>
      <c r="C71" s="142">
        <v>-0.78014479874755693</v>
      </c>
      <c r="D71" s="142">
        <v>-0.13901785059152494</v>
      </c>
      <c r="F71" s="142">
        <v>78.448275862068954</v>
      </c>
      <c r="G71" s="142">
        <v>134.46</v>
      </c>
    </row>
    <row r="72" spans="1:7" x14ac:dyDescent="0.25">
      <c r="A72" s="142">
        <v>47</v>
      </c>
      <c r="B72" s="142">
        <v>135.95210625167954</v>
      </c>
      <c r="C72" s="142">
        <v>-1.682106251679528</v>
      </c>
      <c r="D72" s="142">
        <v>-0.29974281178374257</v>
      </c>
      <c r="F72" s="142">
        <v>80.172413793103445</v>
      </c>
      <c r="G72" s="142">
        <v>134.51</v>
      </c>
    </row>
    <row r="73" spans="1:7" x14ac:dyDescent="0.25">
      <c r="A73" s="142">
        <v>48</v>
      </c>
      <c r="B73" s="142">
        <v>137.50285881116767</v>
      </c>
      <c r="C73" s="142">
        <v>-3.77285881116768</v>
      </c>
      <c r="D73" s="142">
        <v>-0.67230432524301875</v>
      </c>
      <c r="F73" s="142">
        <v>81.896551724137922</v>
      </c>
      <c r="G73" s="142">
        <v>134.72999999999999</v>
      </c>
    </row>
    <row r="74" spans="1:7" x14ac:dyDescent="0.25">
      <c r="A74" s="142">
        <v>49</v>
      </c>
      <c r="B74" s="142">
        <v>139.02051338494377</v>
      </c>
      <c r="C74" s="142">
        <v>-7.0105133849437777</v>
      </c>
      <c r="D74" s="142">
        <v>-1.2492379669551079</v>
      </c>
      <c r="F74" s="142">
        <v>83.620689655172413</v>
      </c>
      <c r="G74" s="142">
        <v>134.91999999999999</v>
      </c>
    </row>
    <row r="75" spans="1:7" x14ac:dyDescent="0.25">
      <c r="A75" s="142">
        <v>50</v>
      </c>
      <c r="B75" s="142">
        <v>137.33357675035452</v>
      </c>
      <c r="C75" s="142">
        <v>-6.7435767503545208</v>
      </c>
      <c r="D75" s="142">
        <v>-1.2016712110858021</v>
      </c>
      <c r="F75" s="142">
        <v>85.34482758620689</v>
      </c>
      <c r="G75" s="142">
        <v>135.22</v>
      </c>
    </row>
    <row r="76" spans="1:7" x14ac:dyDescent="0.25">
      <c r="A76" s="142">
        <v>51</v>
      </c>
      <c r="B76" s="142">
        <v>135.76622740612461</v>
      </c>
      <c r="C76" s="142">
        <v>-5.4862274061246126</v>
      </c>
      <c r="D76" s="142">
        <v>-0.97761792821047011</v>
      </c>
      <c r="F76" s="142">
        <v>87.068965517241367</v>
      </c>
      <c r="G76" s="142">
        <v>135.69999999999999</v>
      </c>
    </row>
    <row r="77" spans="1:7" x14ac:dyDescent="0.25">
      <c r="A77" s="142">
        <v>52</v>
      </c>
      <c r="B77" s="142">
        <v>134.05718684749601</v>
      </c>
      <c r="C77" s="142">
        <v>-4.8971868474960161</v>
      </c>
      <c r="D77" s="142">
        <v>-0.87265388499280072</v>
      </c>
      <c r="F77" s="142">
        <v>88.793103448275858</v>
      </c>
      <c r="G77" s="142">
        <v>136.06</v>
      </c>
    </row>
    <row r="78" spans="1:7" x14ac:dyDescent="0.25">
      <c r="A78" s="142">
        <v>53</v>
      </c>
      <c r="B78" s="142">
        <v>130.83312212600549</v>
      </c>
      <c r="C78" s="142">
        <v>-1.893122126005494</v>
      </c>
      <c r="D78" s="142">
        <v>-0.33734477149248054</v>
      </c>
      <c r="F78" s="142">
        <v>90.517241379310335</v>
      </c>
      <c r="G78" s="142">
        <v>136.12</v>
      </c>
    </row>
    <row r="79" spans="1:7" x14ac:dyDescent="0.25">
      <c r="A79" s="142">
        <v>54</v>
      </c>
      <c r="B79" s="142">
        <v>130.13261243668092</v>
      </c>
      <c r="C79" s="142">
        <v>-0.83261243668090401</v>
      </c>
      <c r="D79" s="142">
        <v>-0.14836731784788293</v>
      </c>
      <c r="F79" s="142">
        <v>92.241379310344826</v>
      </c>
      <c r="G79" s="142">
        <v>136.13999999999999</v>
      </c>
    </row>
    <row r="80" spans="1:7" x14ac:dyDescent="0.25">
      <c r="A80" s="142">
        <v>55</v>
      </c>
      <c r="B80" s="142">
        <v>128.3229385609234</v>
      </c>
      <c r="C80" s="142">
        <v>2.8970614390765945</v>
      </c>
      <c r="D80" s="142">
        <v>0.51624167069828775</v>
      </c>
      <c r="F80" s="142">
        <v>93.965517241379303</v>
      </c>
      <c r="G80" s="142">
        <v>137.5</v>
      </c>
    </row>
    <row r="81" spans="1:7" x14ac:dyDescent="0.25">
      <c r="A81" s="142">
        <v>56</v>
      </c>
      <c r="B81" s="142">
        <v>128.99620599310794</v>
      </c>
      <c r="C81" s="142">
        <v>3.523794006892075</v>
      </c>
      <c r="D81" s="142">
        <v>0.62792223898931365</v>
      </c>
      <c r="F81" s="142">
        <v>95.689655172413779</v>
      </c>
      <c r="G81" s="142">
        <v>139.1</v>
      </c>
    </row>
    <row r="82" spans="1:7" x14ac:dyDescent="0.25">
      <c r="A82" s="142">
        <v>57</v>
      </c>
      <c r="B82" s="142">
        <v>127.62231975893859</v>
      </c>
      <c r="C82" s="142">
        <v>6.6276802410614124</v>
      </c>
      <c r="D82" s="142">
        <v>1.1810190403107685</v>
      </c>
      <c r="F82" s="142">
        <v>97.41379310344827</v>
      </c>
      <c r="G82" s="142">
        <v>140.09</v>
      </c>
    </row>
    <row r="83" spans="1:7" ht="15.75" thickBot="1" x14ac:dyDescent="0.3">
      <c r="A83" s="143">
        <v>58</v>
      </c>
      <c r="B83" s="143">
        <v>127.31459885916223</v>
      </c>
      <c r="C83" s="143">
        <v>8.745401140837771</v>
      </c>
      <c r="D83" s="143">
        <v>1.5583861753763237</v>
      </c>
      <c r="F83" s="143">
        <v>99.137931034482747</v>
      </c>
      <c r="G83" s="143">
        <v>140.15</v>
      </c>
    </row>
  </sheetData>
  <sortState ref="G26:G83">
    <sortCondition ref="G26"/>
  </sortState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"/>
  <sheetViews>
    <sheetView zoomScaleNormal="100" workbookViewId="0">
      <selection activeCell="C9" sqref="C9"/>
    </sheetView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145" t="s">
        <v>22</v>
      </c>
      <c r="B3" s="145"/>
    </row>
    <row r="4" spans="1:9" x14ac:dyDescent="0.25">
      <c r="A4" s="142" t="s">
        <v>23</v>
      </c>
      <c r="B4" s="142">
        <v>0.98801162861510738</v>
      </c>
    </row>
    <row r="5" spans="1:9" x14ac:dyDescent="0.25">
      <c r="A5" s="142" t="s">
        <v>24</v>
      </c>
      <c r="B5" s="142">
        <v>0.97616697827867693</v>
      </c>
    </row>
    <row r="6" spans="1:9" x14ac:dyDescent="0.25">
      <c r="A6" s="142" t="s">
        <v>25</v>
      </c>
      <c r="B6" s="142">
        <v>0.97573365061101658</v>
      </c>
    </row>
    <row r="7" spans="1:9" x14ac:dyDescent="0.25">
      <c r="A7" s="142" t="s">
        <v>26</v>
      </c>
      <c r="B7" s="142">
        <v>2.01394906181411</v>
      </c>
    </row>
    <row r="8" spans="1:9" ht="15.75" thickBot="1" x14ac:dyDescent="0.3">
      <c r="A8" s="143" t="s">
        <v>27</v>
      </c>
      <c r="B8" s="143">
        <v>57</v>
      </c>
    </row>
    <row r="10" spans="1:9" ht="15.75" thickBot="1" x14ac:dyDescent="0.3">
      <c r="A10" t="s">
        <v>28</v>
      </c>
    </row>
    <row r="11" spans="1:9" x14ac:dyDescent="0.25">
      <c r="A11" s="144"/>
      <c r="B11" s="144" t="s">
        <v>33</v>
      </c>
      <c r="C11" s="144" t="s">
        <v>34</v>
      </c>
      <c r="D11" s="144" t="s">
        <v>35</v>
      </c>
      <c r="E11" s="144" t="s">
        <v>36</v>
      </c>
      <c r="F11" s="144" t="s">
        <v>37</v>
      </c>
    </row>
    <row r="12" spans="1:9" x14ac:dyDescent="0.25">
      <c r="A12" s="142" t="s">
        <v>29</v>
      </c>
      <c r="B12" s="142">
        <v>1</v>
      </c>
      <c r="C12" s="142">
        <v>9137.0217082117651</v>
      </c>
      <c r="D12" s="142">
        <v>9137.0217082117651</v>
      </c>
      <c r="E12" s="142">
        <v>2252.7224803094255</v>
      </c>
      <c r="F12" s="142">
        <v>2.5542438964826493E-46</v>
      </c>
    </row>
    <row r="13" spans="1:9" x14ac:dyDescent="0.25">
      <c r="A13" s="142" t="s">
        <v>30</v>
      </c>
      <c r="B13" s="142">
        <v>55</v>
      </c>
      <c r="C13" s="142">
        <v>223.07949529700639</v>
      </c>
      <c r="D13" s="142">
        <v>4.0559908235819346</v>
      </c>
      <c r="E13" s="142"/>
      <c r="F13" s="142"/>
    </row>
    <row r="14" spans="1:9" ht="15.75" thickBot="1" x14ac:dyDescent="0.3">
      <c r="A14" s="143" t="s">
        <v>31</v>
      </c>
      <c r="B14" s="143">
        <v>56</v>
      </c>
      <c r="C14" s="143">
        <v>9360.1012035087715</v>
      </c>
      <c r="D14" s="143"/>
      <c r="E14" s="143"/>
      <c r="F14" s="143"/>
    </row>
    <row r="15" spans="1:9" ht="15.75" thickBot="1" x14ac:dyDescent="0.3"/>
    <row r="16" spans="1:9" x14ac:dyDescent="0.25">
      <c r="A16" s="144"/>
      <c r="B16" s="144" t="s">
        <v>38</v>
      </c>
      <c r="C16" s="144" t="s">
        <v>26</v>
      </c>
      <c r="D16" s="144" t="s">
        <v>39</v>
      </c>
      <c r="E16" s="144" t="s">
        <v>40</v>
      </c>
      <c r="F16" s="144" t="s">
        <v>41</v>
      </c>
      <c r="G16" s="144" t="s">
        <v>42</v>
      </c>
      <c r="H16" s="144" t="s">
        <v>569</v>
      </c>
      <c r="I16" s="144" t="s">
        <v>570</v>
      </c>
    </row>
    <row r="17" spans="1:9" x14ac:dyDescent="0.25">
      <c r="A17" s="142" t="s">
        <v>32</v>
      </c>
      <c r="B17" s="142">
        <v>2.7859103940296421</v>
      </c>
      <c r="C17" s="142">
        <v>2.5099852674282563</v>
      </c>
      <c r="D17" s="142">
        <v>1.1099309745686676</v>
      </c>
      <c r="E17" s="142">
        <v>0.27185807955174246</v>
      </c>
      <c r="F17" s="142">
        <v>-2.2442124872925655</v>
      </c>
      <c r="G17" s="142">
        <v>7.8160332753518498</v>
      </c>
      <c r="H17" s="142">
        <v>-2.2442124872925655</v>
      </c>
      <c r="I17" s="142">
        <v>7.8160332753518498</v>
      </c>
    </row>
    <row r="18" spans="1:9" ht="15.75" thickBot="1" x14ac:dyDescent="0.3">
      <c r="A18" s="143" t="s">
        <v>785</v>
      </c>
      <c r="B18" s="143">
        <v>0.98181538177455097</v>
      </c>
      <c r="C18" s="143">
        <v>2.0685974514018476E-2</v>
      </c>
      <c r="D18" s="143">
        <v>47.462853689063287</v>
      </c>
      <c r="E18" s="143">
        <v>2.5542438964825766E-46</v>
      </c>
      <c r="F18" s="143">
        <v>0.94035976246247999</v>
      </c>
      <c r="G18" s="143">
        <v>1.0232710010866219</v>
      </c>
      <c r="H18" s="143">
        <v>0.94035976246247999</v>
      </c>
      <c r="I18" s="143">
        <v>1.0232710010866219</v>
      </c>
    </row>
    <row r="22" spans="1:9" x14ac:dyDescent="0.25">
      <c r="A22" t="s">
        <v>57</v>
      </c>
      <c r="F22" t="s">
        <v>61</v>
      </c>
    </row>
    <row r="23" spans="1:9" ht="15.75" thickBot="1" x14ac:dyDescent="0.3"/>
    <row r="24" spans="1:9" x14ac:dyDescent="0.25">
      <c r="A24" s="144" t="s">
        <v>58</v>
      </c>
      <c r="B24" s="144" t="s">
        <v>651</v>
      </c>
      <c r="C24" s="144" t="s">
        <v>59</v>
      </c>
      <c r="D24" s="144" t="s">
        <v>60</v>
      </c>
      <c r="F24" s="144" t="s">
        <v>62</v>
      </c>
      <c r="G24" s="144" t="s">
        <v>48</v>
      </c>
    </row>
    <row r="25" spans="1:9" x14ac:dyDescent="0.25">
      <c r="A25" s="142">
        <v>1</v>
      </c>
      <c r="B25" s="142">
        <v>103.24526025720169</v>
      </c>
      <c r="C25" s="142">
        <v>-1.0352602572016991</v>
      </c>
      <c r="D25" s="142">
        <v>-0.51869699143940562</v>
      </c>
      <c r="F25" s="142">
        <v>0.8771929824561403</v>
      </c>
      <c r="G25" s="142">
        <v>102.06</v>
      </c>
    </row>
    <row r="26" spans="1:9" x14ac:dyDescent="0.25">
      <c r="A26" s="142">
        <v>2</v>
      </c>
      <c r="B26" s="142">
        <v>103.13726056520649</v>
      </c>
      <c r="C26" s="142">
        <v>-0.97726056520649252</v>
      </c>
      <c r="D26" s="142">
        <v>-0.4896373752385062</v>
      </c>
      <c r="F26" s="142">
        <v>2.6315789473684208</v>
      </c>
      <c r="G26" s="142">
        <v>102.16</v>
      </c>
    </row>
    <row r="27" spans="1:9" x14ac:dyDescent="0.25">
      <c r="A27" s="142">
        <v>3</v>
      </c>
      <c r="B27" s="142">
        <v>103.08816979611777</v>
      </c>
      <c r="C27" s="142">
        <v>-1.0281697961177656</v>
      </c>
      <c r="D27" s="142">
        <v>-0.51514445399138697</v>
      </c>
      <c r="F27" s="142">
        <v>4.3859649122807012</v>
      </c>
      <c r="G27" s="142">
        <v>102.21</v>
      </c>
    </row>
    <row r="28" spans="1:9" x14ac:dyDescent="0.25">
      <c r="A28" s="142">
        <v>4</v>
      </c>
      <c r="B28" s="142">
        <v>102.98998825794031</v>
      </c>
      <c r="C28" s="142">
        <v>-0.43998825794031404</v>
      </c>
      <c r="D28" s="142">
        <v>-0.2204475484060256</v>
      </c>
      <c r="F28" s="142">
        <v>6.140350877192982</v>
      </c>
      <c r="G28" s="142">
        <v>102.55</v>
      </c>
    </row>
    <row r="29" spans="1:9" x14ac:dyDescent="0.25">
      <c r="A29" s="142">
        <v>5</v>
      </c>
      <c r="B29" s="142">
        <v>103.47107779500985</v>
      </c>
      <c r="C29" s="142">
        <v>0.87892220499014684</v>
      </c>
      <c r="D29" s="142">
        <v>0.44036685487179494</v>
      </c>
      <c r="F29" s="142">
        <v>7.8947368421052628</v>
      </c>
      <c r="G29" s="142">
        <v>104.35</v>
      </c>
    </row>
    <row r="30" spans="1:9" x14ac:dyDescent="0.25">
      <c r="A30" s="142">
        <v>6</v>
      </c>
      <c r="B30" s="142">
        <v>105.23834548220402</v>
      </c>
      <c r="C30" s="142">
        <v>2.3316545177959682</v>
      </c>
      <c r="D30" s="142">
        <v>1.1682300900122702</v>
      </c>
      <c r="F30" s="142">
        <v>9.6491228070175428</v>
      </c>
      <c r="G30" s="142">
        <v>106.49</v>
      </c>
    </row>
    <row r="31" spans="1:9" x14ac:dyDescent="0.25">
      <c r="A31" s="142">
        <v>7</v>
      </c>
      <c r="B31" s="142">
        <v>108.39979101151808</v>
      </c>
      <c r="C31" s="142">
        <v>3.5602089884819179</v>
      </c>
      <c r="D31" s="142">
        <v>1.7837733829487814</v>
      </c>
      <c r="F31" s="142">
        <v>11.403508771929824</v>
      </c>
      <c r="G31" s="142">
        <v>106.57</v>
      </c>
    </row>
    <row r="32" spans="1:9" x14ac:dyDescent="0.25">
      <c r="A32" s="142">
        <v>8</v>
      </c>
      <c r="B32" s="142">
        <v>112.70996053750837</v>
      </c>
      <c r="C32" s="142">
        <v>2.5600394624916305</v>
      </c>
      <c r="D32" s="142">
        <v>1.2826579190336396</v>
      </c>
      <c r="F32" s="142">
        <v>13.157894736842104</v>
      </c>
      <c r="G32" s="142">
        <v>106.61</v>
      </c>
    </row>
    <row r="33" spans="1:7" x14ac:dyDescent="0.25">
      <c r="A33" s="142">
        <v>9</v>
      </c>
      <c r="B33" s="142">
        <v>115.95976945118213</v>
      </c>
      <c r="C33" s="142">
        <v>1.2102305488178757</v>
      </c>
      <c r="D33" s="142">
        <v>0.60636244872055411</v>
      </c>
      <c r="F33" s="142">
        <v>14.912280701754385</v>
      </c>
      <c r="G33" s="142">
        <v>107.03</v>
      </c>
    </row>
    <row r="34" spans="1:7" x14ac:dyDescent="0.25">
      <c r="A34" s="142">
        <v>10</v>
      </c>
      <c r="B34" s="142">
        <v>117.82521867655377</v>
      </c>
      <c r="C34" s="142">
        <v>-0.21521867655377491</v>
      </c>
      <c r="D34" s="142">
        <v>-0.10783112676589898</v>
      </c>
      <c r="F34" s="142">
        <v>16.666666666666664</v>
      </c>
      <c r="G34" s="142">
        <v>107.04</v>
      </c>
    </row>
    <row r="35" spans="1:7" x14ac:dyDescent="0.25">
      <c r="A35" s="142">
        <v>11</v>
      </c>
      <c r="B35" s="142">
        <v>118.25721744453458</v>
      </c>
      <c r="C35" s="142">
        <v>-0.99721744453457006</v>
      </c>
      <c r="D35" s="142">
        <v>-0.49963638098994234</v>
      </c>
      <c r="F35" s="142">
        <v>18.421052631578945</v>
      </c>
      <c r="G35" s="142">
        <v>107.47</v>
      </c>
    </row>
    <row r="36" spans="1:7" x14ac:dyDescent="0.25">
      <c r="A36" s="142">
        <v>12</v>
      </c>
      <c r="B36" s="142">
        <v>117.9135820609135</v>
      </c>
      <c r="C36" s="142">
        <v>-2.0335820609135027</v>
      </c>
      <c r="D36" s="142">
        <v>-1.0188866900890521</v>
      </c>
      <c r="F36" s="142">
        <v>20.175438596491226</v>
      </c>
      <c r="G36" s="142">
        <v>107.57</v>
      </c>
    </row>
    <row r="37" spans="1:7" x14ac:dyDescent="0.25">
      <c r="A37" s="142">
        <v>13</v>
      </c>
      <c r="B37" s="142">
        <v>116.5586768340646</v>
      </c>
      <c r="C37" s="142">
        <v>-3.2086768340646046</v>
      </c>
      <c r="D37" s="142">
        <v>-1.607645042638169</v>
      </c>
      <c r="F37" s="142">
        <v>21.929824561403507</v>
      </c>
      <c r="G37" s="142">
        <v>107.8</v>
      </c>
    </row>
    <row r="38" spans="1:7" x14ac:dyDescent="0.25">
      <c r="A38" s="142">
        <v>14</v>
      </c>
      <c r="B38" s="142">
        <v>114.07468391817498</v>
      </c>
      <c r="C38" s="142">
        <v>-2.6846839181749829</v>
      </c>
      <c r="D38" s="142">
        <v>-1.3451085962549529</v>
      </c>
      <c r="F38" s="142">
        <v>23.684210526315788</v>
      </c>
      <c r="G38" s="142">
        <v>108.19</v>
      </c>
    </row>
    <row r="39" spans="1:7" x14ac:dyDescent="0.25">
      <c r="A39" s="142">
        <v>15</v>
      </c>
      <c r="B39" s="142">
        <v>112.15032576989688</v>
      </c>
      <c r="C39" s="142">
        <v>-2.3903257698968758</v>
      </c>
      <c r="D39" s="142">
        <v>-1.1976261783263167</v>
      </c>
      <c r="F39" s="142">
        <v>25.438596491228068</v>
      </c>
      <c r="G39" s="142">
        <v>108.36</v>
      </c>
    </row>
    <row r="40" spans="1:7" x14ac:dyDescent="0.25">
      <c r="A40" s="142">
        <v>16</v>
      </c>
      <c r="B40" s="142">
        <v>110.54996669760436</v>
      </c>
      <c r="C40" s="142">
        <v>-1.0499666976043613</v>
      </c>
      <c r="D40" s="142">
        <v>-0.5260653670131602</v>
      </c>
      <c r="F40" s="142">
        <v>27.192982456140349</v>
      </c>
      <c r="G40" s="142">
        <v>108.49</v>
      </c>
    </row>
    <row r="41" spans="1:7" x14ac:dyDescent="0.25">
      <c r="A41" s="142">
        <v>17</v>
      </c>
      <c r="B41" s="142">
        <v>110.29469469834298</v>
      </c>
      <c r="C41" s="142">
        <v>-1.4346946983429802</v>
      </c>
      <c r="D41" s="142">
        <v>-0.71882583967442204</v>
      </c>
      <c r="F41" s="142">
        <v>28.94736842105263</v>
      </c>
      <c r="G41" s="142">
        <v>108.86</v>
      </c>
    </row>
    <row r="42" spans="1:7" x14ac:dyDescent="0.25">
      <c r="A42" s="142">
        <v>18</v>
      </c>
      <c r="B42" s="142">
        <v>109.66633285400727</v>
      </c>
      <c r="C42" s="142">
        <v>-1.1763328540072706</v>
      </c>
      <c r="D42" s="142">
        <v>-0.58937866885198487</v>
      </c>
      <c r="F42" s="142">
        <v>30.701754385964911</v>
      </c>
      <c r="G42" s="142">
        <v>109.5</v>
      </c>
    </row>
    <row r="43" spans="1:7" x14ac:dyDescent="0.25">
      <c r="A43" s="142">
        <v>19</v>
      </c>
      <c r="B43" s="142">
        <v>109.30306116275067</v>
      </c>
      <c r="C43" s="142">
        <v>-0.94306116275066643</v>
      </c>
      <c r="D43" s="142">
        <v>-0.47250243062968761</v>
      </c>
      <c r="F43" s="142">
        <v>32.456140350877192</v>
      </c>
      <c r="G43" s="142">
        <v>109.76</v>
      </c>
    </row>
    <row r="44" spans="1:7" x14ac:dyDescent="0.25">
      <c r="A44" s="142">
        <v>20</v>
      </c>
      <c r="B44" s="142">
        <v>109.17542516311998</v>
      </c>
      <c r="C44" s="142">
        <v>-0.9854251631199844</v>
      </c>
      <c r="D44" s="142">
        <v>-0.49372808802746976</v>
      </c>
      <c r="F44" s="142">
        <v>34.210526315789465</v>
      </c>
      <c r="G44" s="142">
        <v>111.35</v>
      </c>
    </row>
    <row r="45" spans="1:7" x14ac:dyDescent="0.25">
      <c r="A45" s="142">
        <v>21</v>
      </c>
      <c r="B45" s="142">
        <v>109.00851654821831</v>
      </c>
      <c r="C45" s="142">
        <v>-1.2085165482183129</v>
      </c>
      <c r="D45" s="142">
        <v>-0.60550368209821537</v>
      </c>
      <c r="F45" s="142">
        <v>35.964912280701746</v>
      </c>
      <c r="G45" s="142">
        <v>111.39</v>
      </c>
    </row>
    <row r="46" spans="1:7" x14ac:dyDescent="0.25">
      <c r="A46" s="142">
        <v>22</v>
      </c>
      <c r="B46" s="142">
        <v>108.62560854932623</v>
      </c>
      <c r="C46" s="142">
        <v>-1.1556085493262316</v>
      </c>
      <c r="D46" s="142">
        <v>-0.57899515957212055</v>
      </c>
      <c r="F46" s="142">
        <v>37.719298245614027</v>
      </c>
      <c r="G46" s="142">
        <v>111.96</v>
      </c>
    </row>
    <row r="47" spans="1:7" x14ac:dyDescent="0.25">
      <c r="A47" s="142">
        <v>23</v>
      </c>
      <c r="B47" s="142">
        <v>108.30160947334063</v>
      </c>
      <c r="C47" s="142">
        <v>-1.2716094733406322</v>
      </c>
      <c r="D47" s="142">
        <v>-0.63711516357294828</v>
      </c>
      <c r="F47" s="142">
        <v>39.473684210526308</v>
      </c>
      <c r="G47" s="142">
        <v>113.35</v>
      </c>
    </row>
    <row r="48" spans="1:7" x14ac:dyDescent="0.25">
      <c r="A48" s="142">
        <v>24</v>
      </c>
      <c r="B48" s="142">
        <v>107.86961070535983</v>
      </c>
      <c r="C48" s="142">
        <v>-1.2596107053598331</v>
      </c>
      <c r="D48" s="142">
        <v>-0.63110341453754859</v>
      </c>
      <c r="F48" s="142">
        <v>41.228070175438589</v>
      </c>
      <c r="G48" s="142">
        <v>115.27</v>
      </c>
    </row>
    <row r="49" spans="1:7" x14ac:dyDescent="0.25">
      <c r="A49" s="142">
        <v>25</v>
      </c>
      <c r="B49" s="142">
        <v>107.45724824501453</v>
      </c>
      <c r="C49" s="142">
        <v>-0.8872482450145327</v>
      </c>
      <c r="D49" s="142">
        <v>-0.44453845508653361</v>
      </c>
      <c r="F49" s="142">
        <v>42.98245614035087</v>
      </c>
      <c r="G49" s="142">
        <v>115.88</v>
      </c>
    </row>
    <row r="50" spans="1:7" x14ac:dyDescent="0.25">
      <c r="A50" s="142">
        <v>26</v>
      </c>
      <c r="B50" s="142">
        <v>107.41797562974354</v>
      </c>
      <c r="C50" s="142">
        <v>-0.92797562974354264</v>
      </c>
      <c r="D50" s="142">
        <v>-0.46494411808883396</v>
      </c>
      <c r="F50" s="142">
        <v>44.73684210526315</v>
      </c>
      <c r="G50" s="142">
        <v>117.17</v>
      </c>
    </row>
    <row r="51" spans="1:7" x14ac:dyDescent="0.25">
      <c r="A51" s="142">
        <v>27</v>
      </c>
      <c r="B51" s="142">
        <v>107.33943039920158</v>
      </c>
      <c r="C51" s="142">
        <v>-0.29943039920156878</v>
      </c>
      <c r="D51" s="142">
        <v>-0.15002377047793333</v>
      </c>
      <c r="F51" s="142">
        <v>46.491228070175431</v>
      </c>
      <c r="G51" s="142">
        <v>117.26</v>
      </c>
    </row>
    <row r="52" spans="1:7" x14ac:dyDescent="0.25">
      <c r="A52" s="142">
        <v>28</v>
      </c>
      <c r="B52" s="142">
        <v>107.87942885917758</v>
      </c>
      <c r="C52" s="142">
        <v>3.4705711408224147</v>
      </c>
      <c r="D52" s="142">
        <v>1.7388620849668002</v>
      </c>
      <c r="F52" s="142">
        <v>48.245614035087712</v>
      </c>
      <c r="G52" s="142">
        <v>117.54</v>
      </c>
    </row>
    <row r="53" spans="1:7" x14ac:dyDescent="0.25">
      <c r="A53" s="142">
        <v>29</v>
      </c>
      <c r="B53" s="142">
        <v>112.11105315462589</v>
      </c>
      <c r="C53" s="142">
        <v>5.4289468453741136</v>
      </c>
      <c r="D53" s="142">
        <v>2.7200680947528828</v>
      </c>
      <c r="F53" s="142">
        <v>49.999999999999993</v>
      </c>
      <c r="G53" s="142">
        <v>117.61</v>
      </c>
    </row>
    <row r="54" spans="1:7" x14ac:dyDescent="0.25">
      <c r="A54" s="142">
        <v>30</v>
      </c>
      <c r="B54" s="142">
        <v>118.18849036781037</v>
      </c>
      <c r="C54" s="142">
        <v>4.3915096321896243</v>
      </c>
      <c r="D54" s="142">
        <v>2.2002803819118641</v>
      </c>
      <c r="F54" s="142">
        <v>51.754385964912274</v>
      </c>
      <c r="G54" s="142">
        <v>122.58</v>
      </c>
    </row>
    <row r="55" spans="1:7" x14ac:dyDescent="0.25">
      <c r="A55" s="142">
        <v>31</v>
      </c>
      <c r="B55" s="142">
        <v>123.1368398919541</v>
      </c>
      <c r="C55" s="142">
        <v>5.0231601080459001</v>
      </c>
      <c r="D55" s="142">
        <v>2.5167565522166284</v>
      </c>
      <c r="F55" s="142">
        <v>53.508771929824555</v>
      </c>
      <c r="G55" s="142">
        <v>128.16</v>
      </c>
    </row>
    <row r="56" spans="1:7" x14ac:dyDescent="0.25">
      <c r="A56" s="142">
        <v>32</v>
      </c>
      <c r="B56" s="142">
        <v>128.6153697222561</v>
      </c>
      <c r="C56" s="142">
        <v>4.2446302777439087</v>
      </c>
      <c r="D56" s="142">
        <v>2.1266893416632171</v>
      </c>
      <c r="F56" s="142">
        <v>55.263157894736835</v>
      </c>
      <c r="G56" s="142">
        <v>128.94</v>
      </c>
    </row>
    <row r="57" spans="1:7" x14ac:dyDescent="0.25">
      <c r="A57" s="142">
        <v>33</v>
      </c>
      <c r="B57" s="142">
        <v>133.2299020165965</v>
      </c>
      <c r="C57" s="142">
        <v>1.6900979834034899</v>
      </c>
      <c r="D57" s="142">
        <v>0.84679068198635565</v>
      </c>
      <c r="F57" s="142">
        <v>57.017543859649116</v>
      </c>
      <c r="G57" s="142">
        <v>129.16</v>
      </c>
    </row>
    <row r="58" spans="1:7" x14ac:dyDescent="0.25">
      <c r="A58" s="142">
        <v>34</v>
      </c>
      <c r="B58" s="142">
        <v>135.25244170305206</v>
      </c>
      <c r="C58" s="142">
        <v>0.44755829694793192</v>
      </c>
      <c r="D58" s="142">
        <v>0.22424036903351088</v>
      </c>
      <c r="F58" s="142">
        <v>58.771929824561397</v>
      </c>
      <c r="G58" s="142">
        <v>129.30000000000001</v>
      </c>
    </row>
    <row r="59" spans="1:7" x14ac:dyDescent="0.25">
      <c r="A59" s="142">
        <v>35</v>
      </c>
      <c r="B59" s="142">
        <v>136.01825770083622</v>
      </c>
      <c r="C59" s="142">
        <v>0.12174229916377044</v>
      </c>
      <c r="D59" s="142">
        <v>6.09966082131373E-2</v>
      </c>
      <c r="F59" s="142">
        <v>60.526315789473678</v>
      </c>
      <c r="G59" s="142">
        <v>130.28</v>
      </c>
    </row>
    <row r="60" spans="1:7" x14ac:dyDescent="0.25">
      <c r="A60" s="142">
        <v>36</v>
      </c>
      <c r="B60" s="142">
        <v>136.45025646881697</v>
      </c>
      <c r="C60" s="142">
        <v>3.6997435311830316</v>
      </c>
      <c r="D60" s="142">
        <v>1.8536844483040509</v>
      </c>
      <c r="F60" s="142">
        <v>62.280701754385959</v>
      </c>
      <c r="G60" s="142">
        <v>130.59</v>
      </c>
    </row>
    <row r="61" spans="1:7" x14ac:dyDescent="0.25">
      <c r="A61" s="142">
        <v>37</v>
      </c>
      <c r="B61" s="142">
        <v>140.38733614973296</v>
      </c>
      <c r="C61" s="142">
        <v>-0.2973361497329563</v>
      </c>
      <c r="D61" s="142">
        <v>-0.14897448756464052</v>
      </c>
      <c r="F61" s="142">
        <v>64.035087719298247</v>
      </c>
      <c r="G61" s="142">
        <v>131.22</v>
      </c>
    </row>
    <row r="62" spans="1:7" x14ac:dyDescent="0.25">
      <c r="A62" s="142">
        <v>38</v>
      </c>
      <c r="B62" s="142">
        <v>140.32842722682648</v>
      </c>
      <c r="C62" s="142">
        <v>-1.2284272268264829</v>
      </c>
      <c r="D62" s="142">
        <v>-0.61547953987864457</v>
      </c>
      <c r="F62" s="142">
        <v>65.78947368421052</v>
      </c>
      <c r="G62" s="142">
        <v>132.01</v>
      </c>
    </row>
    <row r="63" spans="1:7" x14ac:dyDescent="0.25">
      <c r="A63" s="142">
        <v>39</v>
      </c>
      <c r="B63" s="142">
        <v>139.35642999886966</v>
      </c>
      <c r="C63" s="142">
        <v>-1.8564299988696575</v>
      </c>
      <c r="D63" s="142">
        <v>-0.93012809922243989</v>
      </c>
      <c r="F63" s="142">
        <v>67.543859649122794</v>
      </c>
      <c r="G63" s="142">
        <v>132.52000000000001</v>
      </c>
    </row>
    <row r="64" spans="1:7" x14ac:dyDescent="0.25">
      <c r="A64" s="142">
        <v>40</v>
      </c>
      <c r="B64" s="142">
        <v>137.78552538803041</v>
      </c>
      <c r="C64" s="142">
        <v>-1.6655253880304031</v>
      </c>
      <c r="D64" s="142">
        <v>-0.83447906159601093</v>
      </c>
      <c r="F64" s="142">
        <v>69.298245614035082</v>
      </c>
      <c r="G64" s="142">
        <v>132.86000000000001</v>
      </c>
    </row>
    <row r="65" spans="1:7" x14ac:dyDescent="0.25">
      <c r="A65" s="142">
        <v>41</v>
      </c>
      <c r="B65" s="142">
        <v>136.43062016118154</v>
      </c>
      <c r="C65" s="142">
        <v>-1.2106201611815379</v>
      </c>
      <c r="D65" s="142">
        <v>-0.60655765640814119</v>
      </c>
      <c r="F65" s="142">
        <v>71.052631578947356</v>
      </c>
      <c r="G65" s="142">
        <v>133.72999999999999</v>
      </c>
    </row>
    <row r="66" spans="1:7" x14ac:dyDescent="0.25">
      <c r="A66" s="142">
        <v>42</v>
      </c>
      <c r="B66" s="142">
        <v>135.54698631758441</v>
      </c>
      <c r="C66" s="142">
        <v>-0.81698631758442275</v>
      </c>
      <c r="D66" s="142">
        <v>-0.409335084613063</v>
      </c>
      <c r="F66" s="142">
        <v>72.807017543859644</v>
      </c>
      <c r="G66" s="142">
        <v>134.25</v>
      </c>
    </row>
    <row r="67" spans="1:7" x14ac:dyDescent="0.25">
      <c r="A67" s="142">
        <v>43</v>
      </c>
      <c r="B67" s="142">
        <v>135.06589678051489</v>
      </c>
      <c r="C67" s="142">
        <v>-0.67589678051490409</v>
      </c>
      <c r="D67" s="142">
        <v>-0.33864491961112408</v>
      </c>
      <c r="F67" s="142">
        <v>74.561403508771917</v>
      </c>
      <c r="G67" s="142">
        <v>134.27000000000001</v>
      </c>
    </row>
    <row r="68" spans="1:7" x14ac:dyDescent="0.25">
      <c r="A68" s="142">
        <v>44</v>
      </c>
      <c r="B68" s="142">
        <v>134.73207955071155</v>
      </c>
      <c r="C68" s="142">
        <v>-0.22207955071155538</v>
      </c>
      <c r="D68" s="142">
        <v>-0.11126863415549421</v>
      </c>
      <c r="F68" s="142">
        <v>76.315789473684205</v>
      </c>
      <c r="G68" s="142">
        <v>134.38999999999999</v>
      </c>
    </row>
    <row r="69" spans="1:7" x14ac:dyDescent="0.25">
      <c r="A69" s="142">
        <v>45</v>
      </c>
      <c r="B69" s="142">
        <v>134.84989739652451</v>
      </c>
      <c r="C69" s="142">
        <v>-0.38989739652450339</v>
      </c>
      <c r="D69" s="142">
        <v>-0.19535049775209798</v>
      </c>
      <c r="F69" s="142">
        <v>78.070175438596479</v>
      </c>
      <c r="G69" s="142">
        <v>134.46</v>
      </c>
    </row>
    <row r="70" spans="1:7" x14ac:dyDescent="0.25">
      <c r="A70" s="142">
        <v>46</v>
      </c>
      <c r="B70" s="142">
        <v>134.80080662743575</v>
      </c>
      <c r="C70" s="142">
        <v>-0.53080662743573725</v>
      </c>
      <c r="D70" s="142">
        <v>-0.26595032386467093</v>
      </c>
      <c r="F70" s="142">
        <v>79.824561403508767</v>
      </c>
      <c r="G70" s="142">
        <v>134.51</v>
      </c>
    </row>
    <row r="71" spans="1:7" x14ac:dyDescent="0.25">
      <c r="A71" s="142">
        <v>47</v>
      </c>
      <c r="B71" s="142">
        <v>134.61426170489864</v>
      </c>
      <c r="C71" s="142">
        <v>-0.8842617048986483</v>
      </c>
      <c r="D71" s="142">
        <v>-0.44304210732069782</v>
      </c>
      <c r="F71" s="142">
        <v>81.578947368421041</v>
      </c>
      <c r="G71" s="142">
        <v>134.72999999999999</v>
      </c>
    </row>
    <row r="72" spans="1:7" x14ac:dyDescent="0.25">
      <c r="A72" s="142">
        <v>48</v>
      </c>
      <c r="B72" s="142">
        <v>134.08408139874035</v>
      </c>
      <c r="C72" s="142">
        <v>-2.0740813987403612</v>
      </c>
      <c r="D72" s="142">
        <v>-1.0391780946319649</v>
      </c>
      <c r="F72" s="142">
        <v>83.333333333333329</v>
      </c>
      <c r="G72" s="142">
        <v>134.91999999999999</v>
      </c>
    </row>
    <row r="73" spans="1:7" x14ac:dyDescent="0.25">
      <c r="A73" s="142">
        <v>49</v>
      </c>
      <c r="B73" s="142">
        <v>132.39535894208808</v>
      </c>
      <c r="C73" s="142">
        <v>-1.8053589420880769</v>
      </c>
      <c r="D73" s="142">
        <v>-0.904539940768603</v>
      </c>
      <c r="F73" s="142">
        <v>85.087719298245602</v>
      </c>
      <c r="G73" s="142">
        <v>135.22</v>
      </c>
    </row>
    <row r="74" spans="1:7" x14ac:dyDescent="0.25">
      <c r="A74" s="142">
        <v>50</v>
      </c>
      <c r="B74" s="142">
        <v>131.00118109996828</v>
      </c>
      <c r="C74" s="142">
        <v>-0.72118109996827684</v>
      </c>
      <c r="D74" s="142">
        <v>-0.36133374601631768</v>
      </c>
      <c r="F74" s="142">
        <v>86.84210526315789</v>
      </c>
      <c r="G74" s="142">
        <v>135.69999999999999</v>
      </c>
    </row>
    <row r="75" spans="1:7" x14ac:dyDescent="0.25">
      <c r="A75" s="142">
        <v>51</v>
      </c>
      <c r="B75" s="142">
        <v>130.69681833161815</v>
      </c>
      <c r="C75" s="142">
        <v>-1.5368183316181501</v>
      </c>
      <c r="D75" s="142">
        <v>-0.7699928973936786</v>
      </c>
      <c r="F75" s="142">
        <v>88.596491228070164</v>
      </c>
      <c r="G75" s="142">
        <v>136.06</v>
      </c>
    </row>
    <row r="76" spans="1:7" x14ac:dyDescent="0.25">
      <c r="A76" s="142">
        <v>52</v>
      </c>
      <c r="B76" s="142">
        <v>129.59718510403064</v>
      </c>
      <c r="C76" s="142">
        <v>-0.65718510403064556</v>
      </c>
      <c r="D76" s="142">
        <v>-0.32926979849577598</v>
      </c>
      <c r="F76" s="142">
        <v>90.350877192982452</v>
      </c>
      <c r="G76" s="142">
        <v>136.12</v>
      </c>
    </row>
    <row r="77" spans="1:7" x14ac:dyDescent="0.25">
      <c r="A77" s="142">
        <v>53</v>
      </c>
      <c r="B77" s="142">
        <v>129.38118572004024</v>
      </c>
      <c r="C77" s="142">
        <v>-8.1185720040224396E-2</v>
      </c>
      <c r="D77" s="142">
        <v>-4.0676524033223693E-2</v>
      </c>
      <c r="F77" s="142">
        <v>92.105263157894726</v>
      </c>
      <c r="G77" s="142">
        <v>136.13999999999999</v>
      </c>
    </row>
    <row r="78" spans="1:7" x14ac:dyDescent="0.25">
      <c r="A78" s="142">
        <v>54</v>
      </c>
      <c r="B78" s="142">
        <v>129.7346392574791</v>
      </c>
      <c r="C78" s="142">
        <v>1.4853607425208963</v>
      </c>
      <c r="D78" s="142">
        <v>0.74421107445031942</v>
      </c>
      <c r="F78" s="142">
        <v>93.859649122807014</v>
      </c>
      <c r="G78" s="142">
        <v>137.5</v>
      </c>
    </row>
    <row r="79" spans="1:7" x14ac:dyDescent="0.25">
      <c r="A79" s="142">
        <v>55</v>
      </c>
      <c r="B79" s="142">
        <v>131.6197247904862</v>
      </c>
      <c r="C79" s="142">
        <v>0.90027520951380779</v>
      </c>
      <c r="D79" s="142">
        <v>0.45106536196464192</v>
      </c>
      <c r="F79" s="142">
        <v>95.614035087719287</v>
      </c>
      <c r="G79" s="142">
        <v>139.1</v>
      </c>
    </row>
    <row r="80" spans="1:7" x14ac:dyDescent="0.25">
      <c r="A80" s="142">
        <v>56</v>
      </c>
      <c r="B80" s="142">
        <v>132.89608478679315</v>
      </c>
      <c r="C80" s="142">
        <v>1.3539152132068466</v>
      </c>
      <c r="D80" s="142">
        <v>0.67835285172896342</v>
      </c>
      <c r="F80" s="142">
        <v>97.368421052631575</v>
      </c>
      <c r="G80" s="142">
        <v>140.09</v>
      </c>
    </row>
    <row r="81" spans="1:7" ht="15.75" thickBot="1" x14ac:dyDescent="0.3">
      <c r="A81" s="143">
        <v>57</v>
      </c>
      <c r="B81" s="143">
        <v>134.59462539726309</v>
      </c>
      <c r="C81" s="143">
        <v>1.4653746027369152</v>
      </c>
      <c r="D81" s="143">
        <v>0.73419740831726454</v>
      </c>
      <c r="F81" s="143">
        <v>99.122807017543849</v>
      </c>
      <c r="G81" s="143">
        <v>140.15</v>
      </c>
    </row>
  </sheetData>
  <sortState ref="G25:G81">
    <sortCondition ref="G25"/>
  </sortSt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"/>
  <sheetViews>
    <sheetView zoomScaleNormal="100" workbookViewId="0">
      <selection activeCell="C9" sqref="C9"/>
    </sheetView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145" t="s">
        <v>22</v>
      </c>
      <c r="B3" s="145"/>
    </row>
    <row r="4" spans="1:9" x14ac:dyDescent="0.25">
      <c r="A4" s="142" t="s">
        <v>23</v>
      </c>
      <c r="B4" s="142">
        <v>0.9960001891515381</v>
      </c>
    </row>
    <row r="5" spans="1:9" x14ac:dyDescent="0.25">
      <c r="A5" s="142" t="s">
        <v>24</v>
      </c>
      <c r="B5" s="142">
        <v>0.99201637678989973</v>
      </c>
    </row>
    <row r="6" spans="1:9" x14ac:dyDescent="0.25">
      <c r="A6" s="142" t="s">
        <v>25</v>
      </c>
      <c r="B6" s="142">
        <v>0.99171510798951856</v>
      </c>
    </row>
    <row r="7" spans="1:9" x14ac:dyDescent="0.25">
      <c r="A7" s="142" t="s">
        <v>26</v>
      </c>
      <c r="B7" s="142">
        <v>1.1637933324111713</v>
      </c>
    </row>
    <row r="8" spans="1:9" ht="15.75" thickBot="1" x14ac:dyDescent="0.3">
      <c r="A8" s="143" t="s">
        <v>27</v>
      </c>
      <c r="B8" s="143">
        <v>56</v>
      </c>
    </row>
    <row r="10" spans="1:9" ht="15.75" thickBot="1" x14ac:dyDescent="0.3">
      <c r="A10" t="s">
        <v>28</v>
      </c>
    </row>
    <row r="11" spans="1:9" x14ac:dyDescent="0.25">
      <c r="A11" s="144"/>
      <c r="B11" s="144" t="s">
        <v>33</v>
      </c>
      <c r="C11" s="144" t="s">
        <v>34</v>
      </c>
      <c r="D11" s="144" t="s">
        <v>35</v>
      </c>
      <c r="E11" s="144" t="s">
        <v>36</v>
      </c>
      <c r="F11" s="144" t="s">
        <v>37</v>
      </c>
    </row>
    <row r="12" spans="1:9" x14ac:dyDescent="0.25">
      <c r="A12" s="142" t="s">
        <v>29</v>
      </c>
      <c r="B12" s="142">
        <v>2</v>
      </c>
      <c r="C12" s="142">
        <v>8919.6211520672132</v>
      </c>
      <c r="D12" s="142">
        <v>4459.8105760336066</v>
      </c>
      <c r="E12" s="142">
        <v>3292.7949244491247</v>
      </c>
      <c r="F12" s="142">
        <v>2.5603589182182912E-56</v>
      </c>
    </row>
    <row r="13" spans="1:9" x14ac:dyDescent="0.25">
      <c r="A13" s="142" t="s">
        <v>30</v>
      </c>
      <c r="B13" s="142">
        <v>53</v>
      </c>
      <c r="C13" s="142">
        <v>71.783990789929064</v>
      </c>
      <c r="D13" s="142">
        <v>1.3544149205646994</v>
      </c>
      <c r="E13" s="142"/>
      <c r="F13" s="142"/>
    </row>
    <row r="14" spans="1:9" ht="15.75" thickBot="1" x14ac:dyDescent="0.3">
      <c r="A14" s="143" t="s">
        <v>31</v>
      </c>
      <c r="B14" s="143">
        <v>55</v>
      </c>
      <c r="C14" s="143">
        <v>8991.405142857142</v>
      </c>
      <c r="D14" s="143"/>
      <c r="E14" s="143"/>
      <c r="F14" s="143"/>
    </row>
    <row r="15" spans="1:9" ht="15.75" thickBot="1" x14ac:dyDescent="0.3"/>
    <row r="16" spans="1:9" x14ac:dyDescent="0.25">
      <c r="A16" s="144"/>
      <c r="B16" s="144" t="s">
        <v>38</v>
      </c>
      <c r="C16" s="144" t="s">
        <v>26</v>
      </c>
      <c r="D16" s="144" t="s">
        <v>39</v>
      </c>
      <c r="E16" s="144" t="s">
        <v>40</v>
      </c>
      <c r="F16" s="144" t="s">
        <v>41</v>
      </c>
      <c r="G16" s="144" t="s">
        <v>42</v>
      </c>
      <c r="H16" s="144" t="s">
        <v>569</v>
      </c>
      <c r="I16" s="144" t="s">
        <v>570</v>
      </c>
    </row>
    <row r="17" spans="1:9" x14ac:dyDescent="0.25">
      <c r="A17" s="142" t="s">
        <v>32</v>
      </c>
      <c r="B17" s="142">
        <v>2.9780359672278252</v>
      </c>
      <c r="C17" s="142">
        <v>1.4811592759119701</v>
      </c>
      <c r="D17" s="142">
        <v>2.0106115632933586</v>
      </c>
      <c r="E17" s="142">
        <v>4.9466527766762997E-2</v>
      </c>
      <c r="F17" s="142">
        <v>7.2066811394759789E-3</v>
      </c>
      <c r="G17" s="142">
        <v>5.9488652533161748</v>
      </c>
      <c r="H17" s="142">
        <v>7.2066811394759789E-3</v>
      </c>
      <c r="I17" s="142">
        <v>5.9488652533161748</v>
      </c>
    </row>
    <row r="18" spans="1:9" x14ac:dyDescent="0.25">
      <c r="A18" s="142" t="s">
        <v>785</v>
      </c>
      <c r="B18" s="142">
        <v>1.7942573713426317</v>
      </c>
      <c r="C18" s="142">
        <v>7.831187394403398E-2</v>
      </c>
      <c r="D18" s="142">
        <v>22.911689900626154</v>
      </c>
      <c r="E18" s="142">
        <v>3.6404380085492491E-29</v>
      </c>
      <c r="F18" s="142">
        <v>1.6371836437935479</v>
      </c>
      <c r="G18" s="142">
        <v>1.9513310988917156</v>
      </c>
      <c r="H18" s="142">
        <v>1.6371836437935479</v>
      </c>
      <c r="I18" s="142">
        <v>1.9513310988917156</v>
      </c>
    </row>
    <row r="19" spans="1:9" ht="15.75" thickBot="1" x14ac:dyDescent="0.3">
      <c r="A19" s="143" t="s">
        <v>793</v>
      </c>
      <c r="B19" s="143">
        <v>-0.81773132616149491</v>
      </c>
      <c r="C19" s="143">
        <v>7.7661168765870953E-2</v>
      </c>
      <c r="D19" s="143">
        <v>-10.529474886307092</v>
      </c>
      <c r="E19" s="143">
        <v>1.3427141095408766E-14</v>
      </c>
      <c r="F19" s="143">
        <v>-0.97349990440534584</v>
      </c>
      <c r="G19" s="143">
        <v>-0.66196274791764398</v>
      </c>
      <c r="H19" s="143">
        <v>-0.97349990440534584</v>
      </c>
      <c r="I19" s="143">
        <v>-0.66196274791764398</v>
      </c>
    </row>
    <row r="23" spans="1:9" x14ac:dyDescent="0.25">
      <c r="A23" t="s">
        <v>57</v>
      </c>
      <c r="F23" t="s">
        <v>61</v>
      </c>
    </row>
    <row r="24" spans="1:9" ht="15.75" thickBot="1" x14ac:dyDescent="0.3"/>
    <row r="25" spans="1:9" x14ac:dyDescent="0.25">
      <c r="A25" s="144" t="s">
        <v>58</v>
      </c>
      <c r="B25" s="144" t="s">
        <v>651</v>
      </c>
      <c r="C25" s="144" t="s">
        <v>59</v>
      </c>
      <c r="D25" s="144" t="s">
        <v>60</v>
      </c>
      <c r="F25" s="144" t="s">
        <v>62</v>
      </c>
      <c r="G25" s="144" t="s">
        <v>48</v>
      </c>
    </row>
    <row r="26" spans="1:9" x14ac:dyDescent="0.25">
      <c r="A26" s="142">
        <v>1</v>
      </c>
      <c r="B26" s="142">
        <v>102.69881259931404</v>
      </c>
      <c r="C26" s="142">
        <v>-0.53881259931404202</v>
      </c>
      <c r="D26" s="142">
        <v>-0.47163419761456193</v>
      </c>
      <c r="F26" s="142">
        <v>0.8928571428571429</v>
      </c>
      <c r="G26" s="142">
        <v>102.06</v>
      </c>
    </row>
    <row r="27" spans="1:9" x14ac:dyDescent="0.25">
      <c r="A27" s="142">
        <v>2</v>
      </c>
      <c r="B27" s="142">
        <v>102.69905017662468</v>
      </c>
      <c r="C27" s="142">
        <v>-0.63905017662467856</v>
      </c>
      <c r="D27" s="142">
        <v>-0.55937429390391324</v>
      </c>
      <c r="F27" s="142">
        <v>2.6785714285714288</v>
      </c>
      <c r="G27" s="142">
        <v>102.16</v>
      </c>
    </row>
    <row r="28" spans="1:9" x14ac:dyDescent="0.25">
      <c r="A28" s="142">
        <v>3</v>
      </c>
      <c r="B28" s="142">
        <v>102.56051100579852</v>
      </c>
      <c r="C28" s="142">
        <v>-1.0511005798520046E-2</v>
      </c>
      <c r="D28" s="142">
        <v>-9.2005082884442039E-3</v>
      </c>
      <c r="F28" s="142">
        <v>4.4642857142857144</v>
      </c>
      <c r="G28" s="142">
        <v>102.55</v>
      </c>
    </row>
    <row r="29" spans="1:9" x14ac:dyDescent="0.25">
      <c r="A29" s="142">
        <v>4</v>
      </c>
      <c r="B29" s="142">
        <v>103.52147025037256</v>
      </c>
      <c r="C29" s="142">
        <v>0.82852974962743531</v>
      </c>
      <c r="D29" s="142">
        <v>0.72522981861004465</v>
      </c>
      <c r="F29" s="142">
        <v>6.2500000000000009</v>
      </c>
      <c r="G29" s="142">
        <v>104.35</v>
      </c>
    </row>
    <row r="30" spans="1:9" x14ac:dyDescent="0.25">
      <c r="A30" s="142">
        <v>5</v>
      </c>
      <c r="B30" s="142">
        <v>106.35044516897011</v>
      </c>
      <c r="C30" s="142">
        <v>1.2195548310298818</v>
      </c>
      <c r="D30" s="142">
        <v>1.0675024394604038</v>
      </c>
      <c r="F30" s="142">
        <v>8.0357142857142865</v>
      </c>
      <c r="G30" s="142">
        <v>106.49</v>
      </c>
    </row>
    <row r="31" spans="1:9" x14ac:dyDescent="0.25">
      <c r="A31" s="142">
        <v>6</v>
      </c>
      <c r="B31" s="142">
        <v>110.65603751760273</v>
      </c>
      <c r="C31" s="142">
        <v>1.3039624823972673</v>
      </c>
      <c r="D31" s="142">
        <v>1.141386262845135</v>
      </c>
      <c r="F31" s="142">
        <v>9.8214285714285712</v>
      </c>
      <c r="G31" s="142">
        <v>106.57</v>
      </c>
    </row>
    <row r="32" spans="1:9" x14ac:dyDescent="0.25">
      <c r="A32" s="142">
        <v>7</v>
      </c>
      <c r="B32" s="142">
        <v>115.89973250755686</v>
      </c>
      <c r="C32" s="142">
        <v>-0.62973250755686649</v>
      </c>
      <c r="D32" s="142">
        <v>-0.55121833879070647</v>
      </c>
      <c r="F32" s="142">
        <v>11.607142857142858</v>
      </c>
      <c r="G32" s="142">
        <v>106.61</v>
      </c>
    </row>
    <row r="33" spans="1:7" x14ac:dyDescent="0.25">
      <c r="A33" s="142">
        <v>8</v>
      </c>
      <c r="B33" s="142">
        <v>118.24888388485203</v>
      </c>
      <c r="C33" s="142">
        <v>-1.0788838848520328</v>
      </c>
      <c r="D33" s="142">
        <v>-0.94437015021413417</v>
      </c>
      <c r="F33" s="142">
        <v>13.392857142857142</v>
      </c>
      <c r="G33" s="142">
        <v>107.03</v>
      </c>
    </row>
    <row r="34" spans="1:7" x14ac:dyDescent="0.25">
      <c r="A34" s="142">
        <v>9</v>
      </c>
      <c r="B34" s="142">
        <v>118.95128220080846</v>
      </c>
      <c r="C34" s="142">
        <v>-1.3412822008084646</v>
      </c>
      <c r="D34" s="142">
        <v>-1.1740530109324558</v>
      </c>
      <c r="F34" s="142">
        <v>15.178571428571429</v>
      </c>
      <c r="G34" s="142">
        <v>107.04</v>
      </c>
    </row>
    <row r="35" spans="1:7" x14ac:dyDescent="0.25">
      <c r="A35" s="142">
        <v>10</v>
      </c>
      <c r="B35" s="142">
        <v>118.18706592449239</v>
      </c>
      <c r="C35" s="142">
        <v>-0.92706592449238201</v>
      </c>
      <c r="D35" s="142">
        <v>-0.8114806409323172</v>
      </c>
      <c r="F35" s="142">
        <v>16.964285714285715</v>
      </c>
      <c r="G35" s="142">
        <v>107.47</v>
      </c>
    </row>
    <row r="36" spans="1:7" x14ac:dyDescent="0.25">
      <c r="A36" s="142">
        <v>11</v>
      </c>
      <c r="B36" s="142">
        <v>117.19927406101144</v>
      </c>
      <c r="C36" s="142">
        <v>-1.3192740610114413</v>
      </c>
      <c r="D36" s="142">
        <v>-1.1547888152410919</v>
      </c>
      <c r="F36" s="142">
        <v>18.75</v>
      </c>
      <c r="G36" s="142">
        <v>107.57</v>
      </c>
    </row>
    <row r="37" spans="1:7" x14ac:dyDescent="0.25">
      <c r="A37" s="142">
        <v>12</v>
      </c>
      <c r="B37" s="142">
        <v>115.00940485271511</v>
      </c>
      <c r="C37" s="142">
        <v>-1.6594048527151131</v>
      </c>
      <c r="D37" s="142">
        <v>-1.4525125752893775</v>
      </c>
      <c r="F37" s="142">
        <v>20.535714285714285</v>
      </c>
      <c r="G37" s="142">
        <v>107.8</v>
      </c>
    </row>
    <row r="38" spans="1:7" x14ac:dyDescent="0.25">
      <c r="A38" s="142">
        <v>13</v>
      </c>
      <c r="B38" s="142">
        <v>111.59840293332111</v>
      </c>
      <c r="C38" s="142">
        <v>-0.20840293332111059</v>
      </c>
      <c r="D38" s="142">
        <v>-0.18241954691214571</v>
      </c>
      <c r="F38" s="142">
        <v>22.321428571428573</v>
      </c>
      <c r="G38" s="142">
        <v>108.19</v>
      </c>
    </row>
    <row r="39" spans="1:7" x14ac:dyDescent="0.25">
      <c r="A39" s="142">
        <v>14</v>
      </c>
      <c r="B39" s="142">
        <v>110.15051874067812</v>
      </c>
      <c r="C39" s="142">
        <v>-0.39051874067811809</v>
      </c>
      <c r="D39" s="142">
        <v>-0.34182940997974814</v>
      </c>
      <c r="F39" s="142">
        <v>24.107142857142858</v>
      </c>
      <c r="G39" s="142">
        <v>108.36</v>
      </c>
    </row>
    <row r="40" spans="1:7" x14ac:dyDescent="0.25">
      <c r="A40" s="142">
        <v>15</v>
      </c>
      <c r="B40" s="142">
        <v>108.8286326246662</v>
      </c>
      <c r="C40" s="142">
        <v>0.67136737533380142</v>
      </c>
      <c r="D40" s="142">
        <v>0.58766222945280688</v>
      </c>
      <c r="F40" s="142">
        <v>25.892857142857142</v>
      </c>
      <c r="G40" s="142">
        <v>108.49</v>
      </c>
    </row>
    <row r="41" spans="1:7" x14ac:dyDescent="0.25">
      <c r="A41" s="142">
        <v>16</v>
      </c>
      <c r="B41" s="142">
        <v>109.6950277697603</v>
      </c>
      <c r="C41" s="142">
        <v>-0.83502776976030191</v>
      </c>
      <c r="D41" s="142">
        <v>-0.73091767467604873</v>
      </c>
      <c r="F41" s="142">
        <v>27.678571428571431</v>
      </c>
      <c r="G41" s="142">
        <v>108.86</v>
      </c>
    </row>
    <row r="42" spans="1:7" x14ac:dyDescent="0.25">
      <c r="A42" s="142">
        <v>17</v>
      </c>
      <c r="B42" s="142">
        <v>108.75931319690305</v>
      </c>
      <c r="C42" s="142">
        <v>-0.269313196903056</v>
      </c>
      <c r="D42" s="142">
        <v>-0.23573560397453597</v>
      </c>
      <c r="F42" s="142">
        <v>29.464285714285715</v>
      </c>
      <c r="G42" s="142">
        <v>109.5</v>
      </c>
    </row>
    <row r="43" spans="1:7" x14ac:dyDescent="0.25">
      <c r="A43" s="142">
        <v>18</v>
      </c>
      <c r="B43" s="142">
        <v>108.61878601824958</v>
      </c>
      <c r="C43" s="142">
        <v>-0.25878601824958025</v>
      </c>
      <c r="D43" s="142">
        <v>-0.2265209392400846</v>
      </c>
      <c r="F43" s="142">
        <v>31.25</v>
      </c>
      <c r="G43" s="142">
        <v>109.76</v>
      </c>
    </row>
    <row r="44" spans="1:7" x14ac:dyDescent="0.25">
      <c r="A44" s="142">
        <v>19</v>
      </c>
      <c r="B44" s="142">
        <v>108.68809315065481</v>
      </c>
      <c r="C44" s="142">
        <v>-0.4980931506548103</v>
      </c>
      <c r="D44" s="142">
        <v>-0.43599159289419454</v>
      </c>
      <c r="F44" s="142">
        <v>33.035714285714292</v>
      </c>
      <c r="G44" s="142">
        <v>111.35</v>
      </c>
    </row>
    <row r="45" spans="1:7" x14ac:dyDescent="0.25">
      <c r="A45" s="142">
        <v>20</v>
      </c>
      <c r="B45" s="142">
        <v>108.48937446992755</v>
      </c>
      <c r="C45" s="142">
        <v>-0.68937446992755724</v>
      </c>
      <c r="D45" s="142">
        <v>-0.60342422466395751</v>
      </c>
      <c r="F45" s="142">
        <v>34.821428571428577</v>
      </c>
      <c r="G45" s="142">
        <v>111.39</v>
      </c>
    </row>
    <row r="46" spans="1:7" x14ac:dyDescent="0.25">
      <c r="A46" s="142">
        <v>21</v>
      </c>
      <c r="B46" s="142">
        <v>107.92862842055141</v>
      </c>
      <c r="C46" s="142">
        <v>-0.45862842055140618</v>
      </c>
      <c r="D46" s="142">
        <v>-0.40144727017403137</v>
      </c>
      <c r="F46" s="142">
        <v>36.607142857142861</v>
      </c>
      <c r="G46" s="142">
        <v>111.96</v>
      </c>
    </row>
    <row r="47" spans="1:7" x14ac:dyDescent="0.25">
      <c r="A47" s="142">
        <v>22</v>
      </c>
      <c r="B47" s="142">
        <v>107.65543870521132</v>
      </c>
      <c r="C47" s="142">
        <v>-0.62543870521132305</v>
      </c>
      <c r="D47" s="142">
        <v>-0.54745988171948345</v>
      </c>
      <c r="F47" s="142">
        <v>38.392857142857146</v>
      </c>
      <c r="G47" s="142">
        <v>113.35</v>
      </c>
    </row>
    <row r="48" spans="1:7" x14ac:dyDescent="0.25">
      <c r="A48" s="142">
        <v>23</v>
      </c>
      <c r="B48" s="142">
        <v>107.13581679945385</v>
      </c>
      <c r="C48" s="142">
        <v>-0.52581679945384963</v>
      </c>
      <c r="D48" s="142">
        <v>-0.46025869591466778</v>
      </c>
      <c r="F48" s="142">
        <v>40.178571428571431</v>
      </c>
      <c r="G48" s="142">
        <v>115.27</v>
      </c>
    </row>
    <row r="49" spans="1:7" x14ac:dyDescent="0.25">
      <c r="A49" s="142">
        <v>24</v>
      </c>
      <c r="B49" s="142">
        <v>106.74203048700102</v>
      </c>
      <c r="C49" s="142">
        <v>-0.17203048700102386</v>
      </c>
      <c r="D49" s="142">
        <v>-0.15058196635576659</v>
      </c>
      <c r="F49" s="142">
        <v>41.964285714285722</v>
      </c>
      <c r="G49" s="142">
        <v>115.88</v>
      </c>
    </row>
    <row r="50" spans="1:7" x14ac:dyDescent="0.25">
      <c r="A50" s="142">
        <v>25</v>
      </c>
      <c r="B50" s="142">
        <v>107.01370734913513</v>
      </c>
      <c r="C50" s="142">
        <v>-0.52370734913513672</v>
      </c>
      <c r="D50" s="142">
        <v>-0.45841224891298199</v>
      </c>
      <c r="F50" s="142">
        <v>43.750000000000007</v>
      </c>
      <c r="G50" s="142">
        <v>117.17</v>
      </c>
    </row>
    <row r="51" spans="1:7" x14ac:dyDescent="0.25">
      <c r="A51" s="142">
        <v>26</v>
      </c>
      <c r="B51" s="142">
        <v>106.90287601247418</v>
      </c>
      <c r="C51" s="142">
        <v>0.13712398752582544</v>
      </c>
      <c r="D51" s="142">
        <v>0.12002756044083926</v>
      </c>
      <c r="F51" s="142">
        <v>45.535714285714292</v>
      </c>
      <c r="G51" s="142">
        <v>117.26</v>
      </c>
    </row>
    <row r="52" spans="1:7" x14ac:dyDescent="0.25">
      <c r="A52" s="142">
        <v>27</v>
      </c>
      <c r="B52" s="142">
        <v>107.95513607280553</v>
      </c>
      <c r="C52" s="142">
        <v>3.3948639271944643</v>
      </c>
      <c r="D52" s="142">
        <v>2.9715970382863586</v>
      </c>
      <c r="F52" s="142">
        <v>47.321428571428577</v>
      </c>
      <c r="G52" s="142">
        <v>117.54</v>
      </c>
    </row>
    <row r="53" spans="1:7" x14ac:dyDescent="0.25">
      <c r="A53" s="142">
        <v>28</v>
      </c>
      <c r="B53" s="142">
        <v>115.23863311390343</v>
      </c>
      <c r="C53" s="142">
        <v>2.3013668860965737</v>
      </c>
      <c r="D53" s="142">
        <v>2.0144356797199969</v>
      </c>
      <c r="F53" s="142">
        <v>49.107142857142861</v>
      </c>
      <c r="G53" s="142">
        <v>117.61</v>
      </c>
    </row>
    <row r="54" spans="1:7" x14ac:dyDescent="0.25">
      <c r="A54" s="142">
        <v>29</v>
      </c>
      <c r="B54" s="142">
        <v>122.8206642267583</v>
      </c>
      <c r="C54" s="142">
        <v>-0.24066422675829813</v>
      </c>
      <c r="D54" s="142">
        <v>-0.21065854738026141</v>
      </c>
      <c r="F54" s="142">
        <v>50.892857142857146</v>
      </c>
      <c r="G54" s="142">
        <v>122.58</v>
      </c>
    </row>
    <row r="55" spans="1:7" x14ac:dyDescent="0.25">
      <c r="A55" s="142">
        <v>30</v>
      </c>
      <c r="B55" s="142">
        <v>126.8019644693855</v>
      </c>
      <c r="C55" s="142">
        <v>1.3580355306145009</v>
      </c>
      <c r="D55" s="142">
        <v>1.1887175589970358</v>
      </c>
      <c r="F55" s="142">
        <v>52.678571428571438</v>
      </c>
      <c r="G55" s="142">
        <v>128.16</v>
      </c>
    </row>
    <row r="56" spans="1:7" x14ac:dyDescent="0.25">
      <c r="A56" s="142">
        <v>31</v>
      </c>
      <c r="B56" s="142">
        <v>132.69255471762347</v>
      </c>
      <c r="C56" s="142">
        <v>0.16744528237654777</v>
      </c>
      <c r="D56" s="142">
        <v>0.14656843863440952</v>
      </c>
      <c r="F56" s="142">
        <v>54.464285714285722</v>
      </c>
      <c r="G56" s="142">
        <v>128.94</v>
      </c>
    </row>
    <row r="57" spans="1:7" x14ac:dyDescent="0.25">
      <c r="A57" s="142">
        <v>32</v>
      </c>
      <c r="B57" s="142">
        <v>136.56262356295269</v>
      </c>
      <c r="C57" s="142">
        <v>-1.6426235629527071</v>
      </c>
      <c r="D57" s="142">
        <v>-1.4378235532767041</v>
      </c>
      <c r="F57" s="142">
        <v>56.250000000000007</v>
      </c>
      <c r="G57" s="142">
        <v>129.16</v>
      </c>
    </row>
    <row r="58" spans="1:7" x14ac:dyDescent="0.25">
      <c r="A58" s="142">
        <v>33</v>
      </c>
      <c r="B58" s="142">
        <v>136.41545651495949</v>
      </c>
      <c r="C58" s="142">
        <v>-0.71545651495949869</v>
      </c>
      <c r="D58" s="142">
        <v>-0.62625439678028727</v>
      </c>
      <c r="F58" s="142">
        <v>58.035714285714292</v>
      </c>
      <c r="G58" s="142">
        <v>129.30000000000001</v>
      </c>
    </row>
    <row r="59" spans="1:7" x14ac:dyDescent="0.25">
      <c r="A59" s="142">
        <v>34</v>
      </c>
      <c r="B59" s="142">
        <v>136.13045073271405</v>
      </c>
      <c r="C59" s="142">
        <v>9.549267285933638E-3</v>
      </c>
      <c r="D59" s="142">
        <v>8.3586779892341027E-3</v>
      </c>
      <c r="F59" s="142">
        <v>59.821428571428577</v>
      </c>
      <c r="G59" s="142">
        <v>130.28</v>
      </c>
    </row>
    <row r="60" spans="1:7" x14ac:dyDescent="0.25">
      <c r="A60" s="142">
        <v>35</v>
      </c>
      <c r="B60" s="142">
        <v>136.28209354169883</v>
      </c>
      <c r="C60" s="142">
        <v>3.867906458301178</v>
      </c>
      <c r="D60" s="142">
        <v>3.3856612878605281</v>
      </c>
      <c r="F60" s="142">
        <v>61.607142857142861</v>
      </c>
      <c r="G60" s="142">
        <v>130.59</v>
      </c>
    </row>
    <row r="61" spans="1:7" x14ac:dyDescent="0.25">
      <c r="A61" s="142">
        <v>36</v>
      </c>
      <c r="B61" s="142">
        <v>143.11726381727181</v>
      </c>
      <c r="C61" s="142">
        <v>-3.0272638172718018</v>
      </c>
      <c r="D61" s="142">
        <v>-2.649828796216446</v>
      </c>
      <c r="F61" s="142">
        <v>63.392857142857146</v>
      </c>
      <c r="G61" s="142">
        <v>131.22</v>
      </c>
    </row>
    <row r="62" spans="1:7" x14ac:dyDescent="0.25">
      <c r="A62" s="142">
        <v>37</v>
      </c>
      <c r="B62" s="142">
        <v>139.73050575708359</v>
      </c>
      <c r="C62" s="142">
        <v>-0.63050575708359702</v>
      </c>
      <c r="D62" s="142">
        <v>-0.55189518064733656</v>
      </c>
      <c r="F62" s="142">
        <v>65.178571428571431</v>
      </c>
      <c r="G62" s="142">
        <v>132.01</v>
      </c>
    </row>
    <row r="63" spans="1:7" x14ac:dyDescent="0.25">
      <c r="A63" s="142">
        <v>38</v>
      </c>
      <c r="B63" s="142">
        <v>138.00325483902407</v>
      </c>
      <c r="C63" s="142">
        <v>-0.50325483902406631</v>
      </c>
      <c r="D63" s="142">
        <v>-0.44050972917287423</v>
      </c>
      <c r="F63" s="142">
        <v>66.964285714285708</v>
      </c>
      <c r="G63" s="142">
        <v>132.52000000000001</v>
      </c>
    </row>
    <row r="64" spans="1:7" x14ac:dyDescent="0.25">
      <c r="A64" s="142">
        <v>39</v>
      </c>
      <c r="B64" s="142">
        <v>135.94199705777578</v>
      </c>
      <c r="C64" s="142">
        <v>0.17800294222422508</v>
      </c>
      <c r="D64" s="142">
        <v>0.15580978421037775</v>
      </c>
      <c r="F64" s="142">
        <v>68.75</v>
      </c>
      <c r="G64" s="142">
        <v>132.86000000000001</v>
      </c>
    </row>
    <row r="65" spans="1:7" x14ac:dyDescent="0.25">
      <c r="A65" s="142">
        <v>40</v>
      </c>
      <c r="B65" s="142">
        <v>134.77429200718132</v>
      </c>
      <c r="C65" s="142">
        <v>0.4457079928186829</v>
      </c>
      <c r="D65" s="142">
        <v>0.39013774331011292</v>
      </c>
      <c r="F65" s="142">
        <v>70.535714285714292</v>
      </c>
      <c r="G65" s="142">
        <v>133.72999999999999</v>
      </c>
    </row>
    <row r="66" spans="1:7" x14ac:dyDescent="0.25">
      <c r="A66" s="142">
        <v>41</v>
      </c>
      <c r="B66" s="142">
        <v>134.28792960307578</v>
      </c>
      <c r="C66" s="142">
        <v>0.44207039692420835</v>
      </c>
      <c r="D66" s="142">
        <v>0.38695367778692236</v>
      </c>
      <c r="F66" s="142">
        <v>72.321428571428569</v>
      </c>
      <c r="G66" s="142">
        <v>134.25</v>
      </c>
    </row>
    <row r="67" spans="1:7" x14ac:dyDescent="0.25">
      <c r="A67" s="142">
        <v>42</v>
      </c>
      <c r="B67" s="142">
        <v>134.14470168466323</v>
      </c>
      <c r="C67" s="142">
        <v>0.24529831533675406</v>
      </c>
      <c r="D67" s="142">
        <v>0.21471486427254888</v>
      </c>
      <c r="F67" s="142">
        <v>74.107142857142861</v>
      </c>
      <c r="G67" s="142">
        <v>134.27000000000001</v>
      </c>
    </row>
    <row r="68" spans="1:7" x14ac:dyDescent="0.25">
      <c r="A68" s="142">
        <v>43</v>
      </c>
      <c r="B68" s="142">
        <v>133.9353425282259</v>
      </c>
      <c r="C68" s="142">
        <v>0.57465747177408844</v>
      </c>
      <c r="D68" s="142">
        <v>0.5030099814822977</v>
      </c>
      <c r="F68" s="142">
        <v>75.892857142857139</v>
      </c>
      <c r="G68" s="142">
        <v>134.38999999999999</v>
      </c>
    </row>
    <row r="69" spans="1:7" x14ac:dyDescent="0.25">
      <c r="A69" s="142">
        <v>44</v>
      </c>
      <c r="B69" s="142">
        <v>134.42868206368195</v>
      </c>
      <c r="C69" s="142">
        <v>3.1317936318060902E-2</v>
      </c>
      <c r="D69" s="142">
        <v>2.7413259795923382E-2</v>
      </c>
      <c r="F69" s="142">
        <v>77.678571428571431</v>
      </c>
      <c r="G69" s="142">
        <v>134.46</v>
      </c>
    </row>
    <row r="70" spans="1:7" x14ac:dyDescent="0.25">
      <c r="A70" s="142">
        <v>45</v>
      </c>
      <c r="B70" s="142">
        <v>134.24084143597543</v>
      </c>
      <c r="C70" s="142">
        <v>2.9158564024584166E-2</v>
      </c>
      <c r="D70" s="142">
        <v>2.5523115021503524E-2</v>
      </c>
      <c r="F70" s="142">
        <v>79.464285714285708</v>
      </c>
      <c r="G70" s="142">
        <v>134.51</v>
      </c>
    </row>
    <row r="71" spans="1:7" x14ac:dyDescent="0.25">
      <c r="A71" s="142">
        <v>46</v>
      </c>
      <c r="B71" s="142">
        <v>133.94081910172838</v>
      </c>
      <c r="C71" s="142">
        <v>-0.21081910172839002</v>
      </c>
      <c r="D71" s="142">
        <v>-0.1845344708198636</v>
      </c>
      <c r="F71" s="142">
        <v>81.25</v>
      </c>
      <c r="G71" s="142">
        <v>134.72999999999999</v>
      </c>
    </row>
    <row r="72" spans="1:7" x14ac:dyDescent="0.25">
      <c r="A72" s="142">
        <v>47</v>
      </c>
      <c r="B72" s="142">
        <v>133.12728907317404</v>
      </c>
      <c r="C72" s="142">
        <v>-1.1172890731740495</v>
      </c>
      <c r="D72" s="142">
        <v>-0.97798703334112536</v>
      </c>
      <c r="F72" s="142">
        <v>83.035714285714292</v>
      </c>
      <c r="G72" s="142">
        <v>134.91999999999999</v>
      </c>
    </row>
    <row r="73" spans="1:7" x14ac:dyDescent="0.25">
      <c r="A73" s="142">
        <v>48</v>
      </c>
      <c r="B73" s="142">
        <v>130.48274131059193</v>
      </c>
      <c r="C73" s="142">
        <v>0.10725868940807004</v>
      </c>
      <c r="D73" s="142">
        <v>9.3885825944987844E-2</v>
      </c>
      <c r="F73" s="142">
        <v>84.821428571428569</v>
      </c>
      <c r="G73" s="142">
        <v>135.22</v>
      </c>
    </row>
    <row r="74" spans="1:7" x14ac:dyDescent="0.25">
      <c r="A74" s="142">
        <v>49</v>
      </c>
      <c r="B74" s="142">
        <v>129.34139372428319</v>
      </c>
      <c r="C74" s="142">
        <v>0.93860627571680766</v>
      </c>
      <c r="D74" s="142">
        <v>0.8215821572978429</v>
      </c>
      <c r="F74" s="142">
        <v>86.607142857142861</v>
      </c>
      <c r="G74" s="142">
        <v>135.69999999999999</v>
      </c>
    </row>
    <row r="75" spans="1:7" x14ac:dyDescent="0.25">
      <c r="A75" s="142">
        <v>50</v>
      </c>
      <c r="B75" s="142">
        <v>129.94635242231629</v>
      </c>
      <c r="C75" s="142">
        <v>-0.78635242231629832</v>
      </c>
      <c r="D75" s="142">
        <v>-0.6883111015101856</v>
      </c>
      <c r="F75" s="142">
        <v>88.392857142857139</v>
      </c>
      <c r="G75" s="142">
        <v>136.06</v>
      </c>
    </row>
    <row r="76" spans="1:7" x14ac:dyDescent="0.25">
      <c r="A76" s="142">
        <v>51</v>
      </c>
      <c r="B76" s="142">
        <v>128.19028087752255</v>
      </c>
      <c r="C76" s="142">
        <v>0.74971912247744399</v>
      </c>
      <c r="D76" s="142">
        <v>0.6562451902871228</v>
      </c>
      <c r="F76" s="142">
        <v>90.178571428571431</v>
      </c>
      <c r="G76" s="142">
        <v>136.12</v>
      </c>
    </row>
    <row r="77" spans="1:7" x14ac:dyDescent="0.25">
      <c r="A77" s="142">
        <v>52</v>
      </c>
      <c r="B77" s="142">
        <v>128.71140334112806</v>
      </c>
      <c r="C77" s="142">
        <v>0.58859665887194978</v>
      </c>
      <c r="D77" s="142">
        <v>0.5152112502177888</v>
      </c>
      <c r="F77" s="142">
        <v>91.964285714285708</v>
      </c>
      <c r="G77" s="142">
        <v>136.13999999999999</v>
      </c>
    </row>
    <row r="78" spans="1:7" x14ac:dyDescent="0.25">
      <c r="A78" s="142">
        <v>53</v>
      </c>
      <c r="B78" s="142">
        <v>129.53723688656697</v>
      </c>
      <c r="C78" s="142">
        <v>1.6827631134330261</v>
      </c>
      <c r="D78" s="142">
        <v>1.4729585607124909</v>
      </c>
      <c r="F78" s="142">
        <v>93.75</v>
      </c>
      <c r="G78" s="142">
        <v>137.5</v>
      </c>
    </row>
    <row r="79" spans="1:7" x14ac:dyDescent="0.25">
      <c r="A79" s="142">
        <v>54</v>
      </c>
      <c r="B79" s="142">
        <v>132.68782776212669</v>
      </c>
      <c r="C79" s="142">
        <v>-0.16782776212667727</v>
      </c>
      <c r="D79" s="142">
        <v>-0.1469032313439449</v>
      </c>
      <c r="F79" s="142">
        <v>95.535714285714292</v>
      </c>
      <c r="G79" s="142">
        <v>139.1</v>
      </c>
    </row>
    <row r="80" spans="1:7" x14ac:dyDescent="0.25">
      <c r="A80" s="142">
        <v>55</v>
      </c>
      <c r="B80" s="142">
        <v>133.45031819864204</v>
      </c>
      <c r="C80" s="142">
        <v>0.79968180135796274</v>
      </c>
      <c r="D80" s="142">
        <v>0.69997859220550185</v>
      </c>
      <c r="F80" s="142">
        <v>97.321428571428569</v>
      </c>
      <c r="G80" s="142">
        <v>140.09</v>
      </c>
    </row>
    <row r="81" spans="1:7" ht="15.75" thickBot="1" x14ac:dyDescent="0.3">
      <c r="A81" s="143">
        <v>56</v>
      </c>
      <c r="B81" s="143">
        <v>135.49133272705484</v>
      </c>
      <c r="C81" s="143">
        <v>0.56866727294516295</v>
      </c>
      <c r="D81" s="143">
        <v>0.49776663226992096</v>
      </c>
      <c r="F81" s="143">
        <v>99.107142857142861</v>
      </c>
      <c r="G81" s="143">
        <v>140.15</v>
      </c>
    </row>
  </sheetData>
  <sortState ref="G26:G81">
    <sortCondition ref="G26"/>
  </sortState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zoomScaleNormal="100" workbookViewId="0">
      <selection activeCell="D22" sqref="D22"/>
    </sheetView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83" t="s">
        <v>22</v>
      </c>
      <c r="B3" s="83"/>
    </row>
    <row r="4" spans="1:9" x14ac:dyDescent="0.25">
      <c r="A4" s="80" t="s">
        <v>23</v>
      </c>
      <c r="B4" s="80">
        <v>0.72839280788187111</v>
      </c>
    </row>
    <row r="5" spans="1:9" x14ac:dyDescent="0.25">
      <c r="A5" s="80" t="s">
        <v>24</v>
      </c>
      <c r="B5" s="80">
        <v>0.53055608257403641</v>
      </c>
    </row>
    <row r="6" spans="1:9" x14ac:dyDescent="0.25">
      <c r="A6" s="80" t="s">
        <v>25</v>
      </c>
      <c r="B6" s="80">
        <v>0.52217315547714427</v>
      </c>
    </row>
    <row r="7" spans="1:9" x14ac:dyDescent="0.25">
      <c r="A7" s="80" t="s">
        <v>26</v>
      </c>
      <c r="B7" s="80">
        <v>9.0230164155374428</v>
      </c>
    </row>
    <row r="8" spans="1:9" ht="15.75" thickBot="1" x14ac:dyDescent="0.3">
      <c r="A8" s="81" t="s">
        <v>27</v>
      </c>
      <c r="B8" s="81">
        <v>58</v>
      </c>
    </row>
    <row r="10" spans="1:9" ht="15.75" thickBot="1" x14ac:dyDescent="0.3">
      <c r="A10" t="s">
        <v>28</v>
      </c>
    </row>
    <row r="11" spans="1:9" x14ac:dyDescent="0.25">
      <c r="A11" s="82"/>
      <c r="B11" s="82" t="s">
        <v>33</v>
      </c>
      <c r="C11" s="82" t="s">
        <v>34</v>
      </c>
      <c r="D11" s="82" t="s">
        <v>35</v>
      </c>
      <c r="E11" s="82" t="s">
        <v>36</v>
      </c>
      <c r="F11" s="82" t="s">
        <v>37</v>
      </c>
    </row>
    <row r="12" spans="1:9" x14ac:dyDescent="0.25">
      <c r="A12" s="80" t="s">
        <v>29</v>
      </c>
      <c r="B12" s="80">
        <v>1</v>
      </c>
      <c r="C12" s="80">
        <v>5152.7503747677765</v>
      </c>
      <c r="D12" s="80">
        <v>5152.7503747677765</v>
      </c>
      <c r="E12" s="80">
        <v>63.29007474855996</v>
      </c>
      <c r="F12" s="80">
        <v>9.1513991801951345E-11</v>
      </c>
    </row>
    <row r="13" spans="1:9" x14ac:dyDescent="0.25">
      <c r="A13" s="80" t="s">
        <v>30</v>
      </c>
      <c r="B13" s="80">
        <v>56</v>
      </c>
      <c r="C13" s="80">
        <v>4559.2302131632568</v>
      </c>
      <c r="D13" s="80">
        <v>81.41482523505816</v>
      </c>
      <c r="E13" s="80"/>
      <c r="F13" s="80"/>
    </row>
    <row r="14" spans="1:9" ht="15.75" thickBot="1" x14ac:dyDescent="0.3">
      <c r="A14" s="81" t="s">
        <v>31</v>
      </c>
      <c r="B14" s="81">
        <v>57</v>
      </c>
      <c r="C14" s="81">
        <v>9711.9805879310334</v>
      </c>
      <c r="D14" s="81"/>
      <c r="E14" s="81"/>
      <c r="F14" s="81"/>
    </row>
    <row r="15" spans="1:9" ht="15.75" thickBot="1" x14ac:dyDescent="0.3"/>
    <row r="16" spans="1:9" x14ac:dyDescent="0.25">
      <c r="A16" s="82"/>
      <c r="B16" s="82" t="s">
        <v>38</v>
      </c>
      <c r="C16" s="82" t="s">
        <v>26</v>
      </c>
      <c r="D16" s="82" t="s">
        <v>39</v>
      </c>
      <c r="E16" s="82" t="s">
        <v>40</v>
      </c>
      <c r="F16" s="82" t="s">
        <v>41</v>
      </c>
      <c r="G16" s="82" t="s">
        <v>42</v>
      </c>
      <c r="H16" s="82" t="s">
        <v>569</v>
      </c>
      <c r="I16" s="82" t="s">
        <v>570</v>
      </c>
    </row>
    <row r="17" spans="1:9" x14ac:dyDescent="0.25">
      <c r="A17" s="80" t="s">
        <v>32</v>
      </c>
      <c r="B17" s="80">
        <v>172.74279127779221</v>
      </c>
      <c r="C17" s="80">
        <v>6.6214362981196127</v>
      </c>
      <c r="D17" s="80">
        <v>26.088416999020065</v>
      </c>
      <c r="E17" s="80">
        <v>5.1185741935607013E-33</v>
      </c>
      <c r="F17" s="80">
        <v>159.47846046814169</v>
      </c>
      <c r="G17" s="80">
        <v>186.00712208744272</v>
      </c>
      <c r="H17" s="80">
        <v>159.47846046814169</v>
      </c>
      <c r="I17" s="80">
        <v>186.00712208744272</v>
      </c>
    </row>
    <row r="18" spans="1:9" ht="15.75" thickBot="1" x14ac:dyDescent="0.3">
      <c r="A18" s="81" t="s">
        <v>699</v>
      </c>
      <c r="B18" s="81">
        <v>-3.5535505936492148E-3</v>
      </c>
      <c r="C18" s="81">
        <v>4.4667813974493562E-4</v>
      </c>
      <c r="D18" s="81">
        <v>-7.9555059391945644</v>
      </c>
      <c r="E18" s="81">
        <v>9.1513991801950673E-11</v>
      </c>
      <c r="F18" s="81">
        <v>-4.4483544314054902E-3</v>
      </c>
      <c r="G18" s="81">
        <v>-2.6587467558929394E-3</v>
      </c>
      <c r="H18" s="81">
        <v>-4.4483544314054902E-3</v>
      </c>
      <c r="I18" s="81">
        <v>-2.6587467558929394E-3</v>
      </c>
    </row>
    <row r="22" spans="1:9" x14ac:dyDescent="0.25">
      <c r="A22" t="s">
        <v>57</v>
      </c>
      <c r="F22" t="s">
        <v>61</v>
      </c>
    </row>
    <row r="23" spans="1:9" ht="15.75" thickBot="1" x14ac:dyDescent="0.3"/>
    <row r="24" spans="1:9" x14ac:dyDescent="0.25">
      <c r="A24" s="82" t="s">
        <v>58</v>
      </c>
      <c r="B24" s="82" t="s">
        <v>651</v>
      </c>
      <c r="C24" s="82" t="s">
        <v>59</v>
      </c>
      <c r="D24" s="82" t="s">
        <v>60</v>
      </c>
      <c r="F24" s="82" t="s">
        <v>62</v>
      </c>
      <c r="G24" s="82" t="s">
        <v>48</v>
      </c>
    </row>
    <row r="25" spans="1:9" x14ac:dyDescent="0.25">
      <c r="A25" s="80">
        <v>1</v>
      </c>
      <c r="B25" s="80">
        <v>95.719582160445484</v>
      </c>
      <c r="C25" s="80">
        <v>6.6004178395545097</v>
      </c>
      <c r="D25" s="80">
        <v>0.73801144401357344</v>
      </c>
      <c r="F25" s="80">
        <v>0.86206896551724133</v>
      </c>
      <c r="G25" s="80">
        <v>102.06</v>
      </c>
    </row>
    <row r="26" spans="1:9" x14ac:dyDescent="0.25">
      <c r="A26" s="80">
        <v>2</v>
      </c>
      <c r="B26" s="80">
        <v>95.556118833137617</v>
      </c>
      <c r="C26" s="80">
        <v>6.6538811668623765</v>
      </c>
      <c r="D26" s="80">
        <v>0.74398933031522496</v>
      </c>
      <c r="F26" s="80">
        <v>2.5862068965517242</v>
      </c>
      <c r="G26" s="80">
        <v>102.16</v>
      </c>
    </row>
    <row r="27" spans="1:9" x14ac:dyDescent="0.25">
      <c r="A27" s="80">
        <v>3</v>
      </c>
      <c r="B27" s="80">
        <v>99.806165343142069</v>
      </c>
      <c r="C27" s="80">
        <v>2.3538346568579271</v>
      </c>
      <c r="D27" s="80">
        <v>0.26318893080777461</v>
      </c>
      <c r="F27" s="80">
        <v>4.3103448275862064</v>
      </c>
      <c r="G27" s="80">
        <v>102.21</v>
      </c>
    </row>
    <row r="28" spans="1:9" x14ac:dyDescent="0.25">
      <c r="A28" s="80">
        <v>4</v>
      </c>
      <c r="B28" s="80">
        <v>100.84380211648764</v>
      </c>
      <c r="C28" s="80">
        <v>1.2161978835123648</v>
      </c>
      <c r="D28" s="80">
        <v>0.1359865357066232</v>
      </c>
      <c r="F28" s="80">
        <v>6.0344827586206895</v>
      </c>
      <c r="G28" s="80">
        <v>102.32</v>
      </c>
    </row>
    <row r="29" spans="1:9" x14ac:dyDescent="0.25">
      <c r="A29" s="80">
        <v>5</v>
      </c>
      <c r="B29" s="80">
        <v>101.90986729458241</v>
      </c>
      <c r="C29" s="80">
        <v>0.64013270541758516</v>
      </c>
      <c r="D29" s="80">
        <v>7.1575053848020237E-2</v>
      </c>
      <c r="F29" s="80">
        <v>7.7586206896551717</v>
      </c>
      <c r="G29" s="80">
        <v>102.55</v>
      </c>
    </row>
    <row r="30" spans="1:9" x14ac:dyDescent="0.25">
      <c r="A30" s="80">
        <v>6</v>
      </c>
      <c r="B30" s="80">
        <v>106.45485850385975</v>
      </c>
      <c r="C30" s="80">
        <v>-2.1048585038597594</v>
      </c>
      <c r="D30" s="80">
        <v>-0.23535020079617217</v>
      </c>
      <c r="F30" s="80">
        <v>9.4827586206896548</v>
      </c>
      <c r="G30" s="80">
        <v>104.35</v>
      </c>
    </row>
    <row r="31" spans="1:9" x14ac:dyDescent="0.25">
      <c r="A31" s="80">
        <v>7</v>
      </c>
      <c r="B31" s="80">
        <v>108.33468676790019</v>
      </c>
      <c r="C31" s="80">
        <v>-0.7646867679002014</v>
      </c>
      <c r="D31" s="80">
        <v>-8.5501796933842314E-2</v>
      </c>
      <c r="F31" s="80">
        <v>11.206896551724139</v>
      </c>
      <c r="G31" s="80">
        <v>106.49</v>
      </c>
    </row>
    <row r="32" spans="1:9" x14ac:dyDescent="0.25">
      <c r="A32" s="80">
        <v>8</v>
      </c>
      <c r="B32" s="80">
        <v>107.97577815794162</v>
      </c>
      <c r="C32" s="80">
        <v>3.9842218420583748</v>
      </c>
      <c r="D32" s="80">
        <v>0.4454871473904114</v>
      </c>
      <c r="F32" s="80">
        <v>12.931034482758621</v>
      </c>
      <c r="G32" s="80">
        <v>106.57</v>
      </c>
    </row>
    <row r="33" spans="1:7" x14ac:dyDescent="0.25">
      <c r="A33" s="80">
        <v>9</v>
      </c>
      <c r="B33" s="80">
        <v>107.05185500359282</v>
      </c>
      <c r="C33" s="80">
        <v>8.218144996407176</v>
      </c>
      <c r="D33" s="80">
        <v>0.91889410691016826</v>
      </c>
      <c r="F33" s="80">
        <v>14.655172413793103</v>
      </c>
      <c r="G33" s="80">
        <v>106.61</v>
      </c>
    </row>
    <row r="34" spans="1:7" x14ac:dyDescent="0.25">
      <c r="A34" s="80">
        <v>10</v>
      </c>
      <c r="B34" s="80">
        <v>107.08028340834201</v>
      </c>
      <c r="C34" s="80">
        <v>10.089716591657989</v>
      </c>
      <c r="D34" s="80">
        <v>1.1281598366202537</v>
      </c>
      <c r="F34" s="80">
        <v>16.379310344827584</v>
      </c>
      <c r="G34" s="80">
        <v>107.03</v>
      </c>
    </row>
    <row r="35" spans="1:7" x14ac:dyDescent="0.25">
      <c r="A35" s="80">
        <v>11</v>
      </c>
      <c r="B35" s="80">
        <v>110.31046089796915</v>
      </c>
      <c r="C35" s="80">
        <v>7.2995391020308489</v>
      </c>
      <c r="D35" s="80">
        <v>0.81618217577675833</v>
      </c>
      <c r="F35" s="80">
        <v>18.103448275862068</v>
      </c>
      <c r="G35" s="80">
        <v>107.04</v>
      </c>
    </row>
    <row r="36" spans="1:7" x14ac:dyDescent="0.25">
      <c r="A36" s="80">
        <v>12</v>
      </c>
      <c r="B36" s="80">
        <v>111.49379324565433</v>
      </c>
      <c r="C36" s="80">
        <v>5.7662067543456743</v>
      </c>
      <c r="D36" s="80">
        <v>0.64473593592109546</v>
      </c>
      <c r="F36" s="80">
        <v>19.827586206896552</v>
      </c>
      <c r="G36" s="80">
        <v>107.47</v>
      </c>
    </row>
    <row r="37" spans="1:7" x14ac:dyDescent="0.25">
      <c r="A37" s="80">
        <v>13</v>
      </c>
      <c r="B37" s="80">
        <v>114.54273965500536</v>
      </c>
      <c r="C37" s="80">
        <v>1.3372603449946325</v>
      </c>
      <c r="D37" s="80">
        <v>0.14952287297893085</v>
      </c>
      <c r="F37" s="80">
        <v>21.551724137931036</v>
      </c>
      <c r="G37" s="80">
        <v>107.57</v>
      </c>
    </row>
    <row r="38" spans="1:7" x14ac:dyDescent="0.25">
      <c r="A38" s="80">
        <v>14</v>
      </c>
      <c r="B38" s="80">
        <v>115.48798411291605</v>
      </c>
      <c r="C38" s="80">
        <v>-2.1379841129160582</v>
      </c>
      <c r="D38" s="80">
        <v>-0.23905406912204746</v>
      </c>
      <c r="F38" s="80">
        <v>23.275862068965516</v>
      </c>
      <c r="G38" s="80">
        <v>107.8</v>
      </c>
    </row>
    <row r="39" spans="1:7" x14ac:dyDescent="0.25">
      <c r="A39" s="80">
        <v>15</v>
      </c>
      <c r="B39" s="80">
        <v>118.29884263249258</v>
      </c>
      <c r="C39" s="80">
        <v>-6.9088426324925791</v>
      </c>
      <c r="D39" s="80">
        <v>-0.77249729511253584</v>
      </c>
      <c r="F39" s="80">
        <v>25</v>
      </c>
      <c r="G39" s="80">
        <v>108.19</v>
      </c>
    </row>
    <row r="40" spans="1:7" x14ac:dyDescent="0.25">
      <c r="A40" s="80">
        <v>16</v>
      </c>
      <c r="B40" s="80">
        <v>120.13958184000288</v>
      </c>
      <c r="C40" s="80">
        <v>-10.379581840002871</v>
      </c>
      <c r="D40" s="80">
        <v>-1.1605704923848588</v>
      </c>
      <c r="F40" s="80">
        <v>26.72413793103448</v>
      </c>
      <c r="G40" s="80">
        <v>108.36</v>
      </c>
    </row>
    <row r="41" spans="1:7" x14ac:dyDescent="0.25">
      <c r="A41" s="80">
        <v>17</v>
      </c>
      <c r="B41" s="80">
        <v>119.3471400576191</v>
      </c>
      <c r="C41" s="80">
        <v>-9.8471400576191002</v>
      </c>
      <c r="D41" s="80">
        <v>-1.1010366661601951</v>
      </c>
      <c r="F41" s="80">
        <v>28.448275862068964</v>
      </c>
      <c r="G41" s="80">
        <v>108.49</v>
      </c>
    </row>
    <row r="42" spans="1:7" x14ac:dyDescent="0.25">
      <c r="A42" s="80">
        <v>18</v>
      </c>
      <c r="B42" s="80">
        <v>120.98888043188504</v>
      </c>
      <c r="C42" s="80">
        <v>-12.128880431885037</v>
      </c>
      <c r="D42" s="80">
        <v>-1.3561645307000152</v>
      </c>
      <c r="F42" s="80">
        <v>30.172413793103448</v>
      </c>
      <c r="G42" s="80">
        <v>108.86</v>
      </c>
    </row>
    <row r="43" spans="1:7" x14ac:dyDescent="0.25">
      <c r="A43" s="80">
        <v>19</v>
      </c>
      <c r="B43" s="80">
        <v>122.42806842231298</v>
      </c>
      <c r="C43" s="80">
        <v>-13.93806842231298</v>
      </c>
      <c r="D43" s="80">
        <v>-1.5584549725726862</v>
      </c>
      <c r="F43" s="80">
        <v>31.896551724137929</v>
      </c>
      <c r="G43" s="80">
        <v>109.5</v>
      </c>
    </row>
    <row r="44" spans="1:7" x14ac:dyDescent="0.25">
      <c r="A44" s="80">
        <v>20</v>
      </c>
      <c r="B44" s="80">
        <v>122.0762669135417</v>
      </c>
      <c r="C44" s="80">
        <v>-13.716266913541702</v>
      </c>
      <c r="D44" s="80">
        <v>-1.5336547166265069</v>
      </c>
      <c r="F44" s="80">
        <v>33.620689655172406</v>
      </c>
      <c r="G44" s="80">
        <v>109.76</v>
      </c>
    </row>
    <row r="45" spans="1:7" x14ac:dyDescent="0.25">
      <c r="A45" s="80">
        <v>21</v>
      </c>
      <c r="B45" s="80">
        <v>118.64353704007655</v>
      </c>
      <c r="C45" s="80">
        <v>-10.453537040076554</v>
      </c>
      <c r="D45" s="80">
        <v>-1.1688396331158606</v>
      </c>
      <c r="F45" s="80">
        <v>35.34482758620689</v>
      </c>
      <c r="G45" s="80">
        <v>111.35</v>
      </c>
    </row>
    <row r="46" spans="1:7" x14ac:dyDescent="0.25">
      <c r="A46" s="80">
        <v>22</v>
      </c>
      <c r="B46" s="80">
        <v>120.67616797964391</v>
      </c>
      <c r="C46" s="80">
        <v>-12.87616797964391</v>
      </c>
      <c r="D46" s="80">
        <v>-1.439720871468301</v>
      </c>
      <c r="F46" s="80">
        <v>37.068965517241374</v>
      </c>
      <c r="G46" s="80">
        <v>111.39</v>
      </c>
    </row>
    <row r="47" spans="1:7" x14ac:dyDescent="0.25">
      <c r="A47" s="80">
        <v>23</v>
      </c>
      <c r="B47" s="80">
        <v>120.21775995306317</v>
      </c>
      <c r="C47" s="80">
        <v>-12.747759953063166</v>
      </c>
      <c r="D47" s="80">
        <v>-1.4253632057229784</v>
      </c>
      <c r="F47" s="80">
        <v>38.793103448275858</v>
      </c>
      <c r="G47" s="80">
        <v>111.96</v>
      </c>
    </row>
    <row r="48" spans="1:7" x14ac:dyDescent="0.25">
      <c r="A48" s="80">
        <v>24</v>
      </c>
      <c r="B48" s="80">
        <v>121.71025120239582</v>
      </c>
      <c r="C48" s="80">
        <v>-14.680251202395823</v>
      </c>
      <c r="D48" s="80">
        <v>-1.6414405347848986</v>
      </c>
      <c r="F48" s="80">
        <v>40.517241379310342</v>
      </c>
      <c r="G48" s="80">
        <v>113.35</v>
      </c>
    </row>
    <row r="49" spans="1:7" x14ac:dyDescent="0.25">
      <c r="A49" s="80">
        <v>25</v>
      </c>
      <c r="B49" s="80">
        <v>123.00374361848415</v>
      </c>
      <c r="C49" s="80">
        <v>-16.393743618484152</v>
      </c>
      <c r="D49" s="80">
        <v>-1.8330309830024929</v>
      </c>
      <c r="F49" s="80">
        <v>42.241379310344826</v>
      </c>
      <c r="G49" s="80">
        <v>115.27</v>
      </c>
    </row>
    <row r="50" spans="1:7" x14ac:dyDescent="0.25">
      <c r="A50" s="80">
        <v>26</v>
      </c>
      <c r="B50" s="80">
        <v>123.54388330871882</v>
      </c>
      <c r="C50" s="80">
        <v>-16.973883308718825</v>
      </c>
      <c r="D50" s="80">
        <v>-1.8978980476228406</v>
      </c>
      <c r="F50" s="80">
        <v>43.965517241379303</v>
      </c>
      <c r="G50" s="80">
        <v>115.88</v>
      </c>
    </row>
    <row r="51" spans="1:7" x14ac:dyDescent="0.25">
      <c r="A51" s="80">
        <v>27</v>
      </c>
      <c r="B51" s="80">
        <v>124.92621448964837</v>
      </c>
      <c r="C51" s="80">
        <v>-18.436214489648378</v>
      </c>
      <c r="D51" s="80">
        <v>-2.061405445593381</v>
      </c>
      <c r="F51" s="80">
        <v>45.689655172413786</v>
      </c>
      <c r="G51" s="80">
        <v>117.17</v>
      </c>
    </row>
    <row r="52" spans="1:7" x14ac:dyDescent="0.25">
      <c r="A52" s="80">
        <v>28</v>
      </c>
      <c r="B52" s="80">
        <v>125.33131925732438</v>
      </c>
      <c r="C52" s="80">
        <v>-18.291319257324375</v>
      </c>
      <c r="D52" s="80">
        <v>-2.045204298599733</v>
      </c>
      <c r="F52" s="80">
        <v>47.41379310344827</v>
      </c>
      <c r="G52" s="80">
        <v>117.26</v>
      </c>
    </row>
    <row r="53" spans="1:7" x14ac:dyDescent="0.25">
      <c r="A53" s="80">
        <v>29</v>
      </c>
      <c r="B53" s="80">
        <v>124.25459342744867</v>
      </c>
      <c r="C53" s="80">
        <v>-12.904593427448674</v>
      </c>
      <c r="D53" s="80">
        <v>-1.4428992014302935</v>
      </c>
      <c r="F53" s="80">
        <v>49.137931034482754</v>
      </c>
      <c r="G53" s="80">
        <v>117.54</v>
      </c>
    </row>
    <row r="54" spans="1:7" x14ac:dyDescent="0.25">
      <c r="A54" s="80">
        <v>30</v>
      </c>
      <c r="B54" s="80">
        <v>125.9389764088384</v>
      </c>
      <c r="C54" s="80">
        <v>-8.3989764088383936</v>
      </c>
      <c r="D54" s="80">
        <v>-0.93911338015247925</v>
      </c>
      <c r="F54" s="80">
        <v>50.862068965517238</v>
      </c>
      <c r="G54" s="80">
        <v>117.61</v>
      </c>
    </row>
    <row r="55" spans="1:7" x14ac:dyDescent="0.25">
      <c r="A55" s="80">
        <v>31</v>
      </c>
      <c r="B55" s="80">
        <v>125.58006779887984</v>
      </c>
      <c r="C55" s="80">
        <v>-3.0000677988798401</v>
      </c>
      <c r="D55" s="80">
        <v>-0.33544609177945189</v>
      </c>
      <c r="F55" s="80">
        <v>52.586206896551715</v>
      </c>
      <c r="G55" s="80">
        <v>122.58</v>
      </c>
    </row>
    <row r="56" spans="1:7" x14ac:dyDescent="0.25">
      <c r="A56" s="80">
        <v>32</v>
      </c>
      <c r="B56" s="80">
        <v>126.11665393852087</v>
      </c>
      <c r="C56" s="80">
        <v>2.0433460614791272</v>
      </c>
      <c r="D56" s="80">
        <v>0.22847232010291046</v>
      </c>
      <c r="F56" s="80">
        <v>54.310344827586199</v>
      </c>
      <c r="G56" s="80">
        <v>128.16</v>
      </c>
    </row>
    <row r="57" spans="1:7" x14ac:dyDescent="0.25">
      <c r="A57" s="80">
        <v>33</v>
      </c>
      <c r="B57" s="80">
        <v>126.67456138172378</v>
      </c>
      <c r="C57" s="80">
        <v>6.1854386182762369</v>
      </c>
      <c r="D57" s="80">
        <v>0.69161143998718033</v>
      </c>
      <c r="F57" s="80">
        <v>56.034482758620683</v>
      </c>
      <c r="G57" s="80">
        <v>128.94</v>
      </c>
    </row>
    <row r="58" spans="1:7" x14ac:dyDescent="0.25">
      <c r="A58" s="80">
        <v>34</v>
      </c>
      <c r="B58" s="80">
        <v>127.4989851194504</v>
      </c>
      <c r="C58" s="80">
        <v>7.4210148805495919</v>
      </c>
      <c r="D58" s="80">
        <v>0.8297647271994939</v>
      </c>
      <c r="F58" s="80">
        <v>57.758620689655167</v>
      </c>
      <c r="G58" s="80">
        <v>129.16</v>
      </c>
    </row>
    <row r="59" spans="1:7" x14ac:dyDescent="0.25">
      <c r="A59" s="80">
        <v>35</v>
      </c>
      <c r="B59" s="80">
        <v>126.11665393852087</v>
      </c>
      <c r="C59" s="80">
        <v>9.5833460614791193</v>
      </c>
      <c r="D59" s="80">
        <v>1.0715411110687134</v>
      </c>
      <c r="F59" s="80">
        <v>59.482758620689651</v>
      </c>
      <c r="G59" s="80">
        <v>129.30000000000001</v>
      </c>
    </row>
    <row r="60" spans="1:7" x14ac:dyDescent="0.25">
      <c r="A60" s="80">
        <v>36</v>
      </c>
      <c r="B60" s="80">
        <v>127.45278896173296</v>
      </c>
      <c r="C60" s="80">
        <v>8.6872110382670229</v>
      </c>
      <c r="D60" s="80">
        <v>0.97134171178999529</v>
      </c>
      <c r="F60" s="80">
        <v>61.206896551724128</v>
      </c>
      <c r="G60" s="80">
        <v>130.28</v>
      </c>
    </row>
    <row r="61" spans="1:7" x14ac:dyDescent="0.25">
      <c r="A61" s="80">
        <v>37</v>
      </c>
      <c r="B61" s="80">
        <v>126.72786464062852</v>
      </c>
      <c r="C61" s="80">
        <v>13.422135359371481</v>
      </c>
      <c r="D61" s="80">
        <v>1.500767033104069</v>
      </c>
      <c r="F61" s="80">
        <v>62.931034482758612</v>
      </c>
      <c r="G61" s="80">
        <v>130.59</v>
      </c>
    </row>
    <row r="62" spans="1:7" x14ac:dyDescent="0.25">
      <c r="A62" s="80">
        <v>38</v>
      </c>
      <c r="B62" s="80">
        <v>127.87566148237721</v>
      </c>
      <c r="C62" s="80">
        <v>12.214338517622792</v>
      </c>
      <c r="D62" s="80">
        <v>1.3657198417107821</v>
      </c>
      <c r="F62" s="80">
        <v>64.655172413793096</v>
      </c>
      <c r="G62" s="80">
        <v>131.22</v>
      </c>
    </row>
    <row r="63" spans="1:7" x14ac:dyDescent="0.25">
      <c r="A63" s="80">
        <v>39</v>
      </c>
      <c r="B63" s="80">
        <v>128.58637160110706</v>
      </c>
      <c r="C63" s="80">
        <v>10.513628398892934</v>
      </c>
      <c r="D63" s="80">
        <v>1.1755586184241917</v>
      </c>
      <c r="F63" s="80">
        <v>66.379310344827573</v>
      </c>
      <c r="G63" s="80">
        <v>132.01</v>
      </c>
    </row>
    <row r="64" spans="1:7" x14ac:dyDescent="0.25">
      <c r="A64" s="80">
        <v>40</v>
      </c>
      <c r="B64" s="80">
        <v>128.87776274978631</v>
      </c>
      <c r="C64" s="80">
        <v>8.6222372502136864</v>
      </c>
      <c r="D64" s="80">
        <v>0.9640768082172374</v>
      </c>
      <c r="F64" s="80">
        <v>68.103448275862064</v>
      </c>
      <c r="G64" s="80">
        <v>132.52000000000001</v>
      </c>
    </row>
    <row r="65" spans="1:7" x14ac:dyDescent="0.25">
      <c r="A65" s="80">
        <v>41</v>
      </c>
      <c r="B65" s="80">
        <v>128.88131630037995</v>
      </c>
      <c r="C65" s="80">
        <v>7.2386836996200543</v>
      </c>
      <c r="D65" s="80">
        <v>0.80937776058654531</v>
      </c>
      <c r="F65" s="80">
        <v>69.827586206896541</v>
      </c>
      <c r="G65" s="80">
        <v>132.86000000000001</v>
      </c>
    </row>
    <row r="66" spans="1:7" x14ac:dyDescent="0.25">
      <c r="A66" s="80">
        <v>42</v>
      </c>
      <c r="B66" s="80">
        <v>126.54308000975877</v>
      </c>
      <c r="C66" s="80">
        <v>8.6769199902412311</v>
      </c>
      <c r="D66" s="80">
        <v>0.97019104051454763</v>
      </c>
      <c r="F66" s="80">
        <v>71.551724137931032</v>
      </c>
      <c r="G66" s="80">
        <v>133.72999999999999</v>
      </c>
    </row>
    <row r="67" spans="1:7" x14ac:dyDescent="0.25">
      <c r="A67" s="80">
        <v>43</v>
      </c>
      <c r="B67" s="80">
        <v>128.92754799360333</v>
      </c>
      <c r="C67" s="80">
        <v>5.8024520063966634</v>
      </c>
      <c r="D67" s="80">
        <v>0.64878862038062834</v>
      </c>
      <c r="F67" s="80">
        <v>73.275862068965509</v>
      </c>
      <c r="G67" s="80">
        <v>134.25</v>
      </c>
    </row>
    <row r="68" spans="1:7" x14ac:dyDescent="0.25">
      <c r="A68" s="80">
        <v>44</v>
      </c>
      <c r="B68" s="80">
        <v>129.90829242194457</v>
      </c>
      <c r="C68" s="80">
        <v>4.4817075780554205</v>
      </c>
      <c r="D68" s="80">
        <v>0.50111243889833745</v>
      </c>
      <c r="F68" s="80">
        <v>74.999999999999986</v>
      </c>
      <c r="G68" s="80">
        <v>134.27000000000001</v>
      </c>
    </row>
    <row r="69" spans="1:7" x14ac:dyDescent="0.25">
      <c r="A69" s="80">
        <v>45</v>
      </c>
      <c r="B69" s="80">
        <v>129.24022491033853</v>
      </c>
      <c r="C69" s="80">
        <v>5.269775089661465</v>
      </c>
      <c r="D69" s="80">
        <v>0.58922850311705599</v>
      </c>
      <c r="F69" s="80">
        <v>76.724137931034477</v>
      </c>
      <c r="G69" s="80">
        <v>134.38999999999999</v>
      </c>
    </row>
    <row r="70" spans="1:7" x14ac:dyDescent="0.25">
      <c r="A70" s="80">
        <v>46</v>
      </c>
      <c r="B70" s="80">
        <v>128.15283842868186</v>
      </c>
      <c r="C70" s="80">
        <v>6.3071615713181473</v>
      </c>
      <c r="D70" s="80">
        <v>0.70522162869458493</v>
      </c>
      <c r="F70" s="80">
        <v>78.448275862068954</v>
      </c>
      <c r="G70" s="80">
        <v>134.46</v>
      </c>
    </row>
    <row r="71" spans="1:7" x14ac:dyDescent="0.25">
      <c r="A71" s="80">
        <v>47</v>
      </c>
      <c r="B71" s="80">
        <v>126.50399095322862</v>
      </c>
      <c r="C71" s="80">
        <v>7.7660090467713871</v>
      </c>
      <c r="D71" s="80">
        <v>0.86833950367255286</v>
      </c>
      <c r="F71" s="80">
        <v>80.172413793103445</v>
      </c>
      <c r="G71" s="80">
        <v>134.51</v>
      </c>
    </row>
    <row r="72" spans="1:7" x14ac:dyDescent="0.25">
      <c r="A72" s="80">
        <v>48</v>
      </c>
      <c r="B72" s="80">
        <v>127.05834484583789</v>
      </c>
      <c r="C72" s="80">
        <v>6.6716551541620959</v>
      </c>
      <c r="D72" s="80">
        <v>0.74597669025997504</v>
      </c>
      <c r="F72" s="80">
        <v>81.896551724137922</v>
      </c>
      <c r="G72" s="80">
        <v>134.72999999999999</v>
      </c>
    </row>
    <row r="73" spans="1:7" x14ac:dyDescent="0.25">
      <c r="A73" s="80">
        <v>49</v>
      </c>
      <c r="B73" s="80">
        <v>128.02846415790412</v>
      </c>
      <c r="C73" s="80">
        <v>3.981535842095866</v>
      </c>
      <c r="D73" s="80">
        <v>0.44518681811442645</v>
      </c>
      <c r="F73" s="80">
        <v>83.620689655172413</v>
      </c>
      <c r="G73" s="80">
        <v>134.91999999999999</v>
      </c>
    </row>
    <row r="74" spans="1:7" x14ac:dyDescent="0.25">
      <c r="A74" s="80">
        <v>50</v>
      </c>
      <c r="B74" s="80">
        <v>128.3731585654881</v>
      </c>
      <c r="C74" s="80">
        <v>2.2168414345119061</v>
      </c>
      <c r="D74" s="80">
        <v>0.2478713299677521</v>
      </c>
      <c r="F74" s="80">
        <v>85.34482758620689</v>
      </c>
      <c r="G74" s="80">
        <v>135.22</v>
      </c>
    </row>
    <row r="75" spans="1:7" x14ac:dyDescent="0.25">
      <c r="A75" s="80">
        <v>51</v>
      </c>
      <c r="B75" s="80">
        <v>127.52385997360595</v>
      </c>
      <c r="C75" s="80">
        <v>2.7561400263940499</v>
      </c>
      <c r="D75" s="80">
        <v>0.3081718355151844</v>
      </c>
      <c r="F75" s="80">
        <v>87.068965517241367</v>
      </c>
      <c r="G75" s="80">
        <v>135.69999999999999</v>
      </c>
    </row>
    <row r="76" spans="1:7" x14ac:dyDescent="0.25">
      <c r="A76" s="80">
        <v>52</v>
      </c>
      <c r="B76" s="80">
        <v>126.55374066153971</v>
      </c>
      <c r="C76" s="80">
        <v>2.6062593384602906</v>
      </c>
      <c r="D76" s="80">
        <v>0.29141325058608131</v>
      </c>
      <c r="F76" s="80">
        <v>88.793103448275858</v>
      </c>
      <c r="G76" s="80">
        <v>136.06</v>
      </c>
    </row>
    <row r="77" spans="1:7" x14ac:dyDescent="0.25">
      <c r="A77" s="80">
        <v>53</v>
      </c>
      <c r="B77" s="80">
        <v>127.38527150045363</v>
      </c>
      <c r="C77" s="80">
        <v>1.5547284995463713</v>
      </c>
      <c r="D77" s="80">
        <v>0.17383860429610579</v>
      </c>
      <c r="F77" s="80">
        <v>90.517241379310335</v>
      </c>
      <c r="G77" s="80">
        <v>136.12</v>
      </c>
    </row>
    <row r="78" spans="1:7" x14ac:dyDescent="0.25">
      <c r="A78" s="80">
        <v>54</v>
      </c>
      <c r="B78" s="80">
        <v>128.56149674695152</v>
      </c>
      <c r="C78" s="80">
        <v>0.73850325304849207</v>
      </c>
      <c r="D78" s="80">
        <v>8.2574143855690368E-2</v>
      </c>
      <c r="F78" s="80">
        <v>92.241379310344826</v>
      </c>
      <c r="G78" s="80">
        <v>136.13999999999999</v>
      </c>
    </row>
    <row r="79" spans="1:7" x14ac:dyDescent="0.25">
      <c r="A79" s="80">
        <v>55</v>
      </c>
      <c r="B79" s="80">
        <v>128.83515567816846</v>
      </c>
      <c r="C79" s="80">
        <v>2.3848443218315367</v>
      </c>
      <c r="D79" s="80">
        <v>0.26665620942283502</v>
      </c>
      <c r="F79" s="80">
        <v>93.965517241379303</v>
      </c>
      <c r="G79" s="80">
        <v>137.5</v>
      </c>
    </row>
    <row r="80" spans="1:7" x14ac:dyDescent="0.25">
      <c r="A80" s="80">
        <v>56</v>
      </c>
      <c r="B80" s="80">
        <v>129.34683142814799</v>
      </c>
      <c r="C80" s="80">
        <v>3.1731685718520168</v>
      </c>
      <c r="D80" s="80">
        <v>0.35480098029203799</v>
      </c>
      <c r="F80" s="80">
        <v>95.689655172413779</v>
      </c>
      <c r="G80" s="80">
        <v>139.1</v>
      </c>
    </row>
    <row r="81" spans="1:7" x14ac:dyDescent="0.25">
      <c r="A81" s="80">
        <v>57</v>
      </c>
      <c r="B81" s="80">
        <v>129.00569057115769</v>
      </c>
      <c r="C81" s="80">
        <v>5.244309428842314</v>
      </c>
      <c r="D81" s="80">
        <v>0.58638111533483495</v>
      </c>
      <c r="F81" s="80">
        <v>97.41379310344827</v>
      </c>
      <c r="G81" s="80">
        <v>140.09</v>
      </c>
    </row>
    <row r="82" spans="1:7" ht="15.75" thickBot="1" x14ac:dyDescent="0.3">
      <c r="A82" s="81">
        <v>58</v>
      </c>
      <c r="B82" s="81">
        <v>128.70012075560976</v>
      </c>
      <c r="C82" s="81">
        <v>7.3598792443902425</v>
      </c>
      <c r="D82" s="81">
        <v>0.82292897827883238</v>
      </c>
      <c r="F82" s="81">
        <v>99.137931034482747</v>
      </c>
      <c r="G82" s="81">
        <v>140.15</v>
      </c>
    </row>
  </sheetData>
  <sortState ref="G25:G82">
    <sortCondition ref="G25"/>
  </sortState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workbookViewId="0">
      <selection activeCell="D7" sqref="D7"/>
    </sheetView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83" t="s">
        <v>22</v>
      </c>
      <c r="B3" s="83"/>
    </row>
    <row r="4" spans="1:9" x14ac:dyDescent="0.25">
      <c r="A4" s="80" t="s">
        <v>23</v>
      </c>
      <c r="B4" s="80">
        <v>0.87768231681430353</v>
      </c>
    </row>
    <row r="5" spans="1:9" x14ac:dyDescent="0.25">
      <c r="A5" s="80" t="s">
        <v>24</v>
      </c>
      <c r="B5" s="80">
        <v>0.77032624924852355</v>
      </c>
    </row>
    <row r="6" spans="1:9" x14ac:dyDescent="0.25">
      <c r="A6" s="80" t="s">
        <v>25</v>
      </c>
      <c r="B6" s="80">
        <v>0.76622493227081867</v>
      </c>
    </row>
    <row r="7" spans="1:9" x14ac:dyDescent="0.25">
      <c r="A7" s="80" t="s">
        <v>26</v>
      </c>
      <c r="B7" s="80">
        <v>6.3112527181552736</v>
      </c>
    </row>
    <row r="8" spans="1:9" ht="15.75" thickBot="1" x14ac:dyDescent="0.3">
      <c r="A8" s="81" t="s">
        <v>27</v>
      </c>
      <c r="B8" s="81">
        <v>58</v>
      </c>
    </row>
    <row r="10" spans="1:9" ht="15.75" thickBot="1" x14ac:dyDescent="0.3">
      <c r="A10" t="s">
        <v>28</v>
      </c>
    </row>
    <row r="11" spans="1:9" x14ac:dyDescent="0.25">
      <c r="A11" s="82"/>
      <c r="B11" s="82" t="s">
        <v>33</v>
      </c>
      <c r="C11" s="82" t="s">
        <v>34</v>
      </c>
      <c r="D11" s="82" t="s">
        <v>35</v>
      </c>
      <c r="E11" s="82" t="s">
        <v>36</v>
      </c>
      <c r="F11" s="82" t="s">
        <v>37</v>
      </c>
    </row>
    <row r="12" spans="1:9" x14ac:dyDescent="0.25">
      <c r="A12" s="80" t="s">
        <v>29</v>
      </c>
      <c r="B12" s="80">
        <v>1</v>
      </c>
      <c r="C12" s="80">
        <v>7481.3935790753831</v>
      </c>
      <c r="D12" s="80">
        <v>7481.3935790753831</v>
      </c>
      <c r="E12" s="80">
        <v>187.82411928560362</v>
      </c>
      <c r="F12" s="80">
        <v>1.5541128599636314E-19</v>
      </c>
    </row>
    <row r="13" spans="1:9" x14ac:dyDescent="0.25">
      <c r="A13" s="80" t="s">
        <v>30</v>
      </c>
      <c r="B13" s="80">
        <v>56</v>
      </c>
      <c r="C13" s="80">
        <v>2230.5870088556503</v>
      </c>
      <c r="D13" s="80">
        <v>39.831910872422327</v>
      </c>
      <c r="E13" s="80"/>
      <c r="F13" s="80"/>
    </row>
    <row r="14" spans="1:9" ht="15.75" thickBot="1" x14ac:dyDescent="0.3">
      <c r="A14" s="81" t="s">
        <v>31</v>
      </c>
      <c r="B14" s="81">
        <v>57</v>
      </c>
      <c r="C14" s="81">
        <v>9711.9805879310334</v>
      </c>
      <c r="D14" s="81"/>
      <c r="E14" s="81"/>
      <c r="F14" s="81"/>
    </row>
    <row r="15" spans="1:9" ht="15.75" thickBot="1" x14ac:dyDescent="0.3"/>
    <row r="16" spans="1:9" x14ac:dyDescent="0.25">
      <c r="A16" s="82"/>
      <c r="B16" s="82" t="s">
        <v>38</v>
      </c>
      <c r="C16" s="82" t="s">
        <v>26</v>
      </c>
      <c r="D16" s="82" t="s">
        <v>39</v>
      </c>
      <c r="E16" s="82" t="s">
        <v>40</v>
      </c>
      <c r="F16" s="82" t="s">
        <v>41</v>
      </c>
      <c r="G16" s="82" t="s">
        <v>42</v>
      </c>
      <c r="H16" s="82" t="s">
        <v>569</v>
      </c>
      <c r="I16" s="82" t="s">
        <v>570</v>
      </c>
    </row>
    <row r="17" spans="1:9" x14ac:dyDescent="0.25">
      <c r="A17" s="80" t="s">
        <v>32</v>
      </c>
      <c r="B17" s="80">
        <v>103.71246889525706</v>
      </c>
      <c r="C17" s="80">
        <v>1.5041611496271967</v>
      </c>
      <c r="D17" s="80">
        <v>68.95037072388287</v>
      </c>
      <c r="E17" s="80">
        <v>7.536614361399946E-56</v>
      </c>
      <c r="F17" s="80">
        <v>100.69927203261483</v>
      </c>
      <c r="G17" s="80">
        <v>106.72566575789929</v>
      </c>
      <c r="H17" s="80">
        <v>100.69927203261483</v>
      </c>
      <c r="I17" s="80">
        <v>106.72566575789929</v>
      </c>
    </row>
    <row r="18" spans="1:9" ht="15.75" thickBot="1" x14ac:dyDescent="0.3">
      <c r="A18" s="81" t="s">
        <v>699</v>
      </c>
      <c r="B18" s="81">
        <v>-1.2021768723796282</v>
      </c>
      <c r="C18" s="81">
        <v>8.7718801271262956E-2</v>
      </c>
      <c r="D18" s="81">
        <v>-13.704893990308852</v>
      </c>
      <c r="E18" s="81">
        <v>1.5541128599636095E-19</v>
      </c>
      <c r="F18" s="81">
        <v>-1.3778987468947468</v>
      </c>
      <c r="G18" s="81">
        <v>-1.0264549978645097</v>
      </c>
      <c r="H18" s="81">
        <v>-1.3778987468947468</v>
      </c>
      <c r="I18" s="81">
        <v>-1.0264549978645097</v>
      </c>
    </row>
    <row r="22" spans="1:9" x14ac:dyDescent="0.25">
      <c r="A22" t="s">
        <v>57</v>
      </c>
      <c r="F22" t="s">
        <v>61</v>
      </c>
    </row>
    <row r="23" spans="1:9" ht="15.75" thickBot="1" x14ac:dyDescent="0.3"/>
    <row r="24" spans="1:9" x14ac:dyDescent="0.25">
      <c r="A24" s="82" t="s">
        <v>58</v>
      </c>
      <c r="B24" s="82" t="s">
        <v>651</v>
      </c>
      <c r="C24" s="82" t="s">
        <v>59</v>
      </c>
      <c r="D24" s="82" t="s">
        <v>60</v>
      </c>
      <c r="F24" s="82" t="s">
        <v>62</v>
      </c>
      <c r="G24" s="82" t="s">
        <v>48</v>
      </c>
    </row>
    <row r="25" spans="1:9" x14ac:dyDescent="0.25">
      <c r="A25" s="80">
        <v>1</v>
      </c>
      <c r="B25" s="80">
        <v>109.7233532571552</v>
      </c>
      <c r="C25" s="80">
        <v>-7.403353257155203</v>
      </c>
      <c r="D25" s="80">
        <v>-1.1834674460712036</v>
      </c>
      <c r="F25" s="80">
        <v>0.86206896551724133</v>
      </c>
      <c r="G25" s="80">
        <v>102.06</v>
      </c>
    </row>
    <row r="26" spans="1:9" x14ac:dyDescent="0.25">
      <c r="A26" s="80">
        <v>2</v>
      </c>
      <c r="B26" s="80">
        <v>108.52117638477557</v>
      </c>
      <c r="C26" s="80">
        <v>-6.3111763847755782</v>
      </c>
      <c r="D26" s="80">
        <v>-1.0088768613839312</v>
      </c>
      <c r="F26" s="80">
        <v>2.5862068965517242</v>
      </c>
      <c r="G26" s="80">
        <v>102.16</v>
      </c>
    </row>
    <row r="27" spans="1:9" x14ac:dyDescent="0.25">
      <c r="A27" s="80">
        <v>3</v>
      </c>
      <c r="B27" s="80">
        <v>109.7233532571552</v>
      </c>
      <c r="C27" s="80">
        <v>-7.5633532571551996</v>
      </c>
      <c r="D27" s="80">
        <v>-1.2090443414041907</v>
      </c>
      <c r="F27" s="80">
        <v>4.3103448275862064</v>
      </c>
      <c r="G27" s="80">
        <v>102.21</v>
      </c>
    </row>
    <row r="28" spans="1:9" x14ac:dyDescent="0.25">
      <c r="A28" s="80">
        <v>4</v>
      </c>
      <c r="B28" s="80">
        <v>108.52117638477557</v>
      </c>
      <c r="C28" s="80">
        <v>-6.4611763847755697</v>
      </c>
      <c r="D28" s="80">
        <v>-1.0328552007586058</v>
      </c>
      <c r="F28" s="80">
        <v>6.0344827586206895</v>
      </c>
      <c r="G28" s="80">
        <v>102.32</v>
      </c>
    </row>
    <row r="29" spans="1:9" x14ac:dyDescent="0.25">
      <c r="A29" s="80">
        <v>5</v>
      </c>
      <c r="B29" s="80">
        <v>110.92553012953483</v>
      </c>
      <c r="C29" s="80">
        <v>-8.3755301295348374</v>
      </c>
      <c r="D29" s="80">
        <v>-1.3388753592587366</v>
      </c>
      <c r="F29" s="80">
        <v>7.7586206896551717</v>
      </c>
      <c r="G29" s="80">
        <v>102.55</v>
      </c>
    </row>
    <row r="30" spans="1:9" x14ac:dyDescent="0.25">
      <c r="A30" s="80">
        <v>6</v>
      </c>
      <c r="B30" s="80">
        <v>109.7233532571552</v>
      </c>
      <c r="C30" s="80">
        <v>-5.3733532571552018</v>
      </c>
      <c r="D30" s="80">
        <v>-0.85896058653392127</v>
      </c>
      <c r="F30" s="80">
        <v>9.4827586206896548</v>
      </c>
      <c r="G30" s="80">
        <v>104.35</v>
      </c>
    </row>
    <row r="31" spans="1:9" x14ac:dyDescent="0.25">
      <c r="A31" s="80">
        <v>7</v>
      </c>
      <c r="B31" s="80">
        <v>110.92553012953483</v>
      </c>
      <c r="C31" s="80">
        <v>-3.3555301295348414</v>
      </c>
      <c r="D31" s="80">
        <v>-0.53640026818624664</v>
      </c>
      <c r="F31" s="80">
        <v>11.206896551724139</v>
      </c>
      <c r="G31" s="80">
        <v>106.49</v>
      </c>
    </row>
    <row r="32" spans="1:9" x14ac:dyDescent="0.25">
      <c r="A32" s="80">
        <v>8</v>
      </c>
      <c r="B32" s="80">
        <v>112.12770700191446</v>
      </c>
      <c r="C32" s="80">
        <v>-0.16770700191446508</v>
      </c>
      <c r="D32" s="80">
        <v>-2.680890271609656E-2</v>
      </c>
      <c r="F32" s="80">
        <v>12.931034482758621</v>
      </c>
      <c r="G32" s="80">
        <v>106.57</v>
      </c>
    </row>
    <row r="33" spans="1:7" x14ac:dyDescent="0.25">
      <c r="A33" s="80">
        <v>9</v>
      </c>
      <c r="B33" s="80">
        <v>113.32988387429408</v>
      </c>
      <c r="C33" s="80">
        <v>1.940116125705913</v>
      </c>
      <c r="D33" s="80">
        <v>0.31013841925638647</v>
      </c>
      <c r="F33" s="80">
        <v>14.655172413793103</v>
      </c>
      <c r="G33" s="80">
        <v>106.61</v>
      </c>
    </row>
    <row r="34" spans="1:7" x14ac:dyDescent="0.25">
      <c r="A34" s="80">
        <v>10</v>
      </c>
      <c r="B34" s="80">
        <v>113.32988387429408</v>
      </c>
      <c r="C34" s="80">
        <v>3.8401161257059186</v>
      </c>
      <c r="D34" s="80">
        <v>0.61386405133561694</v>
      </c>
      <c r="F34" s="80">
        <v>16.379310344827584</v>
      </c>
      <c r="G34" s="80">
        <v>107.03</v>
      </c>
    </row>
    <row r="35" spans="1:7" x14ac:dyDescent="0.25">
      <c r="A35" s="80">
        <v>11</v>
      </c>
      <c r="B35" s="80">
        <v>113.32988387429408</v>
      </c>
      <c r="C35" s="80">
        <v>4.2801161257059164</v>
      </c>
      <c r="D35" s="80">
        <v>0.68420051350133282</v>
      </c>
      <c r="F35" s="80">
        <v>18.103448275862068</v>
      </c>
      <c r="G35" s="80">
        <v>107.04</v>
      </c>
    </row>
    <row r="36" spans="1:7" x14ac:dyDescent="0.25">
      <c r="A36" s="80">
        <v>12</v>
      </c>
      <c r="B36" s="80">
        <v>112.12770700191446</v>
      </c>
      <c r="C36" s="80">
        <v>5.1322929980855463</v>
      </c>
      <c r="D36" s="80">
        <v>0.82042575518912442</v>
      </c>
      <c r="F36" s="80">
        <v>19.827586206896552</v>
      </c>
      <c r="G36" s="80">
        <v>107.47</v>
      </c>
    </row>
    <row r="37" spans="1:7" x14ac:dyDescent="0.25">
      <c r="A37" s="80">
        <v>13</v>
      </c>
      <c r="B37" s="80">
        <v>112.12770700191446</v>
      </c>
      <c r="C37" s="80">
        <v>3.7522929980855366</v>
      </c>
      <c r="D37" s="80">
        <v>0.59982503294210354</v>
      </c>
      <c r="F37" s="80">
        <v>21.551724137931036</v>
      </c>
      <c r="G37" s="80">
        <v>107.57</v>
      </c>
    </row>
    <row r="38" spans="1:7" x14ac:dyDescent="0.25">
      <c r="A38" s="80">
        <v>14</v>
      </c>
      <c r="B38" s="80">
        <v>110.92553012953483</v>
      </c>
      <c r="C38" s="80">
        <v>2.4244698704651597</v>
      </c>
      <c r="D38" s="80">
        <v>0.38756507571793597</v>
      </c>
      <c r="F38" s="80">
        <v>23.275862068965516</v>
      </c>
      <c r="G38" s="80">
        <v>107.8</v>
      </c>
    </row>
    <row r="39" spans="1:7" x14ac:dyDescent="0.25">
      <c r="A39" s="80">
        <v>15</v>
      </c>
      <c r="B39" s="80">
        <v>109.7233532571552</v>
      </c>
      <c r="C39" s="80">
        <v>1.6666467428448044</v>
      </c>
      <c r="D39" s="80">
        <v>0.26642280811754071</v>
      </c>
      <c r="F39" s="80">
        <v>25</v>
      </c>
      <c r="G39" s="80">
        <v>108.19</v>
      </c>
    </row>
    <row r="40" spans="1:7" x14ac:dyDescent="0.25">
      <c r="A40" s="80">
        <v>16</v>
      </c>
      <c r="B40" s="80">
        <v>110.92553012953483</v>
      </c>
      <c r="C40" s="80">
        <v>-1.1655301295348295</v>
      </c>
      <c r="D40" s="80">
        <v>-0.1863165133159749</v>
      </c>
      <c r="F40" s="80">
        <v>26.72413793103448</v>
      </c>
      <c r="G40" s="80">
        <v>108.36</v>
      </c>
    </row>
    <row r="41" spans="1:7" x14ac:dyDescent="0.25">
      <c r="A41" s="80">
        <v>17</v>
      </c>
      <c r="B41" s="80">
        <v>113.32988387429408</v>
      </c>
      <c r="C41" s="80">
        <v>-3.8298838742940831</v>
      </c>
      <c r="D41" s="80">
        <v>-0.6122283686894836</v>
      </c>
      <c r="F41" s="80">
        <v>28.448275862068964</v>
      </c>
      <c r="G41" s="80">
        <v>108.49</v>
      </c>
    </row>
    <row r="42" spans="1:7" x14ac:dyDescent="0.25">
      <c r="A42" s="80">
        <v>18</v>
      </c>
      <c r="B42" s="80">
        <v>110.92553012953483</v>
      </c>
      <c r="C42" s="80">
        <v>-2.0655301295348352</v>
      </c>
      <c r="D42" s="80">
        <v>-0.33018654956403193</v>
      </c>
      <c r="F42" s="80">
        <v>30.172413793103448</v>
      </c>
      <c r="G42" s="80">
        <v>108.86</v>
      </c>
    </row>
    <row r="43" spans="1:7" x14ac:dyDescent="0.25">
      <c r="A43" s="80">
        <v>19</v>
      </c>
      <c r="B43" s="80">
        <v>112.12770700191446</v>
      </c>
      <c r="C43" s="80">
        <v>-3.6377070019144639</v>
      </c>
      <c r="D43" s="80">
        <v>-0.58150782025026815</v>
      </c>
      <c r="F43" s="80">
        <v>31.896551724137929</v>
      </c>
      <c r="G43" s="80">
        <v>109.5</v>
      </c>
    </row>
    <row r="44" spans="1:7" x14ac:dyDescent="0.25">
      <c r="A44" s="80">
        <v>20</v>
      </c>
      <c r="B44" s="80">
        <v>114.53206074667372</v>
      </c>
      <c r="C44" s="80">
        <v>-6.1720607466737221</v>
      </c>
      <c r="D44" s="80">
        <v>-0.98663844816572499</v>
      </c>
      <c r="F44" s="80">
        <v>33.620689655172406</v>
      </c>
      <c r="G44" s="80">
        <v>109.76</v>
      </c>
    </row>
    <row r="45" spans="1:7" x14ac:dyDescent="0.25">
      <c r="A45" s="80">
        <v>21</v>
      </c>
      <c r="B45" s="80">
        <v>114.53206074667372</v>
      </c>
      <c r="C45" s="80">
        <v>-6.3420607466737238</v>
      </c>
      <c r="D45" s="80">
        <v>-1.0138138994570247</v>
      </c>
      <c r="F45" s="80">
        <v>35.34482758620689</v>
      </c>
      <c r="G45" s="80">
        <v>111.35</v>
      </c>
    </row>
    <row r="46" spans="1:7" x14ac:dyDescent="0.25">
      <c r="A46" s="80">
        <v>22</v>
      </c>
      <c r="B46" s="80">
        <v>116.93641449143297</v>
      </c>
      <c r="C46" s="80">
        <v>-9.1364144914329728</v>
      </c>
      <c r="D46" s="80">
        <v>-1.4605069822885852</v>
      </c>
      <c r="F46" s="80">
        <v>37.068965517241374</v>
      </c>
      <c r="G46" s="80">
        <v>111.39</v>
      </c>
    </row>
    <row r="47" spans="1:7" x14ac:dyDescent="0.25">
      <c r="A47" s="80">
        <v>23</v>
      </c>
      <c r="B47" s="80">
        <v>115.73423761905335</v>
      </c>
      <c r="C47" s="80">
        <v>-8.2642376190533469</v>
      </c>
      <c r="D47" s="80">
        <v>-1.3210846286841709</v>
      </c>
      <c r="F47" s="80">
        <v>38.793103448275858</v>
      </c>
      <c r="G47" s="80">
        <v>111.96</v>
      </c>
    </row>
    <row r="48" spans="1:7" x14ac:dyDescent="0.25">
      <c r="A48" s="80">
        <v>24</v>
      </c>
      <c r="B48" s="80">
        <v>90.488523299081152</v>
      </c>
      <c r="C48" s="80">
        <v>16.541476700918849</v>
      </c>
      <c r="D48" s="80">
        <v>2.6442476139528557</v>
      </c>
      <c r="F48" s="80">
        <v>40.517241379310342</v>
      </c>
      <c r="G48" s="80">
        <v>113.35</v>
      </c>
    </row>
    <row r="49" spans="1:7" x14ac:dyDescent="0.25">
      <c r="A49" s="80">
        <v>25</v>
      </c>
      <c r="B49" s="80">
        <v>116.93641449143297</v>
      </c>
      <c r="C49" s="80">
        <v>-10.326414491432971</v>
      </c>
      <c r="D49" s="80">
        <v>-1.6507351413276812</v>
      </c>
      <c r="F49" s="80">
        <v>42.241379310344826</v>
      </c>
      <c r="G49" s="80">
        <v>115.27</v>
      </c>
    </row>
    <row r="50" spans="1:7" x14ac:dyDescent="0.25">
      <c r="A50" s="80">
        <v>26</v>
      </c>
      <c r="B50" s="80">
        <v>113.32988387429408</v>
      </c>
      <c r="C50" s="80">
        <v>-6.7598838742940899</v>
      </c>
      <c r="D50" s="80">
        <v>-1.0806052644748227</v>
      </c>
      <c r="F50" s="80">
        <v>43.965517241379303</v>
      </c>
      <c r="G50" s="80">
        <v>115.88</v>
      </c>
    </row>
    <row r="51" spans="1:7" x14ac:dyDescent="0.25">
      <c r="A51" s="80">
        <v>27</v>
      </c>
      <c r="B51" s="80">
        <v>112.12770700191446</v>
      </c>
      <c r="C51" s="80">
        <v>-5.6377070019144639</v>
      </c>
      <c r="D51" s="80">
        <v>-0.901219011912615</v>
      </c>
      <c r="F51" s="80">
        <v>45.689655172413786</v>
      </c>
      <c r="G51" s="80">
        <v>117.17</v>
      </c>
    </row>
    <row r="52" spans="1:7" x14ac:dyDescent="0.25">
      <c r="A52" s="80">
        <v>28</v>
      </c>
      <c r="B52" s="80">
        <v>110.92553012953483</v>
      </c>
      <c r="C52" s="80">
        <v>-3.8855301295348283</v>
      </c>
      <c r="D52" s="80">
        <v>-0.62112373397676646</v>
      </c>
      <c r="F52" s="80">
        <v>47.41379310344827</v>
      </c>
      <c r="G52" s="80">
        <v>117.26</v>
      </c>
    </row>
    <row r="53" spans="1:7" x14ac:dyDescent="0.25">
      <c r="A53" s="80">
        <v>29</v>
      </c>
      <c r="B53" s="80">
        <v>110.92553012953483</v>
      </c>
      <c r="C53" s="80">
        <v>0.42446987046515972</v>
      </c>
      <c r="D53" s="80">
        <v>6.7853884055589106E-2</v>
      </c>
      <c r="F53" s="80">
        <v>49.137931034482754</v>
      </c>
      <c r="G53" s="80">
        <v>117.54</v>
      </c>
    </row>
    <row r="54" spans="1:7" x14ac:dyDescent="0.25">
      <c r="A54" s="80">
        <v>30</v>
      </c>
      <c r="B54" s="80">
        <v>112.12770700191446</v>
      </c>
      <c r="C54" s="80">
        <v>5.4122929980855474</v>
      </c>
      <c r="D54" s="80">
        <v>0.86518532202185316</v>
      </c>
      <c r="F54" s="80">
        <v>50.862068965517238</v>
      </c>
      <c r="G54" s="80">
        <v>117.61</v>
      </c>
    </row>
    <row r="55" spans="1:7" x14ac:dyDescent="0.25">
      <c r="A55" s="80">
        <v>31</v>
      </c>
      <c r="B55" s="80">
        <v>112.12770700191446</v>
      </c>
      <c r="C55" s="80">
        <v>10.452292998085539</v>
      </c>
      <c r="D55" s="80">
        <v>1.6708575250109661</v>
      </c>
      <c r="F55" s="80">
        <v>52.586206896551715</v>
      </c>
      <c r="G55" s="80">
        <v>122.58</v>
      </c>
    </row>
    <row r="56" spans="1:7" x14ac:dyDescent="0.25">
      <c r="A56" s="80">
        <v>32</v>
      </c>
      <c r="B56" s="80">
        <v>118.13859136381259</v>
      </c>
      <c r="C56" s="80">
        <v>10.021408636187402</v>
      </c>
      <c r="D56" s="80">
        <v>1.6019782486054044</v>
      </c>
      <c r="F56" s="80">
        <v>54.310344827586199</v>
      </c>
      <c r="G56" s="80">
        <v>128.16</v>
      </c>
    </row>
    <row r="57" spans="1:7" x14ac:dyDescent="0.25">
      <c r="A57" s="80">
        <v>33</v>
      </c>
      <c r="B57" s="80">
        <v>121.74512198095148</v>
      </c>
      <c r="C57" s="80">
        <v>11.114878019048533</v>
      </c>
      <c r="D57" s="80">
        <v>1.7767754483258158</v>
      </c>
      <c r="F57" s="80">
        <v>56.034482758620683</v>
      </c>
      <c r="G57" s="80">
        <v>128.94</v>
      </c>
    </row>
    <row r="58" spans="1:7" x14ac:dyDescent="0.25">
      <c r="A58" s="80">
        <v>34</v>
      </c>
      <c r="B58" s="80">
        <v>125.35165259809037</v>
      </c>
      <c r="C58" s="80">
        <v>9.5683474019096195</v>
      </c>
      <c r="D58" s="80">
        <v>1.5295538750519224</v>
      </c>
      <c r="F58" s="80">
        <v>57.758620689655167</v>
      </c>
      <c r="G58" s="80">
        <v>129.16</v>
      </c>
    </row>
    <row r="59" spans="1:7" x14ac:dyDescent="0.25">
      <c r="A59" s="80">
        <v>35</v>
      </c>
      <c r="B59" s="80">
        <v>131.00188389827463</v>
      </c>
      <c r="C59" s="80">
        <v>4.6981161017253612</v>
      </c>
      <c r="D59" s="80">
        <v>0.7510201487253374</v>
      </c>
      <c r="F59" s="80">
        <v>59.482758620689651</v>
      </c>
      <c r="G59" s="80">
        <v>129.30000000000001</v>
      </c>
    </row>
    <row r="60" spans="1:7" x14ac:dyDescent="0.25">
      <c r="A60" s="80">
        <v>36</v>
      </c>
      <c r="B60" s="80">
        <v>135.44993832607923</v>
      </c>
      <c r="C60" s="80">
        <v>0.69006167392075213</v>
      </c>
      <c r="D60" s="80">
        <v>0.11031022004485874</v>
      </c>
      <c r="F60" s="80">
        <v>61.206896551724128</v>
      </c>
      <c r="G60" s="80">
        <v>130.28</v>
      </c>
    </row>
    <row r="61" spans="1:7" x14ac:dyDescent="0.25">
      <c r="A61" s="80">
        <v>37</v>
      </c>
      <c r="B61" s="80">
        <v>142.54278187311905</v>
      </c>
      <c r="C61" s="80">
        <v>-2.3927818731190484</v>
      </c>
      <c r="D61" s="80">
        <v>-0.38249957202147672</v>
      </c>
      <c r="F61" s="80">
        <v>62.931034482758612</v>
      </c>
      <c r="G61" s="80">
        <v>130.59</v>
      </c>
    </row>
    <row r="62" spans="1:7" x14ac:dyDescent="0.25">
      <c r="A62" s="80">
        <v>38</v>
      </c>
      <c r="B62" s="80">
        <v>134.48819682817555</v>
      </c>
      <c r="C62" s="80">
        <v>5.6018031718244572</v>
      </c>
      <c r="D62" s="80">
        <v>0.89547958376095582</v>
      </c>
      <c r="F62" s="80">
        <v>64.655172413793096</v>
      </c>
      <c r="G62" s="80">
        <v>131.22</v>
      </c>
    </row>
    <row r="63" spans="1:7" x14ac:dyDescent="0.25">
      <c r="A63" s="80">
        <v>39</v>
      </c>
      <c r="B63" s="80">
        <v>132.80514920684408</v>
      </c>
      <c r="C63" s="80">
        <v>6.2948507931559163</v>
      </c>
      <c r="D63" s="80">
        <v>1.0062671242082737</v>
      </c>
      <c r="F63" s="80">
        <v>66.379310344827573</v>
      </c>
      <c r="G63" s="80">
        <v>132.01</v>
      </c>
    </row>
    <row r="64" spans="1:7" x14ac:dyDescent="0.25">
      <c r="A64" s="80">
        <v>40</v>
      </c>
      <c r="B64" s="80">
        <v>131.84340770894036</v>
      </c>
      <c r="C64" s="80">
        <v>5.6565922910596385</v>
      </c>
      <c r="D64" s="80">
        <v>0.90423793106136086</v>
      </c>
      <c r="F64" s="80">
        <v>68.103448275862064</v>
      </c>
      <c r="G64" s="80">
        <v>132.52000000000001</v>
      </c>
    </row>
    <row r="65" spans="1:7" x14ac:dyDescent="0.25">
      <c r="A65" s="80">
        <v>41</v>
      </c>
      <c r="B65" s="80">
        <v>131.00188389827463</v>
      </c>
      <c r="C65" s="80">
        <v>5.1181161017253771</v>
      </c>
      <c r="D65" s="80">
        <v>0.81815949897443274</v>
      </c>
      <c r="F65" s="80">
        <v>69.827586206896541</v>
      </c>
      <c r="G65" s="80">
        <v>132.86000000000001</v>
      </c>
    </row>
    <row r="66" spans="1:7" x14ac:dyDescent="0.25">
      <c r="A66" s="80">
        <v>42</v>
      </c>
      <c r="B66" s="80">
        <v>132.0838430834163</v>
      </c>
      <c r="C66" s="80">
        <v>3.1361569165837011</v>
      </c>
      <c r="D66" s="80">
        <v>0.50133223252054315</v>
      </c>
      <c r="F66" s="80">
        <v>71.551724137931032</v>
      </c>
      <c r="G66" s="80">
        <v>133.72999999999999</v>
      </c>
    </row>
    <row r="67" spans="1:7" x14ac:dyDescent="0.25">
      <c r="A67" s="80">
        <v>43</v>
      </c>
      <c r="B67" s="80">
        <v>132.6849315196061</v>
      </c>
      <c r="C67" s="80">
        <v>2.0450684803938941</v>
      </c>
      <c r="D67" s="80">
        <v>0.32691564044891835</v>
      </c>
      <c r="F67" s="80">
        <v>73.275862068965509</v>
      </c>
      <c r="G67" s="80">
        <v>134.25</v>
      </c>
    </row>
    <row r="68" spans="1:7" x14ac:dyDescent="0.25">
      <c r="A68" s="80">
        <v>44</v>
      </c>
      <c r="B68" s="80">
        <v>132.6849315196061</v>
      </c>
      <c r="C68" s="80">
        <v>1.7050684803938907</v>
      </c>
      <c r="D68" s="80">
        <v>0.27256473786631885</v>
      </c>
      <c r="F68" s="80">
        <v>74.999999999999986</v>
      </c>
      <c r="G68" s="80">
        <v>134.27000000000001</v>
      </c>
    </row>
    <row r="69" spans="1:7" x14ac:dyDescent="0.25">
      <c r="A69" s="80">
        <v>45</v>
      </c>
      <c r="B69" s="80">
        <v>134.12754376646166</v>
      </c>
      <c r="C69" s="80">
        <v>0.3824562335383348</v>
      </c>
      <c r="D69" s="80">
        <v>6.1137769091616924E-2</v>
      </c>
      <c r="F69" s="80">
        <v>76.724137931034477</v>
      </c>
      <c r="G69" s="80">
        <v>134.38999999999999</v>
      </c>
    </row>
    <row r="70" spans="1:7" x14ac:dyDescent="0.25">
      <c r="A70" s="80">
        <v>46</v>
      </c>
      <c r="B70" s="80">
        <v>135.44993832607923</v>
      </c>
      <c r="C70" s="80">
        <v>-0.98993832607922627</v>
      </c>
      <c r="D70" s="80">
        <v>-0.15824718095150916</v>
      </c>
      <c r="F70" s="80">
        <v>78.448275862068954</v>
      </c>
      <c r="G70" s="80">
        <v>134.46</v>
      </c>
    </row>
    <row r="71" spans="1:7" x14ac:dyDescent="0.25">
      <c r="A71" s="80">
        <v>47</v>
      </c>
      <c r="B71" s="80">
        <v>137.13298594741073</v>
      </c>
      <c r="C71" s="80">
        <v>-2.8629859474107207</v>
      </c>
      <c r="D71" s="80">
        <v>-0.4576643244796173</v>
      </c>
      <c r="F71" s="80">
        <v>80.172413793103445</v>
      </c>
      <c r="G71" s="80">
        <v>134.51</v>
      </c>
    </row>
    <row r="72" spans="1:7" x14ac:dyDescent="0.25">
      <c r="A72" s="80">
        <v>48</v>
      </c>
      <c r="B72" s="80">
        <v>138.8160335687422</v>
      </c>
      <c r="C72" s="80">
        <v>-5.0860335687422094</v>
      </c>
      <c r="D72" s="80">
        <v>-0.81303092654863529</v>
      </c>
      <c r="F72" s="80">
        <v>81.896551724137922</v>
      </c>
      <c r="G72" s="80">
        <v>134.72999999999999</v>
      </c>
    </row>
    <row r="73" spans="1:7" x14ac:dyDescent="0.25">
      <c r="A73" s="80">
        <v>49</v>
      </c>
      <c r="B73" s="80">
        <v>140.25864581559776</v>
      </c>
      <c r="C73" s="80">
        <v>-8.2486458155977687</v>
      </c>
      <c r="D73" s="80">
        <v>-1.3185921916526968</v>
      </c>
      <c r="F73" s="80">
        <v>83.620689655172413</v>
      </c>
      <c r="G73" s="80">
        <v>134.91999999999999</v>
      </c>
    </row>
    <row r="74" spans="1:7" x14ac:dyDescent="0.25">
      <c r="A74" s="80">
        <v>50</v>
      </c>
      <c r="B74" s="80">
        <v>137.97450975807647</v>
      </c>
      <c r="C74" s="80">
        <v>-7.3845097580764616</v>
      </c>
      <c r="D74" s="80">
        <v>-1.1804552072984271</v>
      </c>
      <c r="F74" s="80">
        <v>85.34482758620689</v>
      </c>
      <c r="G74" s="80">
        <v>135.22</v>
      </c>
    </row>
    <row r="75" spans="1:7" x14ac:dyDescent="0.25">
      <c r="A75" s="80">
        <v>51</v>
      </c>
      <c r="B75" s="80">
        <v>136.41167982398295</v>
      </c>
      <c r="C75" s="80">
        <v>-6.1316798239829495</v>
      </c>
      <c r="D75" s="80">
        <v>-0.98018333170877903</v>
      </c>
      <c r="F75" s="80">
        <v>87.068965517241367</v>
      </c>
      <c r="G75" s="80">
        <v>135.69999999999999</v>
      </c>
    </row>
    <row r="76" spans="1:7" x14ac:dyDescent="0.25">
      <c r="A76" s="80">
        <v>52</v>
      </c>
      <c r="B76" s="80">
        <v>134.72863220265145</v>
      </c>
      <c r="C76" s="80">
        <v>-5.5686322026514574</v>
      </c>
      <c r="D76" s="80">
        <v>-0.89017701871950838</v>
      </c>
      <c r="F76" s="80">
        <v>88.793103448275858</v>
      </c>
      <c r="G76" s="80">
        <v>136.06</v>
      </c>
    </row>
    <row r="77" spans="1:7" x14ac:dyDescent="0.25">
      <c r="A77" s="80">
        <v>53</v>
      </c>
      <c r="B77" s="80">
        <v>130.28057777484685</v>
      </c>
      <c r="C77" s="80">
        <v>-1.3405777748468495</v>
      </c>
      <c r="D77" s="80">
        <v>-0.21429885895617179</v>
      </c>
      <c r="F77" s="80">
        <v>90.517241379310335</v>
      </c>
      <c r="G77" s="80">
        <v>136.12</v>
      </c>
    </row>
    <row r="78" spans="1:7" x14ac:dyDescent="0.25">
      <c r="A78" s="80">
        <v>54</v>
      </c>
      <c r="B78" s="80">
        <v>128.83796552799129</v>
      </c>
      <c r="C78" s="80">
        <v>0.46203447200872461</v>
      </c>
      <c r="D78" s="80">
        <v>7.3858795817496298E-2</v>
      </c>
      <c r="F78" s="80">
        <v>92.241379310344826</v>
      </c>
      <c r="G78" s="80">
        <v>136.13999999999999</v>
      </c>
    </row>
    <row r="79" spans="1:7" x14ac:dyDescent="0.25">
      <c r="A79" s="80">
        <v>55</v>
      </c>
      <c r="B79" s="80">
        <v>126.43361178323204</v>
      </c>
      <c r="C79" s="80">
        <v>4.7863882167679606</v>
      </c>
      <c r="D79" s="80">
        <v>0.76513094027075002</v>
      </c>
      <c r="F79" s="80">
        <v>93.965517241379303</v>
      </c>
      <c r="G79" s="80">
        <v>137.5</v>
      </c>
    </row>
    <row r="80" spans="1:7" x14ac:dyDescent="0.25">
      <c r="A80" s="80">
        <v>56</v>
      </c>
      <c r="B80" s="80">
        <v>127.03470021942185</v>
      </c>
      <c r="C80" s="80">
        <v>5.4852997805781598</v>
      </c>
      <c r="D80" s="80">
        <v>0.87685586473692656</v>
      </c>
      <c r="F80" s="80">
        <v>95.689655172413779</v>
      </c>
      <c r="G80" s="80">
        <v>139.1</v>
      </c>
    </row>
    <row r="81" spans="1:7" x14ac:dyDescent="0.25">
      <c r="A81" s="80">
        <v>57</v>
      </c>
      <c r="B81" s="80">
        <v>125.47187028532834</v>
      </c>
      <c r="C81" s="80">
        <v>8.7781297146716639</v>
      </c>
      <c r="D81" s="80">
        <v>1.4032331558221673</v>
      </c>
      <c r="F81" s="80">
        <v>97.41379310344827</v>
      </c>
      <c r="G81" s="80">
        <v>140.09</v>
      </c>
    </row>
    <row r="82" spans="1:7" ht="15.75" thickBot="1" x14ac:dyDescent="0.3">
      <c r="A82" s="81">
        <v>58</v>
      </c>
      <c r="B82" s="81">
        <v>125.2314349108524</v>
      </c>
      <c r="C82" s="81">
        <v>10.828565089147602</v>
      </c>
      <c r="D82" s="81">
        <v>1.7310067243223335</v>
      </c>
      <c r="F82" s="81">
        <v>99.137931034482747</v>
      </c>
      <c r="G82" s="81">
        <v>140.15</v>
      </c>
    </row>
  </sheetData>
  <sortState ref="G25:G82">
    <sortCondition ref="G25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zoomScaleNormal="100" workbookViewId="0">
      <selection activeCell="C7" sqref="C7"/>
    </sheetView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83" t="s">
        <v>22</v>
      </c>
      <c r="B3" s="83"/>
    </row>
    <row r="4" spans="1:9" x14ac:dyDescent="0.25">
      <c r="A4" s="80" t="s">
        <v>23</v>
      </c>
      <c r="B4" s="80">
        <v>0.77507266297164867</v>
      </c>
    </row>
    <row r="5" spans="1:9" x14ac:dyDescent="0.25">
      <c r="A5" s="80" t="s">
        <v>24</v>
      </c>
      <c r="B5" s="80">
        <v>0.60073763288596294</v>
      </c>
    </row>
    <row r="6" spans="1:9" x14ac:dyDescent="0.25">
      <c r="A6" s="80" t="s">
        <v>25</v>
      </c>
      <c r="B6" s="80">
        <v>0.59360794775892656</v>
      </c>
    </row>
    <row r="7" spans="1:9" x14ac:dyDescent="0.25">
      <c r="A7" s="80" t="s">
        <v>26</v>
      </c>
      <c r="B7" s="80">
        <v>8.3212597334681178</v>
      </c>
    </row>
    <row r="8" spans="1:9" ht="15.75" thickBot="1" x14ac:dyDescent="0.3">
      <c r="A8" s="81" t="s">
        <v>27</v>
      </c>
      <c r="B8" s="81">
        <v>58</v>
      </c>
    </row>
    <row r="10" spans="1:9" ht="15.75" thickBot="1" x14ac:dyDescent="0.3">
      <c r="A10" t="s">
        <v>28</v>
      </c>
    </row>
    <row r="11" spans="1:9" x14ac:dyDescent="0.25">
      <c r="A11" s="82"/>
      <c r="B11" s="82" t="s">
        <v>33</v>
      </c>
      <c r="C11" s="82" t="s">
        <v>34</v>
      </c>
      <c r="D11" s="82" t="s">
        <v>35</v>
      </c>
      <c r="E11" s="82" t="s">
        <v>36</v>
      </c>
      <c r="F11" s="82" t="s">
        <v>37</v>
      </c>
    </row>
    <row r="12" spans="1:9" x14ac:dyDescent="0.25">
      <c r="A12" s="80" t="s">
        <v>29</v>
      </c>
      <c r="B12" s="80">
        <v>1</v>
      </c>
      <c r="C12" s="80">
        <v>5834.3522290281117</v>
      </c>
      <c r="D12" s="80">
        <v>5834.3522290281117</v>
      </c>
      <c r="E12" s="80">
        <v>84.25864847914734</v>
      </c>
      <c r="F12" s="80">
        <v>9.2672968804549356E-13</v>
      </c>
    </row>
    <row r="13" spans="1:9" x14ac:dyDescent="0.25">
      <c r="A13" s="80" t="s">
        <v>30</v>
      </c>
      <c r="B13" s="80">
        <v>56</v>
      </c>
      <c r="C13" s="80">
        <v>3877.6283589029217</v>
      </c>
      <c r="D13" s="80">
        <v>69.243363551837888</v>
      </c>
      <c r="E13" s="80"/>
      <c r="F13" s="80"/>
    </row>
    <row r="14" spans="1:9" ht="15.75" thickBot="1" x14ac:dyDescent="0.3">
      <c r="A14" s="81" t="s">
        <v>31</v>
      </c>
      <c r="B14" s="81">
        <v>57</v>
      </c>
      <c r="C14" s="81">
        <v>9711.9805879310334</v>
      </c>
      <c r="D14" s="81"/>
      <c r="E14" s="81"/>
      <c r="F14" s="81"/>
    </row>
    <row r="15" spans="1:9" ht="15.75" thickBot="1" x14ac:dyDescent="0.3"/>
    <row r="16" spans="1:9" x14ac:dyDescent="0.25">
      <c r="A16" s="82"/>
      <c r="B16" s="82" t="s">
        <v>38</v>
      </c>
      <c r="C16" s="82" t="s">
        <v>26</v>
      </c>
      <c r="D16" s="82" t="s">
        <v>39</v>
      </c>
      <c r="E16" s="82" t="s">
        <v>40</v>
      </c>
      <c r="F16" s="82" t="s">
        <v>41</v>
      </c>
      <c r="G16" s="82" t="s">
        <v>42</v>
      </c>
      <c r="H16" s="82" t="s">
        <v>569</v>
      </c>
      <c r="I16" s="82" t="s">
        <v>570</v>
      </c>
    </row>
    <row r="17" spans="1:9" x14ac:dyDescent="0.25">
      <c r="A17" s="80" t="s">
        <v>32</v>
      </c>
      <c r="B17" s="80">
        <v>65.221251738715239</v>
      </c>
      <c r="C17" s="80">
        <v>6.1650613080155612</v>
      </c>
      <c r="D17" s="80">
        <v>10.579173260437367</v>
      </c>
      <c r="E17" s="80">
        <v>5.7122794023735853E-15</v>
      </c>
      <c r="F17" s="80">
        <v>52.871149892304942</v>
      </c>
      <c r="G17" s="80">
        <v>77.571353585125536</v>
      </c>
      <c r="H17" s="80">
        <v>52.871149892304942</v>
      </c>
      <c r="I17" s="80">
        <v>77.571353585125536</v>
      </c>
    </row>
    <row r="18" spans="1:9" ht="15.75" thickBot="1" x14ac:dyDescent="0.3">
      <c r="A18" s="81" t="s">
        <v>691</v>
      </c>
      <c r="B18" s="81">
        <v>1.4204311658909613E-2</v>
      </c>
      <c r="C18" s="81">
        <v>1.547436898299592E-3</v>
      </c>
      <c r="D18" s="81">
        <v>9.1792509759319341</v>
      </c>
      <c r="E18" s="81">
        <v>9.2672968804548366E-13</v>
      </c>
      <c r="F18" s="81">
        <v>1.1104423054388217E-2</v>
      </c>
      <c r="G18" s="81">
        <v>1.7304200263431012E-2</v>
      </c>
      <c r="H18" s="81">
        <v>1.1104423054388217E-2</v>
      </c>
      <c r="I18" s="81">
        <v>1.7304200263431012E-2</v>
      </c>
    </row>
    <row r="22" spans="1:9" x14ac:dyDescent="0.25">
      <c r="A22" t="s">
        <v>57</v>
      </c>
      <c r="F22" t="s">
        <v>61</v>
      </c>
    </row>
    <row r="23" spans="1:9" ht="15.75" thickBot="1" x14ac:dyDescent="0.3"/>
    <row r="24" spans="1:9" x14ac:dyDescent="0.25">
      <c r="A24" s="82" t="s">
        <v>58</v>
      </c>
      <c r="B24" s="82" t="s">
        <v>651</v>
      </c>
      <c r="C24" s="82" t="s">
        <v>59</v>
      </c>
      <c r="D24" s="82" t="s">
        <v>60</v>
      </c>
      <c r="F24" s="82" t="s">
        <v>62</v>
      </c>
      <c r="G24" s="82" t="s">
        <v>48</v>
      </c>
    </row>
    <row r="25" spans="1:9" x14ac:dyDescent="0.25">
      <c r="A25" s="80">
        <v>1</v>
      </c>
      <c r="B25" s="80">
        <v>103.71536246371005</v>
      </c>
      <c r="C25" s="80">
        <v>-1.3953624637100575</v>
      </c>
      <c r="D25" s="80">
        <v>-0.16917702062286</v>
      </c>
      <c r="F25" s="80">
        <v>0.86206896551724133</v>
      </c>
      <c r="G25" s="80">
        <v>102.06</v>
      </c>
    </row>
    <row r="26" spans="1:9" x14ac:dyDescent="0.25">
      <c r="A26" s="80">
        <v>2</v>
      </c>
      <c r="B26" s="80">
        <v>105.03068172332509</v>
      </c>
      <c r="C26" s="80">
        <v>-2.8206817233250945</v>
      </c>
      <c r="D26" s="80">
        <v>-0.34198607350287019</v>
      </c>
      <c r="F26" s="80">
        <v>2.5862068965517242</v>
      </c>
      <c r="G26" s="80">
        <v>102.16</v>
      </c>
    </row>
    <row r="27" spans="1:9" x14ac:dyDescent="0.25">
      <c r="A27" s="80">
        <v>3</v>
      </c>
      <c r="B27" s="80">
        <v>104.12984427791704</v>
      </c>
      <c r="C27" s="80">
        <v>-1.9698442779170477</v>
      </c>
      <c r="D27" s="80">
        <v>-0.23882854433601972</v>
      </c>
      <c r="F27" s="80">
        <v>4.3103448275862064</v>
      </c>
      <c r="G27" s="80">
        <v>102.21</v>
      </c>
    </row>
    <row r="28" spans="1:9" x14ac:dyDescent="0.25">
      <c r="A28" s="80">
        <v>4</v>
      </c>
      <c r="B28" s="80">
        <v>114.76248177019383</v>
      </c>
      <c r="C28" s="80">
        <v>-12.702481770193828</v>
      </c>
      <c r="D28" s="80">
        <v>-1.5400787080682992</v>
      </c>
      <c r="F28" s="80">
        <v>6.0344827586206895</v>
      </c>
      <c r="G28" s="80">
        <v>102.32</v>
      </c>
    </row>
    <row r="29" spans="1:9" x14ac:dyDescent="0.25">
      <c r="A29" s="80">
        <v>5</v>
      </c>
      <c r="B29" s="80">
        <v>102.85131418549858</v>
      </c>
      <c r="C29" s="80">
        <v>-0.30131418549858324</v>
      </c>
      <c r="D29" s="80">
        <v>-3.6532039165306278E-2</v>
      </c>
      <c r="F29" s="80">
        <v>7.7586206896551717</v>
      </c>
      <c r="G29" s="80">
        <v>102.55</v>
      </c>
    </row>
    <row r="30" spans="1:9" x14ac:dyDescent="0.25">
      <c r="A30" s="80">
        <v>6</v>
      </c>
      <c r="B30" s="80">
        <v>102.79989457729333</v>
      </c>
      <c r="C30" s="80">
        <v>1.5501054227066646</v>
      </c>
      <c r="D30" s="80">
        <v>0.18793842022064303</v>
      </c>
      <c r="F30" s="80">
        <v>9.4827586206896548</v>
      </c>
      <c r="G30" s="80">
        <v>104.35</v>
      </c>
    </row>
    <row r="31" spans="1:9" x14ac:dyDescent="0.25">
      <c r="A31" s="80">
        <v>7</v>
      </c>
      <c r="B31" s="80">
        <v>108.93658334329206</v>
      </c>
      <c r="C31" s="80">
        <v>-1.3665833432920635</v>
      </c>
      <c r="D31" s="80">
        <v>-0.16568777250626854</v>
      </c>
      <c r="F31" s="80">
        <v>11.206896551724139</v>
      </c>
      <c r="G31" s="80">
        <v>106.49</v>
      </c>
    </row>
    <row r="32" spans="1:9" x14ac:dyDescent="0.25">
      <c r="A32" s="80">
        <v>8</v>
      </c>
      <c r="B32" s="80">
        <v>109.2408396990259</v>
      </c>
      <c r="C32" s="80">
        <v>2.7191603009740959</v>
      </c>
      <c r="D32" s="80">
        <v>0.32967737794209745</v>
      </c>
      <c r="F32" s="80">
        <v>12.931034482758621</v>
      </c>
      <c r="G32" s="80">
        <v>106.57</v>
      </c>
    </row>
    <row r="33" spans="1:7" x14ac:dyDescent="0.25">
      <c r="A33" s="80">
        <v>9</v>
      </c>
      <c r="B33" s="80">
        <v>111.80983150565629</v>
      </c>
      <c r="C33" s="80">
        <v>3.460168494343705</v>
      </c>
      <c r="D33" s="80">
        <v>0.41951895077478008</v>
      </c>
      <c r="F33" s="80">
        <v>14.655172413793103</v>
      </c>
      <c r="G33" s="80">
        <v>106.61</v>
      </c>
    </row>
    <row r="34" spans="1:7" x14ac:dyDescent="0.25">
      <c r="A34" s="80">
        <v>10</v>
      </c>
      <c r="B34" s="80">
        <v>109.08345592584519</v>
      </c>
      <c r="C34" s="80">
        <v>8.0865440741548156</v>
      </c>
      <c r="D34" s="80">
        <v>0.98043158618693094</v>
      </c>
      <c r="F34" s="80">
        <v>16.379310344827584</v>
      </c>
      <c r="G34" s="80">
        <v>107.03</v>
      </c>
    </row>
    <row r="35" spans="1:7" x14ac:dyDescent="0.25">
      <c r="A35" s="80">
        <v>11</v>
      </c>
      <c r="B35" s="80">
        <v>107.9042139719225</v>
      </c>
      <c r="C35" s="80">
        <v>9.7057860280774975</v>
      </c>
      <c r="D35" s="80">
        <v>1.1767522817457154</v>
      </c>
      <c r="F35" s="80">
        <v>18.103448275862068</v>
      </c>
      <c r="G35" s="80">
        <v>107.04</v>
      </c>
    </row>
    <row r="36" spans="1:7" x14ac:dyDescent="0.25">
      <c r="A36" s="80">
        <v>12</v>
      </c>
      <c r="B36" s="80">
        <v>105.47144151410106</v>
      </c>
      <c r="C36" s="80">
        <v>11.788558485898946</v>
      </c>
      <c r="D36" s="80">
        <v>1.4292725037049041</v>
      </c>
      <c r="F36" s="80">
        <v>19.827586206896552</v>
      </c>
      <c r="G36" s="80">
        <v>107.47</v>
      </c>
    </row>
    <row r="37" spans="1:7" x14ac:dyDescent="0.25">
      <c r="A37" s="80">
        <v>13</v>
      </c>
      <c r="B37" s="80">
        <v>115.42766968518058</v>
      </c>
      <c r="C37" s="80">
        <v>0.45233031481942021</v>
      </c>
      <c r="D37" s="80">
        <v>5.4841589184708585E-2</v>
      </c>
      <c r="F37" s="80">
        <v>21.551724137931036</v>
      </c>
      <c r="G37" s="80">
        <v>107.57</v>
      </c>
    </row>
    <row r="38" spans="1:7" x14ac:dyDescent="0.25">
      <c r="A38" s="80">
        <v>14</v>
      </c>
      <c r="B38" s="80">
        <v>115.19741779318964</v>
      </c>
      <c r="C38" s="80">
        <v>-1.8474177931896492</v>
      </c>
      <c r="D38" s="80">
        <v>-0.22398526993945755</v>
      </c>
      <c r="F38" s="80">
        <v>23.275862068965516</v>
      </c>
      <c r="G38" s="80">
        <v>107.8</v>
      </c>
    </row>
    <row r="39" spans="1:7" x14ac:dyDescent="0.25">
      <c r="A39" s="80">
        <v>15</v>
      </c>
      <c r="B39" s="80">
        <v>116.1554986145831</v>
      </c>
      <c r="C39" s="80">
        <v>-4.7654986145830946</v>
      </c>
      <c r="D39" s="80">
        <v>-0.57778023873018414</v>
      </c>
      <c r="F39" s="80">
        <v>25</v>
      </c>
      <c r="G39" s="80">
        <v>108.19</v>
      </c>
    </row>
    <row r="40" spans="1:7" x14ac:dyDescent="0.25">
      <c r="A40" s="80">
        <v>16</v>
      </c>
      <c r="B40" s="80">
        <v>110.46525136402391</v>
      </c>
      <c r="C40" s="80">
        <v>-0.70525136402390842</v>
      </c>
      <c r="D40" s="80">
        <v>-8.5506330905978006E-2</v>
      </c>
      <c r="F40" s="80">
        <v>26.72413793103448</v>
      </c>
      <c r="G40" s="80">
        <v>108.36</v>
      </c>
    </row>
    <row r="41" spans="1:7" x14ac:dyDescent="0.25">
      <c r="A41" s="80">
        <v>17</v>
      </c>
      <c r="B41" s="80">
        <v>113.5916203601499</v>
      </c>
      <c r="C41" s="80">
        <v>-4.0916203601499035</v>
      </c>
      <c r="D41" s="80">
        <v>-0.49607765727731951</v>
      </c>
      <c r="F41" s="80">
        <v>28.448275862068964</v>
      </c>
      <c r="G41" s="80">
        <v>108.49</v>
      </c>
    </row>
    <row r="42" spans="1:7" x14ac:dyDescent="0.25">
      <c r="A42" s="80">
        <v>18</v>
      </c>
      <c r="B42" s="80">
        <v>113.100719349218</v>
      </c>
      <c r="C42" s="80">
        <v>-4.2407193492179971</v>
      </c>
      <c r="D42" s="80">
        <v>-0.51415476871211707</v>
      </c>
      <c r="F42" s="80">
        <v>30.172413793103448</v>
      </c>
      <c r="G42" s="80">
        <v>108.86</v>
      </c>
    </row>
    <row r="43" spans="1:7" x14ac:dyDescent="0.25">
      <c r="A43" s="80">
        <v>19</v>
      </c>
      <c r="B43" s="80">
        <v>119.05090550313523</v>
      </c>
      <c r="C43" s="80">
        <v>-10.560905503135231</v>
      </c>
      <c r="D43" s="80">
        <v>-1.2804289742390802</v>
      </c>
      <c r="F43" s="80">
        <v>31.896551724137929</v>
      </c>
      <c r="G43" s="80">
        <v>109.5</v>
      </c>
    </row>
    <row r="44" spans="1:7" x14ac:dyDescent="0.25">
      <c r="A44" s="80">
        <v>20</v>
      </c>
      <c r="B44" s="80">
        <v>119.8172281171334</v>
      </c>
      <c r="C44" s="80">
        <v>-11.457228117133397</v>
      </c>
      <c r="D44" s="80">
        <v>-1.3891012320192724</v>
      </c>
      <c r="F44" s="80">
        <v>33.620689655172406</v>
      </c>
      <c r="G44" s="80">
        <v>109.76</v>
      </c>
    </row>
    <row r="45" spans="1:7" x14ac:dyDescent="0.25">
      <c r="A45" s="80">
        <v>21</v>
      </c>
      <c r="B45" s="80">
        <v>119.72319557395141</v>
      </c>
      <c r="C45" s="80">
        <v>-11.533195573951417</v>
      </c>
      <c r="D45" s="80">
        <v>-1.3983117048125544</v>
      </c>
      <c r="F45" s="80">
        <v>35.34482758620689</v>
      </c>
      <c r="G45" s="80">
        <v>111.35</v>
      </c>
    </row>
    <row r="46" spans="1:7" x14ac:dyDescent="0.25">
      <c r="A46" s="80">
        <v>22</v>
      </c>
      <c r="B46" s="80">
        <v>117.40164287641923</v>
      </c>
      <c r="C46" s="80">
        <v>-9.6016428764192341</v>
      </c>
      <c r="D46" s="80">
        <v>-1.1641257215693908</v>
      </c>
      <c r="F46" s="80">
        <v>37.068965517241374</v>
      </c>
      <c r="G46" s="80">
        <v>111.39</v>
      </c>
    </row>
    <row r="47" spans="1:7" x14ac:dyDescent="0.25">
      <c r="A47" s="80">
        <v>23</v>
      </c>
      <c r="B47" s="80">
        <v>114.8724231424338</v>
      </c>
      <c r="C47" s="80">
        <v>-7.4024231424338041</v>
      </c>
      <c r="D47" s="80">
        <v>-0.89748715849567207</v>
      </c>
      <c r="F47" s="80">
        <v>38.793103448275858</v>
      </c>
      <c r="G47" s="80">
        <v>111.96</v>
      </c>
    </row>
    <row r="48" spans="1:7" x14ac:dyDescent="0.25">
      <c r="A48" s="80">
        <v>24</v>
      </c>
      <c r="B48" s="80">
        <v>115.20238930227026</v>
      </c>
      <c r="C48" s="80">
        <v>-8.1723893022702612</v>
      </c>
      <c r="D48" s="80">
        <v>-0.9908396631597387</v>
      </c>
      <c r="F48" s="80">
        <v>40.517241379310342</v>
      </c>
      <c r="G48" s="80">
        <v>113.35</v>
      </c>
    </row>
    <row r="49" spans="1:7" x14ac:dyDescent="0.25">
      <c r="A49" s="80">
        <v>25</v>
      </c>
      <c r="B49" s="80">
        <v>117.27948579615261</v>
      </c>
      <c r="C49" s="80">
        <v>-10.669485796152614</v>
      </c>
      <c r="D49" s="80">
        <v>-1.2935935038496853</v>
      </c>
      <c r="F49" s="80">
        <v>42.241379310344826</v>
      </c>
      <c r="G49" s="80">
        <v>115.27</v>
      </c>
    </row>
    <row r="50" spans="1:7" x14ac:dyDescent="0.25">
      <c r="A50" s="80">
        <v>26</v>
      </c>
      <c r="B50" s="80">
        <v>117.42323343014078</v>
      </c>
      <c r="C50" s="80">
        <v>-10.85323343014079</v>
      </c>
      <c r="D50" s="80">
        <v>-1.3158714983300348</v>
      </c>
      <c r="F50" s="80">
        <v>43.965517241379303</v>
      </c>
      <c r="G50" s="80">
        <v>115.88</v>
      </c>
    </row>
    <row r="51" spans="1:7" x14ac:dyDescent="0.25">
      <c r="A51" s="80">
        <v>27</v>
      </c>
      <c r="B51" s="80">
        <v>116.51160070787196</v>
      </c>
      <c r="C51" s="80">
        <v>-10.021600707871968</v>
      </c>
      <c r="D51" s="80">
        <v>-1.2150423948784226</v>
      </c>
      <c r="F51" s="80">
        <v>45.689655172413786</v>
      </c>
      <c r="G51" s="80">
        <v>117.17</v>
      </c>
    </row>
    <row r="52" spans="1:7" x14ac:dyDescent="0.25">
      <c r="A52" s="80">
        <v>28</v>
      </c>
      <c r="B52" s="80">
        <v>120.87573342195535</v>
      </c>
      <c r="C52" s="80">
        <v>-13.835733421955339</v>
      </c>
      <c r="D52" s="80">
        <v>-1.6774767985624297</v>
      </c>
      <c r="F52" s="80">
        <v>47.41379310344827</v>
      </c>
      <c r="G52" s="80">
        <v>117.26</v>
      </c>
    </row>
    <row r="53" spans="1:7" x14ac:dyDescent="0.25">
      <c r="A53" s="80">
        <v>29</v>
      </c>
      <c r="B53" s="80">
        <v>120.5727554542708</v>
      </c>
      <c r="C53" s="80">
        <v>-9.2227554542708106</v>
      </c>
      <c r="D53" s="80">
        <v>-1.1181885210945288</v>
      </c>
      <c r="F53" s="80">
        <v>49.137931034482754</v>
      </c>
      <c r="G53" s="80">
        <v>117.54</v>
      </c>
    </row>
    <row r="54" spans="1:7" x14ac:dyDescent="0.25">
      <c r="A54" s="80">
        <v>30</v>
      </c>
      <c r="B54" s="80">
        <v>121.97500510123837</v>
      </c>
      <c r="C54" s="80">
        <v>-4.4350051012383602</v>
      </c>
      <c r="D54" s="80">
        <v>-0.53771042936023572</v>
      </c>
      <c r="F54" s="80">
        <v>50.862068965517238</v>
      </c>
      <c r="G54" s="80">
        <v>117.61</v>
      </c>
    </row>
    <row r="55" spans="1:7" x14ac:dyDescent="0.25">
      <c r="A55" s="80">
        <v>31</v>
      </c>
      <c r="B55" s="80">
        <v>122.11733230406065</v>
      </c>
      <c r="C55" s="80">
        <v>0.46266769593934498</v>
      </c>
      <c r="D55" s="80">
        <v>5.609491753801827E-2</v>
      </c>
      <c r="F55" s="80">
        <v>52.586206896551715</v>
      </c>
      <c r="G55" s="80">
        <v>122.58</v>
      </c>
    </row>
    <row r="56" spans="1:7" x14ac:dyDescent="0.25">
      <c r="A56" s="80">
        <v>32</v>
      </c>
      <c r="B56" s="80">
        <v>123.29245500760223</v>
      </c>
      <c r="C56" s="80">
        <v>4.8675449923977681</v>
      </c>
      <c r="D56" s="80">
        <v>0.59015258112367175</v>
      </c>
      <c r="F56" s="80">
        <v>54.310344827586199</v>
      </c>
      <c r="G56" s="80">
        <v>128.16</v>
      </c>
    </row>
    <row r="57" spans="1:7" x14ac:dyDescent="0.25">
      <c r="A57" s="80">
        <v>33</v>
      </c>
      <c r="B57" s="80">
        <v>121.22842648044607</v>
      </c>
      <c r="C57" s="80">
        <v>11.631573519553939</v>
      </c>
      <c r="D57" s="80">
        <v>1.4102392778732347</v>
      </c>
      <c r="F57" s="80">
        <v>56.034482758620683</v>
      </c>
      <c r="G57" s="80">
        <v>128.94</v>
      </c>
    </row>
    <row r="58" spans="1:7" x14ac:dyDescent="0.25">
      <c r="A58" s="80">
        <v>34</v>
      </c>
      <c r="B58" s="80">
        <v>117.31570679088284</v>
      </c>
      <c r="C58" s="80">
        <v>17.604293209117145</v>
      </c>
      <c r="D58" s="80">
        <v>2.1343858336069839</v>
      </c>
      <c r="F58" s="80">
        <v>57.758620689655167</v>
      </c>
      <c r="G58" s="80">
        <v>129.16</v>
      </c>
    </row>
    <row r="59" spans="1:7" x14ac:dyDescent="0.25">
      <c r="A59" s="80">
        <v>35</v>
      </c>
      <c r="B59" s="80">
        <v>121.06223603403683</v>
      </c>
      <c r="C59" s="80">
        <v>14.63776396596316</v>
      </c>
      <c r="D59" s="80">
        <v>1.7747168644324893</v>
      </c>
      <c r="F59" s="80">
        <v>59.482758620689651</v>
      </c>
      <c r="G59" s="80">
        <v>129.30000000000001</v>
      </c>
    </row>
    <row r="60" spans="1:7" x14ac:dyDescent="0.25">
      <c r="A60" s="80">
        <v>36</v>
      </c>
      <c r="B60" s="80">
        <v>120.30230536028517</v>
      </c>
      <c r="C60" s="80">
        <v>15.837694639714812</v>
      </c>
      <c r="D60" s="80">
        <v>1.920199276077373</v>
      </c>
      <c r="F60" s="80">
        <v>61.206896551724128</v>
      </c>
      <c r="G60" s="80">
        <v>130.28</v>
      </c>
    </row>
    <row r="61" spans="1:7" x14ac:dyDescent="0.25">
      <c r="A61" s="80">
        <v>37</v>
      </c>
      <c r="B61" s="80">
        <v>121.52614885281682</v>
      </c>
      <c r="C61" s="80">
        <v>18.623851147183188</v>
      </c>
      <c r="D61" s="80">
        <v>2.2579994313640754</v>
      </c>
      <c r="F61" s="80">
        <v>62.931034482758612</v>
      </c>
      <c r="G61" s="80">
        <v>130.59</v>
      </c>
    </row>
    <row r="62" spans="1:7" x14ac:dyDescent="0.25">
      <c r="A62" s="80">
        <v>38</v>
      </c>
      <c r="B62" s="80">
        <v>124.84995778100168</v>
      </c>
      <c r="C62" s="80">
        <v>15.240042218998326</v>
      </c>
      <c r="D62" s="80">
        <v>1.8477384936395098</v>
      </c>
      <c r="F62" s="80">
        <v>64.655172413793096</v>
      </c>
      <c r="G62" s="80">
        <v>131.22</v>
      </c>
    </row>
    <row r="63" spans="1:7" x14ac:dyDescent="0.25">
      <c r="A63" s="80">
        <v>39</v>
      </c>
      <c r="B63" s="80">
        <v>127.79181276867844</v>
      </c>
      <c r="C63" s="80">
        <v>11.308187231321554</v>
      </c>
      <c r="D63" s="80">
        <v>1.3710311651596563</v>
      </c>
      <c r="F63" s="80">
        <v>66.379310344827573</v>
      </c>
      <c r="G63" s="80">
        <v>132.01</v>
      </c>
    </row>
    <row r="64" spans="1:7" x14ac:dyDescent="0.25">
      <c r="A64" s="80">
        <v>40</v>
      </c>
      <c r="B64" s="80">
        <v>127.83030645327409</v>
      </c>
      <c r="C64" s="80">
        <v>9.6696935467259095</v>
      </c>
      <c r="D64" s="80">
        <v>1.1723763445818958</v>
      </c>
      <c r="F64" s="80">
        <v>68.103448275862064</v>
      </c>
      <c r="G64" s="80">
        <v>132.52000000000001</v>
      </c>
    </row>
    <row r="65" spans="1:7" x14ac:dyDescent="0.25">
      <c r="A65" s="80">
        <v>41</v>
      </c>
      <c r="B65" s="80">
        <v>128.43398969877774</v>
      </c>
      <c r="C65" s="80">
        <v>7.686010301222268</v>
      </c>
      <c r="D65" s="80">
        <v>0.93186993132960094</v>
      </c>
      <c r="F65" s="80">
        <v>69.827586206896541</v>
      </c>
      <c r="G65" s="80">
        <v>132.86000000000001</v>
      </c>
    </row>
    <row r="66" spans="1:7" x14ac:dyDescent="0.25">
      <c r="A66" s="80">
        <v>42</v>
      </c>
      <c r="B66" s="80">
        <v>128.2079991002845</v>
      </c>
      <c r="C66" s="80">
        <v>7.0120008997155026</v>
      </c>
      <c r="D66" s="80">
        <v>0.85015144929767694</v>
      </c>
      <c r="F66" s="80">
        <v>71.551724137931032</v>
      </c>
      <c r="G66" s="80">
        <v>133.72999999999999</v>
      </c>
    </row>
    <row r="67" spans="1:7" x14ac:dyDescent="0.25">
      <c r="A67" s="80">
        <v>43</v>
      </c>
      <c r="B67" s="80">
        <v>132.9560743585082</v>
      </c>
      <c r="C67" s="80">
        <v>1.7739256414917861</v>
      </c>
      <c r="D67" s="80">
        <v>0.21507490894956124</v>
      </c>
      <c r="F67" s="80">
        <v>73.275862068965509</v>
      </c>
      <c r="G67" s="80">
        <v>134.25</v>
      </c>
    </row>
    <row r="68" spans="1:7" x14ac:dyDescent="0.25">
      <c r="A68" s="80">
        <v>44</v>
      </c>
      <c r="B68" s="80">
        <v>132.84868976236686</v>
      </c>
      <c r="C68" s="80">
        <v>1.5413102376331267</v>
      </c>
      <c r="D68" s="80">
        <v>0.18687207133620221</v>
      </c>
      <c r="F68" s="80">
        <v>74.999999999999986</v>
      </c>
      <c r="G68" s="80">
        <v>134.27000000000001</v>
      </c>
    </row>
    <row r="69" spans="1:7" x14ac:dyDescent="0.25">
      <c r="A69" s="80">
        <v>45</v>
      </c>
      <c r="B69" s="80">
        <v>132.38108382255555</v>
      </c>
      <c r="C69" s="80">
        <v>2.1289161774444381</v>
      </c>
      <c r="D69" s="80">
        <v>0.2581147948456613</v>
      </c>
      <c r="F69" s="80">
        <v>76.724137931034477</v>
      </c>
      <c r="G69" s="80">
        <v>134.38999999999999</v>
      </c>
    </row>
    <row r="70" spans="1:7" x14ac:dyDescent="0.25">
      <c r="A70" s="80">
        <v>46</v>
      </c>
      <c r="B70" s="80">
        <v>133.25223425659647</v>
      </c>
      <c r="C70" s="80">
        <v>1.2077657434035416</v>
      </c>
      <c r="D70" s="80">
        <v>0.14643235388179524</v>
      </c>
      <c r="F70" s="80">
        <v>78.448275862068954</v>
      </c>
      <c r="G70" s="80">
        <v>134.46</v>
      </c>
    </row>
    <row r="71" spans="1:7" x14ac:dyDescent="0.25">
      <c r="A71" s="80">
        <v>47</v>
      </c>
      <c r="B71" s="80">
        <v>134.09937940393385</v>
      </c>
      <c r="C71" s="80">
        <v>0.17062059606615776</v>
      </c>
      <c r="D71" s="80">
        <v>2.0686441587815935E-2</v>
      </c>
      <c r="F71" s="80">
        <v>80.172413793103445</v>
      </c>
      <c r="G71" s="80">
        <v>134.51</v>
      </c>
    </row>
    <row r="72" spans="1:7" x14ac:dyDescent="0.25">
      <c r="A72" s="80">
        <v>48</v>
      </c>
      <c r="B72" s="80">
        <v>131.89700088121992</v>
      </c>
      <c r="C72" s="80">
        <v>1.8329991187800658</v>
      </c>
      <c r="D72" s="80">
        <v>0.22223711600713905</v>
      </c>
      <c r="F72" s="80">
        <v>81.896551724137922</v>
      </c>
      <c r="G72" s="80">
        <v>134.72999999999999</v>
      </c>
    </row>
    <row r="73" spans="1:7" x14ac:dyDescent="0.25">
      <c r="A73" s="80">
        <v>49</v>
      </c>
      <c r="B73" s="80">
        <v>129.05187725594033</v>
      </c>
      <c r="C73" s="80">
        <v>2.9581227440596649</v>
      </c>
      <c r="D73" s="80">
        <v>0.35864974549058887</v>
      </c>
      <c r="F73" s="80">
        <v>83.620689655172413</v>
      </c>
      <c r="G73" s="80">
        <v>134.91999999999999</v>
      </c>
    </row>
    <row r="74" spans="1:7" x14ac:dyDescent="0.25">
      <c r="A74" s="80">
        <v>50</v>
      </c>
      <c r="B74" s="80">
        <v>130.92528392063389</v>
      </c>
      <c r="C74" s="80">
        <v>-0.33528392063388424</v>
      </c>
      <c r="D74" s="80">
        <v>-4.065060959485458E-2</v>
      </c>
      <c r="F74" s="80">
        <v>85.34482758620689</v>
      </c>
      <c r="G74" s="80">
        <v>135.22</v>
      </c>
    </row>
    <row r="75" spans="1:7" x14ac:dyDescent="0.25">
      <c r="A75" s="80">
        <v>51</v>
      </c>
      <c r="B75" s="80">
        <v>130.78352489027799</v>
      </c>
      <c r="C75" s="80">
        <v>-0.50352489027798697</v>
      </c>
      <c r="D75" s="80">
        <v>-6.1048539689242266E-2</v>
      </c>
      <c r="F75" s="80">
        <v>87.068965517241367</v>
      </c>
      <c r="G75" s="80">
        <v>135.69999999999999</v>
      </c>
    </row>
    <row r="76" spans="1:7" x14ac:dyDescent="0.25">
      <c r="A76" s="80">
        <v>52</v>
      </c>
      <c r="B76" s="80">
        <v>135.54921349495874</v>
      </c>
      <c r="C76" s="80">
        <v>-6.3892134949587387</v>
      </c>
      <c r="D76" s="80">
        <v>-0.77464324239202975</v>
      </c>
      <c r="F76" s="80">
        <v>88.793103448275858</v>
      </c>
      <c r="G76" s="80">
        <v>136.06</v>
      </c>
    </row>
    <row r="77" spans="1:7" x14ac:dyDescent="0.25">
      <c r="A77" s="80">
        <v>53</v>
      </c>
      <c r="B77" s="80">
        <v>135.3100128866227</v>
      </c>
      <c r="C77" s="80">
        <v>-6.3700128866227033</v>
      </c>
      <c r="D77" s="80">
        <v>-0.77231531556518929</v>
      </c>
      <c r="F77" s="80">
        <v>90.517241379310335</v>
      </c>
      <c r="G77" s="80">
        <v>136.12</v>
      </c>
    </row>
    <row r="78" spans="1:7" x14ac:dyDescent="0.25">
      <c r="A78" s="80">
        <v>54</v>
      </c>
      <c r="B78" s="80">
        <v>136.50147054857206</v>
      </c>
      <c r="C78" s="80">
        <v>-7.2014705485720469</v>
      </c>
      <c r="D78" s="80">
        <v>-0.87312319429272511</v>
      </c>
      <c r="F78" s="80">
        <v>92.241379310344826</v>
      </c>
      <c r="G78" s="80">
        <v>136.13999999999999</v>
      </c>
    </row>
    <row r="79" spans="1:7" x14ac:dyDescent="0.25">
      <c r="A79" s="80">
        <v>55</v>
      </c>
      <c r="B79" s="80">
        <v>141.03008919166561</v>
      </c>
      <c r="C79" s="80">
        <v>-9.810089191665611</v>
      </c>
      <c r="D79" s="80">
        <v>-1.1893982421440328</v>
      </c>
      <c r="F79" s="80">
        <v>93.965517241379303</v>
      </c>
      <c r="G79" s="80">
        <v>137.5</v>
      </c>
    </row>
    <row r="80" spans="1:7" x14ac:dyDescent="0.25">
      <c r="A80" s="80">
        <v>56</v>
      </c>
      <c r="B80" s="80">
        <v>133.80563423882759</v>
      </c>
      <c r="C80" s="80">
        <v>-1.2856342388275834</v>
      </c>
      <c r="D80" s="80">
        <v>-0.15587331305823582</v>
      </c>
      <c r="F80" s="80">
        <v>95.689655172413779</v>
      </c>
      <c r="G80" s="80">
        <v>139.1</v>
      </c>
    </row>
    <row r="81" spans="1:7" x14ac:dyDescent="0.25">
      <c r="A81" s="80">
        <v>57</v>
      </c>
      <c r="B81" s="80">
        <v>133.96940995225481</v>
      </c>
      <c r="C81" s="80">
        <v>0.28059004774519281</v>
      </c>
      <c r="D81" s="80">
        <v>3.4019396055519395E-2</v>
      </c>
      <c r="F81" s="80">
        <v>97.41379310344827</v>
      </c>
      <c r="G81" s="80">
        <v>140.09</v>
      </c>
    </row>
    <row r="82" spans="1:7" ht="15.75" thickBot="1" x14ac:dyDescent="0.3">
      <c r="A82" s="81">
        <v>58</v>
      </c>
      <c r="B82" s="81">
        <v>134.4306239518196</v>
      </c>
      <c r="C82" s="81">
        <v>1.6293760481804043</v>
      </c>
      <c r="D82" s="81">
        <v>0.19754937693571809</v>
      </c>
      <c r="F82" s="81">
        <v>99.137931034482747</v>
      </c>
      <c r="G82" s="81">
        <v>140.15</v>
      </c>
    </row>
  </sheetData>
  <sortState ref="G25:G82">
    <sortCondition ref="G25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workbookViewId="0"/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83" t="s">
        <v>22</v>
      </c>
      <c r="B3" s="83"/>
    </row>
    <row r="4" spans="1:9" x14ac:dyDescent="0.25">
      <c r="A4" s="80" t="s">
        <v>23</v>
      </c>
      <c r="B4" s="80">
        <v>0.79785300931570524</v>
      </c>
    </row>
    <row r="5" spans="1:9" x14ac:dyDescent="0.25">
      <c r="A5" s="80" t="s">
        <v>24</v>
      </c>
      <c r="B5" s="80">
        <v>0.63656942447412679</v>
      </c>
    </row>
    <row r="6" spans="1:9" x14ac:dyDescent="0.25">
      <c r="A6" s="80" t="s">
        <v>25</v>
      </c>
      <c r="B6" s="80">
        <v>0.63007959276830761</v>
      </c>
    </row>
    <row r="7" spans="1:9" x14ac:dyDescent="0.25">
      <c r="A7" s="80" t="s">
        <v>26</v>
      </c>
      <c r="B7" s="80">
        <v>7.9390880802429118</v>
      </c>
    </row>
    <row r="8" spans="1:9" ht="15.75" thickBot="1" x14ac:dyDescent="0.3">
      <c r="A8" s="81" t="s">
        <v>27</v>
      </c>
      <c r="B8" s="81">
        <v>58</v>
      </c>
    </row>
    <row r="10" spans="1:9" ht="15.75" thickBot="1" x14ac:dyDescent="0.3">
      <c r="A10" t="s">
        <v>28</v>
      </c>
    </row>
    <row r="11" spans="1:9" x14ac:dyDescent="0.25">
      <c r="A11" s="82"/>
      <c r="B11" s="82" t="s">
        <v>33</v>
      </c>
      <c r="C11" s="82" t="s">
        <v>34</v>
      </c>
      <c r="D11" s="82" t="s">
        <v>35</v>
      </c>
      <c r="E11" s="82" t="s">
        <v>36</v>
      </c>
      <c r="F11" s="82" t="s">
        <v>37</v>
      </c>
    </row>
    <row r="12" spans="1:9" x14ac:dyDescent="0.25">
      <c r="A12" s="80" t="s">
        <v>29</v>
      </c>
      <c r="B12" s="80">
        <v>1</v>
      </c>
      <c r="C12" s="80">
        <v>6182.349893363149</v>
      </c>
      <c r="D12" s="80">
        <v>6182.349893363149</v>
      </c>
      <c r="E12" s="80">
        <v>98.08720061312853</v>
      </c>
      <c r="F12" s="80">
        <v>6.4804792799090722E-14</v>
      </c>
    </row>
    <row r="13" spans="1:9" x14ac:dyDescent="0.25">
      <c r="A13" s="80" t="s">
        <v>30</v>
      </c>
      <c r="B13" s="80">
        <v>56</v>
      </c>
      <c r="C13" s="80">
        <v>3529.6306945678848</v>
      </c>
      <c r="D13" s="80">
        <v>63.029119545855089</v>
      </c>
      <c r="E13" s="80"/>
      <c r="F13" s="80"/>
    </row>
    <row r="14" spans="1:9" ht="15.75" thickBot="1" x14ac:dyDescent="0.3">
      <c r="A14" s="81" t="s">
        <v>31</v>
      </c>
      <c r="B14" s="81">
        <v>57</v>
      </c>
      <c r="C14" s="81">
        <v>9711.9805879310334</v>
      </c>
      <c r="D14" s="81"/>
      <c r="E14" s="81"/>
      <c r="F14" s="81"/>
    </row>
    <row r="15" spans="1:9" ht="15.75" thickBot="1" x14ac:dyDescent="0.3"/>
    <row r="16" spans="1:9" x14ac:dyDescent="0.25">
      <c r="A16" s="82"/>
      <c r="B16" s="82" t="s">
        <v>38</v>
      </c>
      <c r="C16" s="82" t="s">
        <v>26</v>
      </c>
      <c r="D16" s="82" t="s">
        <v>39</v>
      </c>
      <c r="E16" s="82" t="s">
        <v>40</v>
      </c>
      <c r="F16" s="82" t="s">
        <v>41</v>
      </c>
      <c r="G16" s="82" t="s">
        <v>42</v>
      </c>
      <c r="H16" s="82" t="s">
        <v>569</v>
      </c>
      <c r="I16" s="82" t="s">
        <v>570</v>
      </c>
    </row>
    <row r="17" spans="1:9" x14ac:dyDescent="0.25">
      <c r="A17" s="80" t="s">
        <v>32</v>
      </c>
      <c r="B17" s="80">
        <v>18.729362519225916</v>
      </c>
      <c r="C17" s="80">
        <v>10.370351305499399</v>
      </c>
      <c r="D17" s="80">
        <v>1.8060489917341307</v>
      </c>
      <c r="E17" s="80">
        <v>7.6285826226932973E-2</v>
      </c>
      <c r="F17" s="80">
        <v>-2.0449474847076772</v>
      </c>
      <c r="G17" s="80">
        <v>39.503672523159509</v>
      </c>
      <c r="H17" s="80">
        <v>-2.0449474847076772</v>
      </c>
      <c r="I17" s="80">
        <v>39.503672523159509</v>
      </c>
    </row>
    <row r="18" spans="1:9" ht="15.75" thickBot="1" x14ac:dyDescent="0.3">
      <c r="A18" s="81" t="s">
        <v>679</v>
      </c>
      <c r="B18" s="81">
        <v>2.9760619810065294E-3</v>
      </c>
      <c r="C18" s="81">
        <v>3.004939979056742E-4</v>
      </c>
      <c r="D18" s="81">
        <v>9.9038982533711781</v>
      </c>
      <c r="E18" s="81">
        <v>6.4804792799089094E-14</v>
      </c>
      <c r="F18" s="81">
        <v>2.3741001686324956E-3</v>
      </c>
      <c r="G18" s="81">
        <v>3.5780237933805631E-3</v>
      </c>
      <c r="H18" s="81">
        <v>2.3741001686324956E-3</v>
      </c>
      <c r="I18" s="81">
        <v>3.5780237933805631E-3</v>
      </c>
    </row>
    <row r="22" spans="1:9" x14ac:dyDescent="0.25">
      <c r="A22" t="s">
        <v>57</v>
      </c>
      <c r="F22" t="s">
        <v>61</v>
      </c>
    </row>
    <row r="23" spans="1:9" ht="15.75" thickBot="1" x14ac:dyDescent="0.3"/>
    <row r="24" spans="1:9" x14ac:dyDescent="0.25">
      <c r="A24" s="82" t="s">
        <v>58</v>
      </c>
      <c r="B24" s="82" t="s">
        <v>651</v>
      </c>
      <c r="C24" s="82" t="s">
        <v>59</v>
      </c>
      <c r="D24" s="82" t="s">
        <v>60</v>
      </c>
      <c r="F24" s="82" t="s">
        <v>62</v>
      </c>
      <c r="G24" s="82" t="s">
        <v>48</v>
      </c>
    </row>
    <row r="25" spans="1:9" x14ac:dyDescent="0.25">
      <c r="A25" s="80">
        <v>1</v>
      </c>
      <c r="B25" s="80">
        <v>110.0744364389942</v>
      </c>
      <c r="C25" s="80">
        <v>-7.7544364389942047</v>
      </c>
      <c r="D25" s="80">
        <v>-0.98542377152122484</v>
      </c>
      <c r="F25" s="80">
        <v>0.86206896551724133</v>
      </c>
      <c r="G25" s="80">
        <v>102.06</v>
      </c>
    </row>
    <row r="26" spans="1:9" x14ac:dyDescent="0.25">
      <c r="A26" s="80">
        <v>2</v>
      </c>
      <c r="B26" s="80">
        <v>108.99583717552791</v>
      </c>
      <c r="C26" s="80">
        <v>-6.7858371755279165</v>
      </c>
      <c r="D26" s="80">
        <v>-0.86233542760265225</v>
      </c>
      <c r="F26" s="80">
        <v>2.5862068965517242</v>
      </c>
      <c r="G26" s="80">
        <v>102.16</v>
      </c>
    </row>
    <row r="27" spans="1:9" x14ac:dyDescent="0.25">
      <c r="A27" s="80">
        <v>3</v>
      </c>
      <c r="B27" s="80">
        <v>105.38507045583211</v>
      </c>
      <c r="C27" s="80">
        <v>-3.2250704558321104</v>
      </c>
      <c r="D27" s="80">
        <v>-0.40983778989101716</v>
      </c>
      <c r="F27" s="80">
        <v>4.3103448275862064</v>
      </c>
      <c r="G27" s="80">
        <v>102.21</v>
      </c>
    </row>
    <row r="28" spans="1:9" x14ac:dyDescent="0.25">
      <c r="A28" s="80">
        <v>4</v>
      </c>
      <c r="B28" s="80">
        <v>97.222312774017496</v>
      </c>
      <c r="C28" s="80">
        <v>4.8376872259825063</v>
      </c>
      <c r="D28" s="80">
        <v>0.61476704711839292</v>
      </c>
      <c r="F28" s="80">
        <v>6.0344827586206895</v>
      </c>
      <c r="G28" s="80">
        <v>102.32</v>
      </c>
    </row>
    <row r="29" spans="1:9" x14ac:dyDescent="0.25">
      <c r="A29" s="80">
        <v>5</v>
      </c>
      <c r="B29" s="80">
        <v>101.82409325307856</v>
      </c>
      <c r="C29" s="80">
        <v>0.72590674692143864</v>
      </c>
      <c r="D29" s="80">
        <v>9.2247292237372339E-2</v>
      </c>
      <c r="F29" s="80">
        <v>7.7586206896551717</v>
      </c>
      <c r="G29" s="80">
        <v>102.55</v>
      </c>
    </row>
    <row r="30" spans="1:9" x14ac:dyDescent="0.25">
      <c r="A30" s="80">
        <v>6</v>
      </c>
      <c r="B30" s="80">
        <v>98.143359316209299</v>
      </c>
      <c r="C30" s="80">
        <v>6.2066406837906953</v>
      </c>
      <c r="D30" s="80">
        <v>0.78873188518795878</v>
      </c>
      <c r="F30" s="80">
        <v>9.4827586206896548</v>
      </c>
      <c r="G30" s="80">
        <v>104.35</v>
      </c>
    </row>
    <row r="31" spans="1:9" x14ac:dyDescent="0.25">
      <c r="A31" s="80">
        <v>7</v>
      </c>
      <c r="B31" s="80">
        <v>102.0536369136736</v>
      </c>
      <c r="C31" s="80">
        <v>5.5163630863263933</v>
      </c>
      <c r="D31" s="80">
        <v>0.70101229926559216</v>
      </c>
      <c r="F31" s="80">
        <v>11.206896551724139</v>
      </c>
      <c r="G31" s="80">
        <v>106.49</v>
      </c>
    </row>
    <row r="32" spans="1:9" x14ac:dyDescent="0.25">
      <c r="A32" s="80">
        <v>8</v>
      </c>
      <c r="B32" s="80">
        <v>98.48914795778245</v>
      </c>
      <c r="C32" s="80">
        <v>13.470852042217544</v>
      </c>
      <c r="D32" s="80">
        <v>1.7118584863619291</v>
      </c>
      <c r="F32" s="80">
        <v>12.931034482758621</v>
      </c>
      <c r="G32" s="80">
        <v>106.57</v>
      </c>
    </row>
    <row r="33" spans="1:7" x14ac:dyDescent="0.25">
      <c r="A33" s="80">
        <v>9</v>
      </c>
      <c r="B33" s="80">
        <v>102.37051311310125</v>
      </c>
      <c r="C33" s="80">
        <v>12.899486886898742</v>
      </c>
      <c r="D33" s="80">
        <v>1.6392501400688626</v>
      </c>
      <c r="F33" s="80">
        <v>14.655172413793103</v>
      </c>
      <c r="G33" s="80">
        <v>106.61</v>
      </c>
    </row>
    <row r="34" spans="1:7" x14ac:dyDescent="0.25">
      <c r="A34" s="80">
        <v>10</v>
      </c>
      <c r="B34" s="80">
        <v>105.59171331948329</v>
      </c>
      <c r="C34" s="80">
        <v>11.578286680516712</v>
      </c>
      <c r="D34" s="80">
        <v>1.4713537235400465</v>
      </c>
      <c r="F34" s="80">
        <v>16.379310344827584</v>
      </c>
      <c r="G34" s="80">
        <v>107.03</v>
      </c>
    </row>
    <row r="35" spans="1:7" x14ac:dyDescent="0.25">
      <c r="A35" s="80">
        <v>11</v>
      </c>
      <c r="B35" s="80">
        <v>111.14724726190742</v>
      </c>
      <c r="C35" s="80">
        <v>6.4627527380925756</v>
      </c>
      <c r="D35" s="80">
        <v>0.8212782744024073</v>
      </c>
      <c r="F35" s="80">
        <v>18.103448275862068</v>
      </c>
      <c r="G35" s="80">
        <v>107.04</v>
      </c>
    </row>
    <row r="36" spans="1:7" x14ac:dyDescent="0.25">
      <c r="A36" s="80">
        <v>12</v>
      </c>
      <c r="B36" s="80">
        <v>116.447152360473</v>
      </c>
      <c r="C36" s="80">
        <v>0.812847639527007</v>
      </c>
      <c r="D36" s="80">
        <v>0.10329562862710401</v>
      </c>
      <c r="F36" s="80">
        <v>19.827586206896552</v>
      </c>
      <c r="G36" s="80">
        <v>107.47</v>
      </c>
    </row>
    <row r="37" spans="1:7" x14ac:dyDescent="0.25">
      <c r="A37" s="80">
        <v>13</v>
      </c>
      <c r="B37" s="80">
        <v>118.16082837037618</v>
      </c>
      <c r="C37" s="80">
        <v>-2.2808283703761845</v>
      </c>
      <c r="D37" s="80">
        <v>-0.2898447247083546</v>
      </c>
      <c r="F37" s="80">
        <v>21.551724137931036</v>
      </c>
      <c r="G37" s="80">
        <v>107.57</v>
      </c>
    </row>
    <row r="38" spans="1:7" x14ac:dyDescent="0.25">
      <c r="A38" s="80">
        <v>14</v>
      </c>
      <c r="B38" s="80">
        <v>117.41193213347567</v>
      </c>
      <c r="C38" s="80">
        <v>-4.0619321334756791</v>
      </c>
      <c r="D38" s="80">
        <v>-0.51618509147932812</v>
      </c>
      <c r="F38" s="80">
        <v>23.275862068965516</v>
      </c>
      <c r="G38" s="80">
        <v>107.8</v>
      </c>
    </row>
    <row r="39" spans="1:7" x14ac:dyDescent="0.25">
      <c r="A39" s="80">
        <v>15</v>
      </c>
      <c r="B39" s="80">
        <v>114.86431891556478</v>
      </c>
      <c r="C39" s="80">
        <v>-3.4743189155647798</v>
      </c>
      <c r="D39" s="80">
        <v>-0.44151196236866025</v>
      </c>
      <c r="F39" s="80">
        <v>25</v>
      </c>
      <c r="G39" s="80">
        <v>108.19</v>
      </c>
    </row>
    <row r="40" spans="1:7" x14ac:dyDescent="0.25">
      <c r="A40" s="80">
        <v>16</v>
      </c>
      <c r="B40" s="80">
        <v>112.61484758691108</v>
      </c>
      <c r="C40" s="80">
        <v>-2.8548475869110774</v>
      </c>
      <c r="D40" s="80">
        <v>-0.36279034567431112</v>
      </c>
      <c r="F40" s="80">
        <v>26.72413793103448</v>
      </c>
      <c r="G40" s="80">
        <v>108.36</v>
      </c>
    </row>
    <row r="41" spans="1:7" x14ac:dyDescent="0.25">
      <c r="A41" s="80">
        <v>17</v>
      </c>
      <c r="B41" s="80">
        <v>112.38610746305092</v>
      </c>
      <c r="C41" s="80">
        <v>-2.8861074630509194</v>
      </c>
      <c r="D41" s="80">
        <v>-0.366762810376982</v>
      </c>
      <c r="F41" s="80">
        <v>28.448275862068964</v>
      </c>
      <c r="G41" s="80">
        <v>108.49</v>
      </c>
    </row>
    <row r="42" spans="1:7" x14ac:dyDescent="0.25">
      <c r="A42" s="80">
        <v>18</v>
      </c>
      <c r="B42" s="80">
        <v>111.46698048083685</v>
      </c>
      <c r="C42" s="80">
        <v>-2.6069804808368531</v>
      </c>
      <c r="D42" s="80">
        <v>-0.33129171383622552</v>
      </c>
      <c r="F42" s="80">
        <v>30.172413793103448</v>
      </c>
      <c r="G42" s="80">
        <v>108.86</v>
      </c>
    </row>
    <row r="43" spans="1:7" x14ac:dyDescent="0.25">
      <c r="A43" s="80">
        <v>19</v>
      </c>
      <c r="B43" s="80">
        <v>113.32184087111899</v>
      </c>
      <c r="C43" s="80">
        <v>-4.8318408711189988</v>
      </c>
      <c r="D43" s="80">
        <v>-0.61402409989010975</v>
      </c>
      <c r="F43" s="80">
        <v>31.896551724137929</v>
      </c>
      <c r="G43" s="80">
        <v>109.5</v>
      </c>
    </row>
    <row r="44" spans="1:7" x14ac:dyDescent="0.25">
      <c r="A44" s="80">
        <v>20</v>
      </c>
      <c r="B44" s="80">
        <v>114.94732128421505</v>
      </c>
      <c r="C44" s="80">
        <v>-6.5873212842150508</v>
      </c>
      <c r="D44" s="80">
        <v>-0.83710828442294805</v>
      </c>
      <c r="F44" s="80">
        <v>33.620689655172406</v>
      </c>
      <c r="G44" s="80">
        <v>109.76</v>
      </c>
    </row>
    <row r="45" spans="1:7" x14ac:dyDescent="0.25">
      <c r="A45" s="80">
        <v>21</v>
      </c>
      <c r="B45" s="80">
        <v>118.04116091811991</v>
      </c>
      <c r="C45" s="80">
        <v>-9.8511609181199162</v>
      </c>
      <c r="D45" s="80">
        <v>-1.2518728114115985</v>
      </c>
      <c r="F45" s="80">
        <v>35.34482758620689</v>
      </c>
      <c r="G45" s="80">
        <v>111.35</v>
      </c>
    </row>
    <row r="46" spans="1:7" x14ac:dyDescent="0.25">
      <c r="A46" s="80">
        <v>22</v>
      </c>
      <c r="B46" s="80">
        <v>118.87289584026171</v>
      </c>
      <c r="C46" s="80">
        <v>-11.072895840261708</v>
      </c>
      <c r="D46" s="80">
        <v>-1.4071293080310112</v>
      </c>
      <c r="F46" s="80">
        <v>37.068965517241374</v>
      </c>
      <c r="G46" s="80">
        <v>111.39</v>
      </c>
    </row>
    <row r="47" spans="1:7" x14ac:dyDescent="0.25">
      <c r="A47" s="80">
        <v>23</v>
      </c>
      <c r="B47" s="80">
        <v>121.07777088013002</v>
      </c>
      <c r="C47" s="80">
        <v>-13.607770880130019</v>
      </c>
      <c r="D47" s="80">
        <v>-1.7292579555186476</v>
      </c>
      <c r="F47" s="80">
        <v>38.793103448275858</v>
      </c>
      <c r="G47" s="80">
        <v>111.96</v>
      </c>
    </row>
    <row r="48" spans="1:7" x14ac:dyDescent="0.25">
      <c r="A48" s="80">
        <v>24</v>
      </c>
      <c r="B48" s="80">
        <v>123.07136039965677</v>
      </c>
      <c r="C48" s="80">
        <v>-16.041360399656767</v>
      </c>
      <c r="D48" s="80">
        <v>-2.0385153698430885</v>
      </c>
      <c r="F48" s="80">
        <v>40.517241379310342</v>
      </c>
      <c r="G48" s="80">
        <v>113.35</v>
      </c>
    </row>
    <row r="49" spans="1:7" x14ac:dyDescent="0.25">
      <c r="A49" s="80">
        <v>25</v>
      </c>
      <c r="B49" s="80">
        <v>123.84846970413719</v>
      </c>
      <c r="C49" s="80">
        <v>-17.238469704137188</v>
      </c>
      <c r="D49" s="80">
        <v>-2.1906424747623023</v>
      </c>
      <c r="F49" s="80">
        <v>42.241379310344826</v>
      </c>
      <c r="G49" s="80">
        <v>115.27</v>
      </c>
    </row>
    <row r="50" spans="1:7" x14ac:dyDescent="0.25">
      <c r="A50" s="80">
        <v>26</v>
      </c>
      <c r="B50" s="80">
        <v>122.50192070021097</v>
      </c>
      <c r="C50" s="80">
        <v>-15.931920700210981</v>
      </c>
      <c r="D50" s="80">
        <v>-2.0246079141265509</v>
      </c>
      <c r="F50" s="80">
        <v>43.965517241379303</v>
      </c>
      <c r="G50" s="80">
        <v>115.88</v>
      </c>
    </row>
    <row r="51" spans="1:7" x14ac:dyDescent="0.25">
      <c r="A51" s="80">
        <v>27</v>
      </c>
      <c r="B51" s="80">
        <v>122.14562655984489</v>
      </c>
      <c r="C51" s="80">
        <v>-15.65562655984489</v>
      </c>
      <c r="D51" s="80">
        <v>-1.9894968114705749</v>
      </c>
      <c r="F51" s="80">
        <v>45.689655172413786</v>
      </c>
      <c r="G51" s="80">
        <v>117.17</v>
      </c>
    </row>
    <row r="52" spans="1:7" x14ac:dyDescent="0.25">
      <c r="A52" s="80">
        <v>28</v>
      </c>
      <c r="B52" s="80">
        <v>120.56163245076404</v>
      </c>
      <c r="C52" s="80">
        <v>-13.521632450764031</v>
      </c>
      <c r="D52" s="80">
        <v>-1.7183115951214043</v>
      </c>
      <c r="F52" s="80">
        <v>47.41379310344827</v>
      </c>
      <c r="G52" s="80">
        <v>117.26</v>
      </c>
    </row>
    <row r="53" spans="1:7" x14ac:dyDescent="0.25">
      <c r="A53" s="80">
        <v>29</v>
      </c>
      <c r="B53" s="80">
        <v>121.85407664787554</v>
      </c>
      <c r="C53" s="80">
        <v>-10.50407664787555</v>
      </c>
      <c r="D53" s="80">
        <v>-1.3348444994205317</v>
      </c>
      <c r="F53" s="80">
        <v>49.137931034482754</v>
      </c>
      <c r="G53" s="80">
        <v>117.54</v>
      </c>
    </row>
    <row r="54" spans="1:7" x14ac:dyDescent="0.25">
      <c r="A54" s="80">
        <v>30</v>
      </c>
      <c r="B54" s="80">
        <v>121.80087953996505</v>
      </c>
      <c r="C54" s="80">
        <v>-4.2608795399650461</v>
      </c>
      <c r="D54" s="80">
        <v>-0.54146707105056657</v>
      </c>
      <c r="F54" s="80">
        <v>50.862068965517238</v>
      </c>
      <c r="G54" s="80">
        <v>117.61</v>
      </c>
    </row>
    <row r="55" spans="1:7" x14ac:dyDescent="0.25">
      <c r="A55" s="80">
        <v>31</v>
      </c>
      <c r="B55" s="80">
        <v>124.08935216087986</v>
      </c>
      <c r="C55" s="80">
        <v>-1.5093521608798568</v>
      </c>
      <c r="D55" s="80">
        <v>-0.191806523998133</v>
      </c>
      <c r="F55" s="80">
        <v>52.586206896551715</v>
      </c>
      <c r="G55" s="80">
        <v>122.58</v>
      </c>
    </row>
    <row r="56" spans="1:7" x14ac:dyDescent="0.25">
      <c r="A56" s="80">
        <v>32</v>
      </c>
      <c r="B56" s="80">
        <v>124.54867756702839</v>
      </c>
      <c r="C56" s="80">
        <v>3.6113224329716047</v>
      </c>
      <c r="D56" s="80">
        <v>0.45892219248619776</v>
      </c>
      <c r="F56" s="80">
        <v>54.310344827586199</v>
      </c>
      <c r="G56" s="80">
        <v>128.16</v>
      </c>
    </row>
    <row r="57" spans="1:7" x14ac:dyDescent="0.25">
      <c r="A57" s="80">
        <v>33</v>
      </c>
      <c r="B57" s="80">
        <v>125.89946745927755</v>
      </c>
      <c r="C57" s="80">
        <v>6.9605325407224683</v>
      </c>
      <c r="D57" s="80">
        <v>0.8845354890760585</v>
      </c>
      <c r="F57" s="80">
        <v>56.034482758620683</v>
      </c>
      <c r="G57" s="80">
        <v>128.94</v>
      </c>
    </row>
    <row r="58" spans="1:7" x14ac:dyDescent="0.25">
      <c r="A58" s="80">
        <v>34</v>
      </c>
      <c r="B58" s="80">
        <v>127.16347538416055</v>
      </c>
      <c r="C58" s="80">
        <v>7.7565246158394388</v>
      </c>
      <c r="D58" s="80">
        <v>0.98568913433883543</v>
      </c>
      <c r="F58" s="80">
        <v>57.758620689655167</v>
      </c>
      <c r="G58" s="80">
        <v>129.16</v>
      </c>
    </row>
    <row r="59" spans="1:7" x14ac:dyDescent="0.25">
      <c r="A59" s="80">
        <v>35</v>
      </c>
      <c r="B59" s="80">
        <v>129.533477223045</v>
      </c>
      <c r="C59" s="80">
        <v>6.1665227769549915</v>
      </c>
      <c r="D59" s="80">
        <v>0.78363375338036811</v>
      </c>
      <c r="F59" s="80">
        <v>59.482758620689651</v>
      </c>
      <c r="G59" s="80">
        <v>129.30000000000001</v>
      </c>
    </row>
    <row r="60" spans="1:7" x14ac:dyDescent="0.25">
      <c r="A60" s="80">
        <v>36</v>
      </c>
      <c r="B60" s="80">
        <v>129.75936032740341</v>
      </c>
      <c r="C60" s="80">
        <v>6.3806396725965726</v>
      </c>
      <c r="D60" s="80">
        <v>0.81084345204892938</v>
      </c>
      <c r="F60" s="80">
        <v>61.206896551724128</v>
      </c>
      <c r="G60" s="80">
        <v>130.28</v>
      </c>
    </row>
    <row r="61" spans="1:7" x14ac:dyDescent="0.25">
      <c r="A61" s="80">
        <v>37</v>
      </c>
      <c r="B61" s="80">
        <v>128.07499852801314</v>
      </c>
      <c r="C61" s="80">
        <v>12.075001471986866</v>
      </c>
      <c r="D61" s="80">
        <v>1.5344755979704705</v>
      </c>
      <c r="F61" s="80">
        <v>62.931034482758612</v>
      </c>
      <c r="G61" s="80">
        <v>130.59</v>
      </c>
    </row>
    <row r="62" spans="1:7" x14ac:dyDescent="0.25">
      <c r="A62" s="80">
        <v>38</v>
      </c>
      <c r="B62" s="80">
        <v>126.31580365011045</v>
      </c>
      <c r="C62" s="80">
        <v>13.77419634988955</v>
      </c>
      <c r="D62" s="80">
        <v>1.7504070893567862</v>
      </c>
      <c r="F62" s="80">
        <v>64.655172413793096</v>
      </c>
      <c r="G62" s="80">
        <v>131.22</v>
      </c>
    </row>
    <row r="63" spans="1:7" x14ac:dyDescent="0.25">
      <c r="A63" s="80">
        <v>39</v>
      </c>
      <c r="B63" s="80">
        <v>131.89724421207927</v>
      </c>
      <c r="C63" s="80">
        <v>7.2027557879207222</v>
      </c>
      <c r="D63" s="80">
        <v>0.91531690661453036</v>
      </c>
      <c r="F63" s="80">
        <v>66.379310344827573</v>
      </c>
      <c r="G63" s="80">
        <v>132.01</v>
      </c>
    </row>
    <row r="64" spans="1:7" x14ac:dyDescent="0.25">
      <c r="A64" s="80">
        <v>40</v>
      </c>
      <c r="B64" s="80">
        <v>126.54876978198367</v>
      </c>
      <c r="C64" s="80">
        <v>10.951230218016335</v>
      </c>
      <c r="D64" s="80">
        <v>1.3916681978290346</v>
      </c>
      <c r="F64" s="80">
        <v>68.103448275862064</v>
      </c>
      <c r="G64" s="80">
        <v>132.52000000000001</v>
      </c>
    </row>
    <row r="65" spans="1:7" x14ac:dyDescent="0.25">
      <c r="A65" s="80">
        <v>41</v>
      </c>
      <c r="B65" s="80">
        <v>129.81486388334918</v>
      </c>
      <c r="C65" s="80">
        <v>6.3051361166508286</v>
      </c>
      <c r="D65" s="80">
        <v>0.80124855763607772</v>
      </c>
      <c r="F65" s="80">
        <v>69.827586206896541</v>
      </c>
      <c r="G65" s="80">
        <v>132.86000000000001</v>
      </c>
    </row>
    <row r="66" spans="1:7" x14ac:dyDescent="0.25">
      <c r="A66" s="80">
        <v>42</v>
      </c>
      <c r="B66" s="80">
        <v>127.59022779192699</v>
      </c>
      <c r="C66" s="80">
        <v>7.6297722080730068</v>
      </c>
      <c r="D66" s="80">
        <v>0.96958160199999344</v>
      </c>
      <c r="F66" s="80">
        <v>71.551724137931032</v>
      </c>
      <c r="G66" s="80">
        <v>133.72999999999999</v>
      </c>
    </row>
    <row r="67" spans="1:7" x14ac:dyDescent="0.25">
      <c r="A67" s="80">
        <v>43</v>
      </c>
      <c r="B67" s="80">
        <v>129.94841466474685</v>
      </c>
      <c r="C67" s="80">
        <v>4.7815853352531406</v>
      </c>
      <c r="D67" s="80">
        <v>0.60763769127326672</v>
      </c>
      <c r="F67" s="80">
        <v>73.275862068965509</v>
      </c>
      <c r="G67" s="80">
        <v>134.25</v>
      </c>
    </row>
    <row r="68" spans="1:7" x14ac:dyDescent="0.25">
      <c r="A68" s="80">
        <v>44</v>
      </c>
      <c r="B68" s="80">
        <v>131.26301564330697</v>
      </c>
      <c r="C68" s="80">
        <v>3.1269843566930149</v>
      </c>
      <c r="D68" s="80">
        <v>0.39737313504370897</v>
      </c>
      <c r="F68" s="80">
        <v>74.999999999999986</v>
      </c>
      <c r="G68" s="80">
        <v>134.27000000000001</v>
      </c>
    </row>
    <row r="69" spans="1:7" x14ac:dyDescent="0.25">
      <c r="A69" s="80">
        <v>45</v>
      </c>
      <c r="B69" s="80">
        <v>132.06302574473125</v>
      </c>
      <c r="C69" s="80">
        <v>2.4469742552687421</v>
      </c>
      <c r="D69" s="80">
        <v>0.31095832926254852</v>
      </c>
      <c r="F69" s="80">
        <v>76.724137931034477</v>
      </c>
      <c r="G69" s="80">
        <v>134.38999999999999</v>
      </c>
    </row>
    <row r="70" spans="1:7" x14ac:dyDescent="0.25">
      <c r="A70" s="80">
        <v>46</v>
      </c>
      <c r="B70" s="80">
        <v>133.41911302730654</v>
      </c>
      <c r="C70" s="80">
        <v>1.0408869726934711</v>
      </c>
      <c r="D70" s="80">
        <v>0.13227457268215762</v>
      </c>
      <c r="F70" s="80">
        <v>78.448275862068954</v>
      </c>
      <c r="G70" s="80">
        <v>134.46</v>
      </c>
    </row>
    <row r="71" spans="1:7" x14ac:dyDescent="0.25">
      <c r="A71" s="80">
        <v>47</v>
      </c>
      <c r="B71" s="80">
        <v>133.47208693056848</v>
      </c>
      <c r="C71" s="80">
        <v>0.79791306943153018</v>
      </c>
      <c r="D71" s="80">
        <v>0.10139776274022574</v>
      </c>
      <c r="F71" s="80">
        <v>80.172413793103445</v>
      </c>
      <c r="G71" s="80">
        <v>134.51</v>
      </c>
    </row>
    <row r="72" spans="1:7" x14ac:dyDescent="0.25">
      <c r="A72" s="80">
        <v>48</v>
      </c>
      <c r="B72" s="80">
        <v>131.63875834871891</v>
      </c>
      <c r="C72" s="80">
        <v>2.0912416512810807</v>
      </c>
      <c r="D72" s="80">
        <v>0.26575228920632804</v>
      </c>
      <c r="F72" s="80">
        <v>81.896551724137922</v>
      </c>
      <c r="G72" s="80">
        <v>134.72999999999999</v>
      </c>
    </row>
    <row r="73" spans="1:7" x14ac:dyDescent="0.25">
      <c r="A73" s="80">
        <v>49</v>
      </c>
      <c r="B73" s="80">
        <v>128.8454712142759</v>
      </c>
      <c r="C73" s="80">
        <v>3.1645287857240874</v>
      </c>
      <c r="D73" s="80">
        <v>0.40214423261430288</v>
      </c>
      <c r="F73" s="80">
        <v>83.620689655172413</v>
      </c>
      <c r="G73" s="80">
        <v>134.91999999999999</v>
      </c>
    </row>
    <row r="74" spans="1:7" x14ac:dyDescent="0.25">
      <c r="A74" s="80">
        <v>50</v>
      </c>
      <c r="B74" s="80">
        <v>128.50346217141865</v>
      </c>
      <c r="C74" s="80">
        <v>2.0865378285813563</v>
      </c>
      <c r="D74" s="80">
        <v>0.26515453349038454</v>
      </c>
      <c r="F74" s="80">
        <v>85.34482758620689</v>
      </c>
      <c r="G74" s="80">
        <v>135.22</v>
      </c>
    </row>
    <row r="75" spans="1:7" x14ac:dyDescent="0.25">
      <c r="A75" s="80">
        <v>51</v>
      </c>
      <c r="B75" s="80">
        <v>127.74684305367745</v>
      </c>
      <c r="C75" s="80">
        <v>2.5331569463225492</v>
      </c>
      <c r="D75" s="80">
        <v>0.32191031437793705</v>
      </c>
      <c r="F75" s="80">
        <v>87.068965517241367</v>
      </c>
      <c r="G75" s="80">
        <v>135.69999999999999</v>
      </c>
    </row>
    <row r="76" spans="1:7" x14ac:dyDescent="0.25">
      <c r="A76" s="80">
        <v>52</v>
      </c>
      <c r="B76" s="80">
        <v>128.49076926706965</v>
      </c>
      <c r="C76" s="80">
        <v>0.66923073293034463</v>
      </c>
      <c r="D76" s="80">
        <v>8.5044977549351294E-2</v>
      </c>
      <c r="F76" s="80">
        <v>88.793103448275858</v>
      </c>
      <c r="G76" s="80">
        <v>136.06</v>
      </c>
    </row>
    <row r="77" spans="1:7" x14ac:dyDescent="0.25">
      <c r="A77" s="80">
        <v>53</v>
      </c>
      <c r="B77" s="80">
        <v>127.8774028927842</v>
      </c>
      <c r="C77" s="80">
        <v>1.0625971072157938</v>
      </c>
      <c r="D77" s="80">
        <v>0.13503346854899836</v>
      </c>
      <c r="F77" s="80">
        <v>90.517241379310335</v>
      </c>
      <c r="G77" s="80">
        <v>136.12</v>
      </c>
    </row>
    <row r="78" spans="1:7" x14ac:dyDescent="0.25">
      <c r="A78" s="80">
        <v>54</v>
      </c>
      <c r="B78" s="80">
        <v>131.40187869534071</v>
      </c>
      <c r="C78" s="80">
        <v>-2.1018786953407016</v>
      </c>
      <c r="D78" s="80">
        <v>-0.26710403103276936</v>
      </c>
      <c r="F78" s="80">
        <v>92.241379310344826</v>
      </c>
      <c r="G78" s="80">
        <v>136.13999999999999</v>
      </c>
    </row>
    <row r="79" spans="1:7" x14ac:dyDescent="0.25">
      <c r="A79" s="80">
        <v>55</v>
      </c>
      <c r="B79" s="80">
        <v>133.72243326441074</v>
      </c>
      <c r="C79" s="80">
        <v>-2.5024332644107403</v>
      </c>
      <c r="D79" s="80">
        <v>-0.3180059885455262</v>
      </c>
      <c r="F79" s="80">
        <v>93.965517241379303</v>
      </c>
      <c r="G79" s="80">
        <v>137.5</v>
      </c>
    </row>
    <row r="80" spans="1:7" x14ac:dyDescent="0.25">
      <c r="A80" s="80">
        <v>56</v>
      </c>
      <c r="B80" s="80">
        <v>132.17117583712098</v>
      </c>
      <c r="C80" s="80">
        <v>0.34882416287902629</v>
      </c>
      <c r="D80" s="80">
        <v>4.4328124279082892E-2</v>
      </c>
      <c r="F80" s="80">
        <v>95.689655172413779</v>
      </c>
      <c r="G80" s="80">
        <v>139.1</v>
      </c>
    </row>
    <row r="81" spans="1:7" x14ac:dyDescent="0.25">
      <c r="A81" s="80">
        <v>57</v>
      </c>
      <c r="B81" s="80">
        <v>131.91431192754033</v>
      </c>
      <c r="C81" s="80">
        <v>2.3356880724596749</v>
      </c>
      <c r="D81" s="80">
        <v>0.29681622482405556</v>
      </c>
      <c r="F81" s="80">
        <v>97.41379310344827</v>
      </c>
      <c r="G81" s="80">
        <v>140.09</v>
      </c>
    </row>
    <row r="82" spans="1:7" ht="15.75" thickBot="1" x14ac:dyDescent="0.3">
      <c r="A82" s="81">
        <v>58</v>
      </c>
      <c r="B82" s="81">
        <v>132.72162826112796</v>
      </c>
      <c r="C82" s="81">
        <v>3.3383717388720413</v>
      </c>
      <c r="D82" s="81">
        <v>0.42423597066530999</v>
      </c>
      <c r="F82" s="81">
        <v>99.137931034482747</v>
      </c>
      <c r="G82" s="81">
        <v>140.15</v>
      </c>
    </row>
  </sheetData>
  <sortState ref="G25:G82">
    <sortCondition ref="G25"/>
  </sortState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workbookViewId="0"/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83" t="s">
        <v>22</v>
      </c>
      <c r="B3" s="83"/>
    </row>
    <row r="4" spans="1:9" x14ac:dyDescent="0.25">
      <c r="A4" s="80" t="s">
        <v>23</v>
      </c>
      <c r="B4" s="80">
        <v>0.88771376729096163</v>
      </c>
    </row>
    <row r="5" spans="1:9" x14ac:dyDescent="0.25">
      <c r="A5" s="80" t="s">
        <v>24</v>
      </c>
      <c r="B5" s="80">
        <v>0.78803573263791149</v>
      </c>
    </row>
    <row r="6" spans="1:9" x14ac:dyDescent="0.25">
      <c r="A6" s="80" t="s">
        <v>25</v>
      </c>
      <c r="B6" s="80">
        <v>0.78425065643501701</v>
      </c>
    </row>
    <row r="7" spans="1:9" x14ac:dyDescent="0.25">
      <c r="A7" s="80" t="s">
        <v>26</v>
      </c>
      <c r="B7" s="80">
        <v>6.063050932191687</v>
      </c>
    </row>
    <row r="8" spans="1:9" ht="15.75" thickBot="1" x14ac:dyDescent="0.3">
      <c r="A8" s="81" t="s">
        <v>27</v>
      </c>
      <c r="B8" s="81">
        <v>58</v>
      </c>
    </row>
    <row r="10" spans="1:9" ht="15.75" thickBot="1" x14ac:dyDescent="0.3">
      <c r="A10" t="s">
        <v>28</v>
      </c>
    </row>
    <row r="11" spans="1:9" x14ac:dyDescent="0.25">
      <c r="A11" s="82"/>
      <c r="B11" s="82" t="s">
        <v>33</v>
      </c>
      <c r="C11" s="82" t="s">
        <v>34</v>
      </c>
      <c r="D11" s="82" t="s">
        <v>35</v>
      </c>
      <c r="E11" s="82" t="s">
        <v>36</v>
      </c>
      <c r="F11" s="82" t="s">
        <v>37</v>
      </c>
    </row>
    <row r="12" spans="1:9" x14ac:dyDescent="0.25">
      <c r="A12" s="80" t="s">
        <v>29</v>
      </c>
      <c r="B12" s="80">
        <v>1</v>
      </c>
      <c r="C12" s="80">
        <v>7653.3877379754067</v>
      </c>
      <c r="D12" s="80">
        <v>7653.3877379754067</v>
      </c>
      <c r="E12" s="80">
        <v>208.19547359054559</v>
      </c>
      <c r="F12" s="80">
        <v>1.6255360066275455E-20</v>
      </c>
    </row>
    <row r="13" spans="1:9" x14ac:dyDescent="0.25">
      <c r="A13" s="80" t="s">
        <v>30</v>
      </c>
      <c r="B13" s="80">
        <v>56</v>
      </c>
      <c r="C13" s="80">
        <v>2058.5928499556271</v>
      </c>
      <c r="D13" s="80">
        <v>36.760586606350486</v>
      </c>
      <c r="E13" s="80"/>
      <c r="F13" s="80"/>
    </row>
    <row r="14" spans="1:9" ht="15.75" thickBot="1" x14ac:dyDescent="0.3">
      <c r="A14" s="81" t="s">
        <v>31</v>
      </c>
      <c r="B14" s="81">
        <v>57</v>
      </c>
      <c r="C14" s="81">
        <v>9711.9805879310334</v>
      </c>
      <c r="D14" s="81"/>
      <c r="E14" s="81"/>
      <c r="F14" s="81"/>
    </row>
    <row r="15" spans="1:9" ht="15.75" thickBot="1" x14ac:dyDescent="0.3"/>
    <row r="16" spans="1:9" x14ac:dyDescent="0.25">
      <c r="A16" s="82"/>
      <c r="B16" s="82" t="s">
        <v>38</v>
      </c>
      <c r="C16" s="82" t="s">
        <v>26</v>
      </c>
      <c r="D16" s="82" t="s">
        <v>39</v>
      </c>
      <c r="E16" s="82" t="s">
        <v>40</v>
      </c>
      <c r="F16" s="82" t="s">
        <v>41</v>
      </c>
      <c r="G16" s="82" t="s">
        <v>42</v>
      </c>
      <c r="H16" s="82" t="s">
        <v>569</v>
      </c>
      <c r="I16" s="82" t="s">
        <v>570</v>
      </c>
    </row>
    <row r="17" spans="1:9" x14ac:dyDescent="0.25">
      <c r="A17" s="80" t="s">
        <v>32</v>
      </c>
      <c r="B17" s="80">
        <v>-131.47457862883226</v>
      </c>
      <c r="C17" s="80">
        <v>17.510030657669976</v>
      </c>
      <c r="D17" s="80">
        <v>-7.5085293223768304</v>
      </c>
      <c r="E17" s="80">
        <v>4.9971981867610697E-10</v>
      </c>
      <c r="F17" s="80">
        <v>-166.55138503055136</v>
      </c>
      <c r="G17" s="80">
        <v>-96.397772227113165</v>
      </c>
      <c r="H17" s="80">
        <v>-166.55138503055136</v>
      </c>
      <c r="I17" s="80">
        <v>-96.397772227113165</v>
      </c>
    </row>
    <row r="18" spans="1:9" ht="15.75" thickBot="1" x14ac:dyDescent="0.3">
      <c r="A18" s="81" t="s">
        <v>672</v>
      </c>
      <c r="B18" s="81">
        <v>4.764305547863942E-4</v>
      </c>
      <c r="C18" s="81">
        <v>3.3019003673882023E-5</v>
      </c>
      <c r="D18" s="81">
        <v>14.428980337866765</v>
      </c>
      <c r="E18" s="81">
        <v>1.625536006627534E-20</v>
      </c>
      <c r="F18" s="81">
        <v>4.102855421310862E-4</v>
      </c>
      <c r="G18" s="81">
        <v>5.4257556744170213E-4</v>
      </c>
      <c r="H18" s="81">
        <v>4.102855421310862E-4</v>
      </c>
      <c r="I18" s="81">
        <v>5.4257556744170213E-4</v>
      </c>
    </row>
    <row r="22" spans="1:9" x14ac:dyDescent="0.25">
      <c r="A22" t="s">
        <v>57</v>
      </c>
      <c r="F22" t="s">
        <v>61</v>
      </c>
    </row>
    <row r="23" spans="1:9" ht="15.75" thickBot="1" x14ac:dyDescent="0.3"/>
    <row r="24" spans="1:9" x14ac:dyDescent="0.25">
      <c r="A24" s="82" t="s">
        <v>58</v>
      </c>
      <c r="B24" s="82" t="s">
        <v>651</v>
      </c>
      <c r="C24" s="82" t="s">
        <v>59</v>
      </c>
      <c r="D24" s="82" t="s">
        <v>60</v>
      </c>
      <c r="F24" s="82" t="s">
        <v>62</v>
      </c>
      <c r="G24" s="82" t="s">
        <v>48</v>
      </c>
    </row>
    <row r="25" spans="1:9" x14ac:dyDescent="0.25">
      <c r="A25" s="80">
        <v>1</v>
      </c>
      <c r="B25" s="80">
        <v>104.76475068144373</v>
      </c>
      <c r="C25" s="80">
        <v>-2.4447506814437361</v>
      </c>
      <c r="D25" s="80">
        <v>-0.40680546041439519</v>
      </c>
      <c r="F25" s="80">
        <v>0.86206896551724133</v>
      </c>
      <c r="G25" s="80">
        <v>102.06</v>
      </c>
    </row>
    <row r="26" spans="1:9" x14ac:dyDescent="0.25">
      <c r="A26" s="80">
        <v>2</v>
      </c>
      <c r="B26" s="80">
        <v>104.05182476356694</v>
      </c>
      <c r="C26" s="80">
        <v>-1.8418247635669474</v>
      </c>
      <c r="D26" s="80">
        <v>-0.30647884736574121</v>
      </c>
      <c r="F26" s="80">
        <v>2.5862068965517242</v>
      </c>
      <c r="G26" s="80">
        <v>102.16</v>
      </c>
    </row>
    <row r="27" spans="1:9" x14ac:dyDescent="0.25">
      <c r="A27" s="80">
        <v>3</v>
      </c>
      <c r="B27" s="80">
        <v>103.79938326980781</v>
      </c>
      <c r="C27" s="80">
        <v>-1.6393832698078086</v>
      </c>
      <c r="D27" s="80">
        <v>-0.27279266999773638</v>
      </c>
      <c r="F27" s="80">
        <v>4.3103448275862064</v>
      </c>
      <c r="G27" s="80">
        <v>102.21</v>
      </c>
    </row>
    <row r="28" spans="1:9" x14ac:dyDescent="0.25">
      <c r="A28" s="80">
        <v>4</v>
      </c>
      <c r="B28" s="80">
        <v>102.89232619377219</v>
      </c>
      <c r="C28" s="80">
        <v>-0.83232619377218953</v>
      </c>
      <c r="D28" s="80">
        <v>-0.13849872015272374</v>
      </c>
      <c r="F28" s="80">
        <v>6.0344827586206895</v>
      </c>
      <c r="G28" s="80">
        <v>102.32</v>
      </c>
    </row>
    <row r="29" spans="1:9" x14ac:dyDescent="0.25">
      <c r="A29" s="80">
        <v>5</v>
      </c>
      <c r="B29" s="80">
        <v>104.35254296544258</v>
      </c>
      <c r="C29" s="80">
        <v>-1.8025429654425835</v>
      </c>
      <c r="D29" s="80">
        <v>-0.29994237307689869</v>
      </c>
      <c r="F29" s="80">
        <v>7.7586206896551717</v>
      </c>
      <c r="G29" s="80">
        <v>102.55</v>
      </c>
    </row>
    <row r="30" spans="1:9" x14ac:dyDescent="0.25">
      <c r="A30" s="80">
        <v>6</v>
      </c>
      <c r="B30" s="80">
        <v>106.7088732033051</v>
      </c>
      <c r="C30" s="80">
        <v>-2.3588732033051087</v>
      </c>
      <c r="D30" s="80">
        <v>-0.3925154850403908</v>
      </c>
      <c r="F30" s="80">
        <v>9.4827586206896548</v>
      </c>
      <c r="G30" s="80">
        <v>104.35</v>
      </c>
    </row>
    <row r="31" spans="1:9" x14ac:dyDescent="0.25">
      <c r="A31" s="80">
        <v>7</v>
      </c>
      <c r="B31" s="80">
        <v>108.9581447312016</v>
      </c>
      <c r="C31" s="80">
        <v>-1.3881447312016064</v>
      </c>
      <c r="D31" s="80">
        <v>-0.23098668538454095</v>
      </c>
      <c r="F31" s="80">
        <v>11.206896551724139</v>
      </c>
      <c r="G31" s="80">
        <v>106.49</v>
      </c>
    </row>
    <row r="32" spans="1:9" x14ac:dyDescent="0.25">
      <c r="A32" s="80">
        <v>8</v>
      </c>
      <c r="B32" s="80">
        <v>107.8109142481926</v>
      </c>
      <c r="C32" s="80">
        <v>4.1490857518073909</v>
      </c>
      <c r="D32" s="80">
        <v>0.69040608204925358</v>
      </c>
      <c r="F32" s="80">
        <v>12.931034482758621</v>
      </c>
      <c r="G32" s="80">
        <v>106.57</v>
      </c>
    </row>
    <row r="33" spans="1:7" x14ac:dyDescent="0.25">
      <c r="A33" s="80">
        <v>9</v>
      </c>
      <c r="B33" s="80">
        <v>110.21130954806733</v>
      </c>
      <c r="C33" s="80">
        <v>5.0586904519326623</v>
      </c>
      <c r="D33" s="80">
        <v>0.84176391237452752</v>
      </c>
      <c r="F33" s="80">
        <v>14.655172413793103</v>
      </c>
      <c r="G33" s="80">
        <v>106.61</v>
      </c>
    </row>
    <row r="34" spans="1:7" x14ac:dyDescent="0.25">
      <c r="A34" s="80">
        <v>10</v>
      </c>
      <c r="B34" s="80">
        <v>112.10726017653425</v>
      </c>
      <c r="C34" s="80">
        <v>5.0627398234657477</v>
      </c>
      <c r="D34" s="80">
        <v>0.84243772605352929</v>
      </c>
      <c r="F34" s="80">
        <v>16.379310344827584</v>
      </c>
      <c r="G34" s="80">
        <v>107.03</v>
      </c>
    </row>
    <row r="35" spans="1:7" x14ac:dyDescent="0.25">
      <c r="A35" s="80">
        <v>11</v>
      </c>
      <c r="B35" s="80">
        <v>110.50152245620993</v>
      </c>
      <c r="C35" s="80">
        <v>7.1084775437900731</v>
      </c>
      <c r="D35" s="80">
        <v>1.1828476015964089</v>
      </c>
      <c r="F35" s="80">
        <v>18.103448275862068</v>
      </c>
      <c r="G35" s="80">
        <v>107.04</v>
      </c>
    </row>
    <row r="36" spans="1:7" x14ac:dyDescent="0.25">
      <c r="A36" s="80">
        <v>12</v>
      </c>
      <c r="B36" s="80">
        <v>108.63161352186765</v>
      </c>
      <c r="C36" s="80">
        <v>8.6283864781323558</v>
      </c>
      <c r="D36" s="80">
        <v>1.4357597936314375</v>
      </c>
      <c r="F36" s="80">
        <v>19.827586206896552</v>
      </c>
      <c r="G36" s="80">
        <v>107.47</v>
      </c>
    </row>
    <row r="37" spans="1:7" x14ac:dyDescent="0.25">
      <c r="A37" s="80">
        <v>13</v>
      </c>
      <c r="B37" s="80">
        <v>104.15772574728484</v>
      </c>
      <c r="C37" s="80">
        <v>11.722274252715152</v>
      </c>
      <c r="D37" s="80">
        <v>1.9505813867545272</v>
      </c>
      <c r="F37" s="80">
        <v>21.551724137931036</v>
      </c>
      <c r="G37" s="80">
        <v>107.57</v>
      </c>
    </row>
    <row r="38" spans="1:7" x14ac:dyDescent="0.25">
      <c r="A38" s="80">
        <v>14</v>
      </c>
      <c r="B38" s="80">
        <v>105.73657372709704</v>
      </c>
      <c r="C38" s="80">
        <v>7.6134262729029558</v>
      </c>
      <c r="D38" s="80">
        <v>1.266870852634475</v>
      </c>
      <c r="F38" s="80">
        <v>23.275862068965516</v>
      </c>
      <c r="G38" s="80">
        <v>107.8</v>
      </c>
    </row>
    <row r="39" spans="1:7" x14ac:dyDescent="0.25">
      <c r="A39" s="80">
        <v>15</v>
      </c>
      <c r="B39" s="80">
        <v>107.9999761852485</v>
      </c>
      <c r="C39" s="80">
        <v>3.3900238147515012</v>
      </c>
      <c r="D39" s="80">
        <v>0.56409850265849582</v>
      </c>
      <c r="F39" s="80">
        <v>25</v>
      </c>
      <c r="G39" s="80">
        <v>108.19</v>
      </c>
    </row>
    <row r="40" spans="1:7" x14ac:dyDescent="0.25">
      <c r="A40" s="80">
        <v>16</v>
      </c>
      <c r="B40" s="80">
        <v>109.2926942667726</v>
      </c>
      <c r="C40" s="80">
        <v>0.46730573322740554</v>
      </c>
      <c r="D40" s="80">
        <v>7.7759472735926219E-2</v>
      </c>
      <c r="F40" s="80">
        <v>26.72413793103448</v>
      </c>
      <c r="G40" s="80">
        <v>108.36</v>
      </c>
    </row>
    <row r="41" spans="1:7" x14ac:dyDescent="0.25">
      <c r="A41" s="80">
        <v>17</v>
      </c>
      <c r="B41" s="80">
        <v>109.54890432622008</v>
      </c>
      <c r="C41" s="80">
        <v>-4.8904326220082339E-2</v>
      </c>
      <c r="D41" s="80">
        <v>-8.1376588194538284E-3</v>
      </c>
      <c r="F41" s="80">
        <v>28.448275862068964</v>
      </c>
      <c r="G41" s="80">
        <v>108.49</v>
      </c>
    </row>
    <row r="42" spans="1:7" x14ac:dyDescent="0.25">
      <c r="A42" s="80">
        <v>18</v>
      </c>
      <c r="B42" s="80">
        <v>111.26088129595621</v>
      </c>
      <c r="C42" s="80">
        <v>-2.4008812959562107</v>
      </c>
      <c r="D42" s="80">
        <v>-0.39950561356424102</v>
      </c>
      <c r="F42" s="80">
        <v>30.172413793103448</v>
      </c>
      <c r="G42" s="80">
        <v>108.86</v>
      </c>
    </row>
    <row r="43" spans="1:7" x14ac:dyDescent="0.25">
      <c r="A43" s="80">
        <v>19</v>
      </c>
      <c r="B43" s="80">
        <v>114.21108222036003</v>
      </c>
      <c r="C43" s="80">
        <v>-5.7210822203600316</v>
      </c>
      <c r="D43" s="80">
        <v>-0.95198561734227927</v>
      </c>
      <c r="F43" s="80">
        <v>31.896551724137929</v>
      </c>
      <c r="G43" s="80">
        <v>109.5</v>
      </c>
    </row>
    <row r="44" spans="1:7" x14ac:dyDescent="0.25">
      <c r="A44" s="80">
        <v>20</v>
      </c>
      <c r="B44" s="80">
        <v>114.46589633828196</v>
      </c>
      <c r="C44" s="80">
        <v>-6.1058963382819655</v>
      </c>
      <c r="D44" s="80">
        <v>-1.0160185208213142</v>
      </c>
      <c r="F44" s="80">
        <v>33.620689655172406</v>
      </c>
      <c r="G44" s="80">
        <v>109.76</v>
      </c>
    </row>
    <row r="45" spans="1:7" x14ac:dyDescent="0.25">
      <c r="A45" s="80">
        <v>21</v>
      </c>
      <c r="B45" s="80">
        <v>113.53275468937179</v>
      </c>
      <c r="C45" s="80">
        <v>-5.3427546893717874</v>
      </c>
      <c r="D45" s="80">
        <v>-0.88903207913517435</v>
      </c>
      <c r="F45" s="80">
        <v>35.34482758620689</v>
      </c>
      <c r="G45" s="80">
        <v>111.35</v>
      </c>
    </row>
    <row r="46" spans="1:7" x14ac:dyDescent="0.25">
      <c r="A46" s="80">
        <v>22</v>
      </c>
      <c r="B46" s="80">
        <v>112.91776383633686</v>
      </c>
      <c r="C46" s="80">
        <v>-5.1177638363368629</v>
      </c>
      <c r="D46" s="80">
        <v>-0.85159369809590657</v>
      </c>
      <c r="F46" s="80">
        <v>37.068965517241374</v>
      </c>
      <c r="G46" s="80">
        <v>111.39</v>
      </c>
    </row>
    <row r="47" spans="1:7" x14ac:dyDescent="0.25">
      <c r="A47" s="80">
        <v>23</v>
      </c>
      <c r="B47" s="80">
        <v>116.10458399577533</v>
      </c>
      <c r="C47" s="80">
        <v>-8.6345839957753299</v>
      </c>
      <c r="D47" s="80">
        <v>-1.4367910578978975</v>
      </c>
      <c r="F47" s="80">
        <v>38.793103448275858</v>
      </c>
      <c r="G47" s="80">
        <v>111.96</v>
      </c>
    </row>
    <row r="48" spans="1:7" x14ac:dyDescent="0.25">
      <c r="A48" s="80">
        <v>24</v>
      </c>
      <c r="B48" s="80">
        <v>118.11514475850163</v>
      </c>
      <c r="C48" s="80">
        <v>-11.085144758501627</v>
      </c>
      <c r="D48" s="80">
        <v>-1.8445633133352524</v>
      </c>
      <c r="F48" s="80">
        <v>40.517241379310342</v>
      </c>
      <c r="G48" s="80">
        <v>113.35</v>
      </c>
    </row>
    <row r="49" spans="1:7" x14ac:dyDescent="0.25">
      <c r="A49" s="80">
        <v>25</v>
      </c>
      <c r="B49" s="80">
        <v>119.75964010445784</v>
      </c>
      <c r="C49" s="80">
        <v>-13.149640104457845</v>
      </c>
      <c r="D49" s="80">
        <v>-2.1880944497041876</v>
      </c>
      <c r="F49" s="80">
        <v>42.241379310344826</v>
      </c>
      <c r="G49" s="80">
        <v>115.27</v>
      </c>
    </row>
    <row r="50" spans="1:7" x14ac:dyDescent="0.25">
      <c r="A50" s="80">
        <v>26</v>
      </c>
      <c r="B50" s="80">
        <v>117.14389342951412</v>
      </c>
      <c r="C50" s="80">
        <v>-10.573893429514129</v>
      </c>
      <c r="D50" s="80">
        <v>-1.7594913123926414</v>
      </c>
      <c r="F50" s="80">
        <v>43.965517241379303</v>
      </c>
      <c r="G50" s="80">
        <v>115.88</v>
      </c>
    </row>
    <row r="51" spans="1:7" x14ac:dyDescent="0.25">
      <c r="A51" s="80">
        <v>27</v>
      </c>
      <c r="B51" s="80">
        <v>114.07248857197266</v>
      </c>
      <c r="C51" s="80">
        <v>-7.5824885719726609</v>
      </c>
      <c r="D51" s="80">
        <v>-1.261722832524842</v>
      </c>
      <c r="F51" s="80">
        <v>45.689655172413786</v>
      </c>
      <c r="G51" s="80">
        <v>117.17</v>
      </c>
    </row>
    <row r="52" spans="1:7" x14ac:dyDescent="0.25">
      <c r="A52" s="80">
        <v>28</v>
      </c>
      <c r="B52" s="80">
        <v>111.80077240064017</v>
      </c>
      <c r="C52" s="80">
        <v>-4.7607724006401639</v>
      </c>
      <c r="D52" s="80">
        <v>-0.79219047695565148</v>
      </c>
      <c r="F52" s="80">
        <v>47.41379310344827</v>
      </c>
      <c r="G52" s="80">
        <v>117.26</v>
      </c>
    </row>
    <row r="53" spans="1:7" x14ac:dyDescent="0.25">
      <c r="A53" s="80">
        <v>29</v>
      </c>
      <c r="B53" s="80">
        <v>115.63041648612418</v>
      </c>
      <c r="C53" s="80">
        <v>-4.2804164861241816</v>
      </c>
      <c r="D53" s="80">
        <v>-0.71225945967414583</v>
      </c>
      <c r="F53" s="80">
        <v>49.137931034482754</v>
      </c>
      <c r="G53" s="80">
        <v>117.54</v>
      </c>
    </row>
    <row r="54" spans="1:7" x14ac:dyDescent="0.25">
      <c r="A54" s="80">
        <v>30</v>
      </c>
      <c r="B54" s="80">
        <v>120.71187232569835</v>
      </c>
      <c r="C54" s="80">
        <v>-3.1718723256983452</v>
      </c>
      <c r="D54" s="80">
        <v>-0.52779818884001395</v>
      </c>
      <c r="F54" s="80">
        <v>50.862068965517238</v>
      </c>
      <c r="G54" s="80">
        <v>117.61</v>
      </c>
    </row>
    <row r="55" spans="1:7" x14ac:dyDescent="0.25">
      <c r="A55" s="80">
        <v>31</v>
      </c>
      <c r="B55" s="80">
        <v>124.57882568792758</v>
      </c>
      <c r="C55" s="80">
        <v>-1.9988256879275781</v>
      </c>
      <c r="D55" s="80">
        <v>-0.33260373355752848</v>
      </c>
      <c r="F55" s="80">
        <v>52.586206896551715</v>
      </c>
      <c r="G55" s="80">
        <v>122.58</v>
      </c>
    </row>
    <row r="56" spans="1:7" x14ac:dyDescent="0.25">
      <c r="A56" s="80">
        <v>32</v>
      </c>
      <c r="B56" s="80">
        <v>126.92477926830691</v>
      </c>
      <c r="C56" s="80">
        <v>1.2352207316930901</v>
      </c>
      <c r="D56" s="80">
        <v>0.20554019773217441</v>
      </c>
      <c r="F56" s="80">
        <v>54.310344827586199</v>
      </c>
      <c r="G56" s="80">
        <v>128.16</v>
      </c>
    </row>
    <row r="57" spans="1:7" x14ac:dyDescent="0.25">
      <c r="A57" s="80">
        <v>33</v>
      </c>
      <c r="B57" s="80">
        <v>128.64998671454947</v>
      </c>
      <c r="C57" s="80">
        <v>4.2100132854505432</v>
      </c>
      <c r="D57" s="80">
        <v>0.70054439740539409</v>
      </c>
      <c r="F57" s="80">
        <v>56.034482758620683</v>
      </c>
      <c r="G57" s="80">
        <v>128.94</v>
      </c>
    </row>
    <row r="58" spans="1:7" x14ac:dyDescent="0.25">
      <c r="A58" s="80">
        <v>34</v>
      </c>
      <c r="B58" s="80">
        <v>129.28767948351998</v>
      </c>
      <c r="C58" s="80">
        <v>5.6323205164800072</v>
      </c>
      <c r="D58" s="80">
        <v>0.93721570804717036</v>
      </c>
      <c r="F58" s="80">
        <v>57.758620689655167</v>
      </c>
      <c r="G58" s="80">
        <v>129.16</v>
      </c>
    </row>
    <row r="59" spans="1:7" x14ac:dyDescent="0.25">
      <c r="A59" s="80">
        <v>35</v>
      </c>
      <c r="B59" s="80">
        <v>128.60657436239734</v>
      </c>
      <c r="C59" s="80">
        <v>7.0934256376026497</v>
      </c>
      <c r="D59" s="80">
        <v>1.1803429708898239</v>
      </c>
      <c r="F59" s="80">
        <v>59.482758620689651</v>
      </c>
      <c r="G59" s="80">
        <v>129.30000000000001</v>
      </c>
    </row>
    <row r="60" spans="1:7" x14ac:dyDescent="0.25">
      <c r="A60" s="80">
        <v>36</v>
      </c>
      <c r="B60" s="80">
        <v>130.06509980559827</v>
      </c>
      <c r="C60" s="80">
        <v>6.0749001944017209</v>
      </c>
      <c r="D60" s="80">
        <v>1.0108607758299815</v>
      </c>
      <c r="F60" s="80">
        <v>61.206896551724128</v>
      </c>
      <c r="G60" s="80">
        <v>130.28</v>
      </c>
    </row>
    <row r="61" spans="1:7" x14ac:dyDescent="0.25">
      <c r="A61" s="80">
        <v>37</v>
      </c>
      <c r="B61" s="80">
        <v>129.22598172667517</v>
      </c>
      <c r="C61" s="80">
        <v>10.924018273324833</v>
      </c>
      <c r="D61" s="80">
        <v>1.8177519356005747</v>
      </c>
      <c r="F61" s="80">
        <v>62.931034482758612</v>
      </c>
      <c r="G61" s="80">
        <v>130.59</v>
      </c>
    </row>
    <row r="62" spans="1:7" x14ac:dyDescent="0.25">
      <c r="A62" s="80">
        <v>38</v>
      </c>
      <c r="B62" s="80">
        <v>128.90057965775605</v>
      </c>
      <c r="C62" s="80">
        <v>11.189420342243949</v>
      </c>
      <c r="D62" s="80">
        <v>1.8619147255574688</v>
      </c>
      <c r="F62" s="80">
        <v>64.655172413793096</v>
      </c>
      <c r="G62" s="80">
        <v>131.22</v>
      </c>
    </row>
    <row r="63" spans="1:7" x14ac:dyDescent="0.25">
      <c r="A63" s="80">
        <v>39</v>
      </c>
      <c r="B63" s="80">
        <v>128.00141227170769</v>
      </c>
      <c r="C63" s="80">
        <v>11.098587728292301</v>
      </c>
      <c r="D63" s="80">
        <v>1.8468002177184031</v>
      </c>
      <c r="F63" s="80">
        <v>66.379310344827573</v>
      </c>
      <c r="G63" s="80">
        <v>132.01</v>
      </c>
    </row>
    <row r="64" spans="1:7" x14ac:dyDescent="0.25">
      <c r="A64" s="80">
        <v>40</v>
      </c>
      <c r="B64" s="80">
        <v>128.20379997138099</v>
      </c>
      <c r="C64" s="80">
        <v>9.2962000286190118</v>
      </c>
      <c r="D64" s="80">
        <v>1.5468836807986404</v>
      </c>
      <c r="F64" s="80">
        <v>68.103448275862064</v>
      </c>
      <c r="G64" s="80">
        <v>132.52000000000001</v>
      </c>
    </row>
    <row r="65" spans="1:7" x14ac:dyDescent="0.25">
      <c r="A65" s="80">
        <v>41</v>
      </c>
      <c r="B65" s="80">
        <v>129.19158344061958</v>
      </c>
      <c r="C65" s="80">
        <v>6.9284165593804232</v>
      </c>
      <c r="D65" s="80">
        <v>1.1528855313446567</v>
      </c>
      <c r="F65" s="80">
        <v>69.827586206896541</v>
      </c>
      <c r="G65" s="80">
        <v>132.86000000000001</v>
      </c>
    </row>
    <row r="66" spans="1:7" x14ac:dyDescent="0.25">
      <c r="A66" s="80">
        <v>42</v>
      </c>
      <c r="B66" s="80">
        <v>128.25453982546571</v>
      </c>
      <c r="C66" s="80">
        <v>6.9654601745342859</v>
      </c>
      <c r="D66" s="80">
        <v>1.1590495729512147</v>
      </c>
      <c r="F66" s="80">
        <v>71.551724137931032</v>
      </c>
      <c r="G66" s="80">
        <v>133.72999999999999</v>
      </c>
    </row>
    <row r="67" spans="1:7" x14ac:dyDescent="0.25">
      <c r="A67" s="80">
        <v>43</v>
      </c>
      <c r="B67" s="80">
        <v>128.20379997138099</v>
      </c>
      <c r="C67" s="80">
        <v>6.5262000286190016</v>
      </c>
      <c r="D67" s="80">
        <v>1.0859568738645189</v>
      </c>
      <c r="F67" s="80">
        <v>73.275862068965509</v>
      </c>
      <c r="G67" s="80">
        <v>134.25</v>
      </c>
    </row>
    <row r="68" spans="1:7" x14ac:dyDescent="0.25">
      <c r="A68" s="80">
        <v>44</v>
      </c>
      <c r="B68" s="80">
        <v>131.26905887476562</v>
      </c>
      <c r="C68" s="80">
        <v>3.1209411252343671</v>
      </c>
      <c r="D68" s="80">
        <v>0.51932325901937026</v>
      </c>
      <c r="F68" s="80">
        <v>74.999999999999986</v>
      </c>
      <c r="G68" s="80">
        <v>134.27000000000001</v>
      </c>
    </row>
    <row r="69" spans="1:7" x14ac:dyDescent="0.25">
      <c r="A69" s="80">
        <v>45</v>
      </c>
      <c r="B69" s="80">
        <v>135.06750628752218</v>
      </c>
      <c r="C69" s="80">
        <v>-0.55750628752218745</v>
      </c>
      <c r="D69" s="80">
        <v>-9.2768806120323885E-2</v>
      </c>
      <c r="F69" s="80">
        <v>76.724137931034477</v>
      </c>
      <c r="G69" s="80">
        <v>134.38999999999999</v>
      </c>
    </row>
    <row r="70" spans="1:7" x14ac:dyDescent="0.25">
      <c r="A70" s="80">
        <v>46</v>
      </c>
      <c r="B70" s="80">
        <v>139.96905718530348</v>
      </c>
      <c r="C70" s="80">
        <v>-5.509057185303476</v>
      </c>
      <c r="D70" s="80">
        <v>-0.9167047428301085</v>
      </c>
      <c r="F70" s="80">
        <v>78.448275862068954</v>
      </c>
      <c r="G70" s="80">
        <v>134.46</v>
      </c>
    </row>
    <row r="71" spans="1:7" x14ac:dyDescent="0.25">
      <c r="A71" s="80">
        <v>47</v>
      </c>
      <c r="B71" s="80">
        <v>136.43240836240204</v>
      </c>
      <c r="C71" s="80">
        <v>-2.1624083624020329</v>
      </c>
      <c r="D71" s="80">
        <v>-0.35982382013343245</v>
      </c>
      <c r="F71" s="80">
        <v>80.172413793103445</v>
      </c>
      <c r="G71" s="80">
        <v>134.51</v>
      </c>
    </row>
    <row r="72" spans="1:7" x14ac:dyDescent="0.25">
      <c r="A72" s="80">
        <v>48</v>
      </c>
      <c r="B72" s="80">
        <v>134.16513728814573</v>
      </c>
      <c r="C72" s="80">
        <v>-0.43513728814573938</v>
      </c>
      <c r="D72" s="80">
        <v>-7.2406657329598431E-2</v>
      </c>
      <c r="F72" s="80">
        <v>81.896551724137922</v>
      </c>
      <c r="G72" s="80">
        <v>134.72999999999999</v>
      </c>
    </row>
    <row r="73" spans="1:7" x14ac:dyDescent="0.25">
      <c r="A73" s="80">
        <v>49</v>
      </c>
      <c r="B73" s="80">
        <v>131.99651592456343</v>
      </c>
      <c r="C73" s="80">
        <v>1.348407543656549E-2</v>
      </c>
      <c r="D73" s="80">
        <v>2.2437443449223569E-3</v>
      </c>
      <c r="F73" s="80">
        <v>83.620689655172413</v>
      </c>
      <c r="G73" s="80">
        <v>134.91999999999999</v>
      </c>
    </row>
    <row r="74" spans="1:7" x14ac:dyDescent="0.25">
      <c r="A74" s="80">
        <v>50</v>
      </c>
      <c r="B74" s="80">
        <v>132.60592301149626</v>
      </c>
      <c r="C74" s="80">
        <v>-2.0159230114962554</v>
      </c>
      <c r="D74" s="80">
        <v>-0.33544872083537325</v>
      </c>
      <c r="F74" s="80">
        <v>85.34482758620689</v>
      </c>
      <c r="G74" s="80">
        <v>135.22</v>
      </c>
    </row>
    <row r="75" spans="1:7" x14ac:dyDescent="0.25">
      <c r="A75" s="80">
        <v>51</v>
      </c>
      <c r="B75" s="80">
        <v>131.69906127198811</v>
      </c>
      <c r="C75" s="80">
        <v>-1.419061271988113</v>
      </c>
      <c r="D75" s="80">
        <v>-0.23613118445536152</v>
      </c>
      <c r="F75" s="80">
        <v>87.068965517241367</v>
      </c>
      <c r="G75" s="80">
        <v>135.69999999999999</v>
      </c>
    </row>
    <row r="76" spans="1:7" x14ac:dyDescent="0.25">
      <c r="A76" s="80">
        <v>52</v>
      </c>
      <c r="B76" s="80">
        <v>131.42132131576977</v>
      </c>
      <c r="C76" s="80">
        <v>-2.2613213157697771</v>
      </c>
      <c r="D76" s="80">
        <v>-0.37628289297105622</v>
      </c>
      <c r="F76" s="80">
        <v>88.793103448275858</v>
      </c>
      <c r="G76" s="80">
        <v>136.06</v>
      </c>
    </row>
    <row r="77" spans="1:7" x14ac:dyDescent="0.25">
      <c r="A77" s="80">
        <v>53</v>
      </c>
      <c r="B77" s="80">
        <v>133.81210224704898</v>
      </c>
      <c r="C77" s="80">
        <v>-4.8721022470489856</v>
      </c>
      <c r="D77" s="80">
        <v>-0.81071571544723431</v>
      </c>
      <c r="F77" s="80">
        <v>90.517241379310335</v>
      </c>
      <c r="G77" s="80">
        <v>136.12</v>
      </c>
    </row>
    <row r="78" spans="1:7" x14ac:dyDescent="0.25">
      <c r="A78" s="80">
        <v>54</v>
      </c>
      <c r="B78" s="80">
        <v>134.1156170962812</v>
      </c>
      <c r="C78" s="80">
        <v>-4.8156170962811871</v>
      </c>
      <c r="D78" s="80">
        <v>-0.80131661068817517</v>
      </c>
      <c r="F78" s="80">
        <v>92.241379310344826</v>
      </c>
      <c r="G78" s="80">
        <v>136.13999999999999</v>
      </c>
    </row>
    <row r="79" spans="1:7" x14ac:dyDescent="0.25">
      <c r="A79" s="80">
        <v>55</v>
      </c>
      <c r="B79" s="80">
        <v>134.9871181600131</v>
      </c>
      <c r="C79" s="80">
        <v>-3.7671181600130978</v>
      </c>
      <c r="D79" s="80">
        <v>-0.6268468392918316</v>
      </c>
      <c r="F79" s="80">
        <v>93.965517241379303</v>
      </c>
      <c r="G79" s="80">
        <v>137.5</v>
      </c>
    </row>
    <row r="80" spans="1:7" x14ac:dyDescent="0.25">
      <c r="A80" s="80">
        <v>56</v>
      </c>
      <c r="B80" s="80">
        <v>137.51201429246464</v>
      </c>
      <c r="C80" s="80">
        <v>-4.9920142924646314</v>
      </c>
      <c r="D80" s="80">
        <v>-0.83066902815711607</v>
      </c>
      <c r="F80" s="80">
        <v>95.689655172413779</v>
      </c>
      <c r="G80" s="80">
        <v>139.1</v>
      </c>
    </row>
    <row r="81" spans="1:7" x14ac:dyDescent="0.25">
      <c r="A81" s="80">
        <v>57</v>
      </c>
      <c r="B81" s="80">
        <v>138.54024195149907</v>
      </c>
      <c r="C81" s="80">
        <v>-4.2902419514990697</v>
      </c>
      <c r="D81" s="80">
        <v>-0.71389441288060396</v>
      </c>
      <c r="F81" s="80">
        <v>97.41379310344827</v>
      </c>
      <c r="G81" s="80">
        <v>140.09</v>
      </c>
    </row>
    <row r="82" spans="1:7" ht="15.75" thickBot="1" x14ac:dyDescent="0.3">
      <c r="A82" s="81">
        <v>58</v>
      </c>
      <c r="B82" s="81">
        <v>140.18874407842105</v>
      </c>
      <c r="C82" s="81">
        <v>-4.1287440784210503</v>
      </c>
      <c r="D82" s="81">
        <v>-0.6870212363591226</v>
      </c>
      <c r="F82" s="81">
        <v>99.137931034482747</v>
      </c>
      <c r="G82" s="81">
        <v>140.15</v>
      </c>
    </row>
  </sheetData>
  <sortState ref="G25:G82">
    <sortCondition ref="G25"/>
  </sortState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zoomScaleNormal="100" workbookViewId="0">
      <selection activeCell="C9" sqref="C9"/>
    </sheetView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83" t="s">
        <v>22</v>
      </c>
      <c r="B3" s="83"/>
    </row>
    <row r="4" spans="1:9" x14ac:dyDescent="0.25">
      <c r="A4" s="80" t="s">
        <v>23</v>
      </c>
      <c r="B4" s="80">
        <v>0.96899418021694927</v>
      </c>
    </row>
    <row r="5" spans="1:9" x14ac:dyDescent="0.25">
      <c r="A5" s="80" t="s">
        <v>24</v>
      </c>
      <c r="B5" s="80">
        <v>0.93894972129431753</v>
      </c>
    </row>
    <row r="6" spans="1:9" x14ac:dyDescent="0.25">
      <c r="A6" s="80" t="s">
        <v>25</v>
      </c>
      <c r="B6" s="80">
        <v>0.93785953774600184</v>
      </c>
    </row>
    <row r="7" spans="1:9" x14ac:dyDescent="0.25">
      <c r="A7" s="80" t="s">
        <v>26</v>
      </c>
      <c r="B7" s="80">
        <v>3.2538963503044158</v>
      </c>
    </row>
    <row r="8" spans="1:9" ht="15.75" thickBot="1" x14ac:dyDescent="0.3">
      <c r="A8" s="81" t="s">
        <v>27</v>
      </c>
      <c r="B8" s="81">
        <v>58</v>
      </c>
    </row>
    <row r="10" spans="1:9" ht="15.75" thickBot="1" x14ac:dyDescent="0.3">
      <c r="A10" t="s">
        <v>28</v>
      </c>
    </row>
    <row r="11" spans="1:9" x14ac:dyDescent="0.25">
      <c r="A11" s="82"/>
      <c r="B11" s="82" t="s">
        <v>33</v>
      </c>
      <c r="C11" s="82" t="s">
        <v>34</v>
      </c>
      <c r="D11" s="82" t="s">
        <v>35</v>
      </c>
      <c r="E11" s="82" t="s">
        <v>36</v>
      </c>
      <c r="F11" s="82" t="s">
        <v>37</v>
      </c>
    </row>
    <row r="12" spans="1:9" x14ac:dyDescent="0.25">
      <c r="A12" s="80" t="s">
        <v>29</v>
      </c>
      <c r="B12" s="80">
        <v>1</v>
      </c>
      <c r="C12" s="80">
        <v>9119.0614662536664</v>
      </c>
      <c r="D12" s="80">
        <v>9119.0614662536664</v>
      </c>
      <c r="E12" s="80">
        <v>861.27672972585003</v>
      </c>
      <c r="F12" s="80">
        <v>1.0923324597513485E-35</v>
      </c>
    </row>
    <row r="13" spans="1:9" x14ac:dyDescent="0.25">
      <c r="A13" s="80" t="s">
        <v>30</v>
      </c>
      <c r="B13" s="80">
        <v>56</v>
      </c>
      <c r="C13" s="80">
        <v>592.91912167736621</v>
      </c>
      <c r="D13" s="80">
        <v>10.587841458524396</v>
      </c>
      <c r="E13" s="80"/>
      <c r="F13" s="80"/>
    </row>
    <row r="14" spans="1:9" ht="15.75" thickBot="1" x14ac:dyDescent="0.3">
      <c r="A14" s="81" t="s">
        <v>31</v>
      </c>
      <c r="B14" s="81">
        <v>57</v>
      </c>
      <c r="C14" s="81">
        <v>9711.9805879310334</v>
      </c>
      <c r="D14" s="81"/>
      <c r="E14" s="81"/>
      <c r="F14" s="81"/>
    </row>
    <row r="15" spans="1:9" ht="15.75" thickBot="1" x14ac:dyDescent="0.3"/>
    <row r="16" spans="1:9" x14ac:dyDescent="0.25">
      <c r="A16" s="82"/>
      <c r="B16" s="82" t="s">
        <v>38</v>
      </c>
      <c r="C16" s="82" t="s">
        <v>26</v>
      </c>
      <c r="D16" s="82" t="s">
        <v>39</v>
      </c>
      <c r="E16" s="82" t="s">
        <v>40</v>
      </c>
      <c r="F16" s="82" t="s">
        <v>41</v>
      </c>
      <c r="G16" s="82" t="s">
        <v>42</v>
      </c>
      <c r="H16" s="82" t="s">
        <v>569</v>
      </c>
      <c r="I16" s="82" t="s">
        <v>570</v>
      </c>
    </row>
    <row r="17" spans="1:9" x14ac:dyDescent="0.25">
      <c r="A17" s="80" t="s">
        <v>32</v>
      </c>
      <c r="B17" s="80">
        <v>29.680478961243324</v>
      </c>
      <c r="C17" s="80">
        <v>3.1380225580721639</v>
      </c>
      <c r="D17" s="80">
        <v>9.4583383044503826</v>
      </c>
      <c r="E17" s="80">
        <v>3.3061599840376459E-13</v>
      </c>
      <c r="F17" s="80">
        <v>23.394264396250001</v>
      </c>
      <c r="G17" s="80">
        <v>35.966693526236647</v>
      </c>
      <c r="H17" s="80">
        <v>23.394264396250001</v>
      </c>
      <c r="I17" s="80">
        <v>35.966693526236647</v>
      </c>
    </row>
    <row r="18" spans="1:9" ht="15.75" thickBot="1" x14ac:dyDescent="0.3">
      <c r="A18" s="81" t="s">
        <v>575</v>
      </c>
      <c r="B18" s="81">
        <v>1.069265640312617E-3</v>
      </c>
      <c r="C18" s="81">
        <v>3.6434620871714301E-5</v>
      </c>
      <c r="D18" s="81">
        <v>29.347516585323714</v>
      </c>
      <c r="E18" s="81">
        <v>1.0923324597513329E-35</v>
      </c>
      <c r="F18" s="81">
        <v>9.9627832420661421E-4</v>
      </c>
      <c r="G18" s="81">
        <v>1.1422529564186197E-3</v>
      </c>
      <c r="H18" s="81">
        <v>9.9627832420661421E-4</v>
      </c>
      <c r="I18" s="81">
        <v>1.1422529564186197E-3</v>
      </c>
    </row>
    <row r="22" spans="1:9" x14ac:dyDescent="0.25">
      <c r="A22" t="s">
        <v>57</v>
      </c>
      <c r="F22" t="s">
        <v>61</v>
      </c>
    </row>
    <row r="23" spans="1:9" ht="15.75" thickBot="1" x14ac:dyDescent="0.3"/>
    <row r="24" spans="1:9" x14ac:dyDescent="0.25">
      <c r="A24" s="82" t="s">
        <v>58</v>
      </c>
      <c r="B24" s="82" t="s">
        <v>651</v>
      </c>
      <c r="C24" s="82" t="s">
        <v>59</v>
      </c>
      <c r="D24" s="82" t="s">
        <v>60</v>
      </c>
      <c r="F24" s="82" t="s">
        <v>62</v>
      </c>
      <c r="G24" s="82" t="s">
        <v>48</v>
      </c>
    </row>
    <row r="25" spans="1:9" x14ac:dyDescent="0.25">
      <c r="A25" s="80">
        <v>1</v>
      </c>
      <c r="B25" s="80">
        <v>105.48456955930988</v>
      </c>
      <c r="C25" s="80">
        <v>-3.1645695593098822</v>
      </c>
      <c r="D25" s="80">
        <v>-0.98119278427929935</v>
      </c>
      <c r="F25" s="80">
        <v>0.86206896551724133</v>
      </c>
      <c r="G25" s="80">
        <v>102.06</v>
      </c>
    </row>
    <row r="26" spans="1:9" x14ac:dyDescent="0.25">
      <c r="A26" s="80">
        <v>2</v>
      </c>
      <c r="B26" s="80">
        <v>104.94927379445656</v>
      </c>
      <c r="C26" s="80">
        <v>-2.7392737944565653</v>
      </c>
      <c r="D26" s="80">
        <v>-0.8493274143331816</v>
      </c>
      <c r="F26" s="80">
        <v>2.5862068965517242</v>
      </c>
      <c r="G26" s="80">
        <v>102.16</v>
      </c>
    </row>
    <row r="27" spans="1:9" x14ac:dyDescent="0.25">
      <c r="A27" s="80">
        <v>3</v>
      </c>
      <c r="B27" s="80">
        <v>104.80347942439994</v>
      </c>
      <c r="C27" s="80">
        <v>-2.643479424399942</v>
      </c>
      <c r="D27" s="80">
        <v>-0.81962582525051431</v>
      </c>
      <c r="F27" s="80">
        <v>4.3103448275862064</v>
      </c>
      <c r="G27" s="80">
        <v>102.21</v>
      </c>
    </row>
    <row r="28" spans="1:9" x14ac:dyDescent="0.25">
      <c r="A28" s="80">
        <v>4</v>
      </c>
      <c r="B28" s="80">
        <v>104.73197763103222</v>
      </c>
      <c r="C28" s="80">
        <v>-2.6719776310322203</v>
      </c>
      <c r="D28" s="80">
        <v>-0.82846185624570279</v>
      </c>
      <c r="F28" s="80">
        <v>6.0344827586206895</v>
      </c>
      <c r="G28" s="80">
        <v>102.32</v>
      </c>
    </row>
    <row r="29" spans="1:9" x14ac:dyDescent="0.25">
      <c r="A29" s="80">
        <v>5</v>
      </c>
      <c r="B29" s="80">
        <v>105.03049521249471</v>
      </c>
      <c r="C29" s="80">
        <v>-2.4804952124947164</v>
      </c>
      <c r="D29" s="80">
        <v>-0.76909164368942706</v>
      </c>
      <c r="F29" s="80">
        <v>7.7586206896551717</v>
      </c>
      <c r="G29" s="80">
        <v>102.55</v>
      </c>
    </row>
    <row r="30" spans="1:9" x14ac:dyDescent="0.25">
      <c r="A30" s="80">
        <v>6</v>
      </c>
      <c r="B30" s="80">
        <v>105.08551962234519</v>
      </c>
      <c r="C30" s="80">
        <v>-0.73551962234519408</v>
      </c>
      <c r="D30" s="80">
        <v>-0.2280520407642177</v>
      </c>
      <c r="F30" s="80">
        <v>9.4827586206896548</v>
      </c>
      <c r="G30" s="80">
        <v>104.35</v>
      </c>
    </row>
    <row r="31" spans="1:9" x14ac:dyDescent="0.25">
      <c r="A31" s="80">
        <v>7</v>
      </c>
      <c r="B31" s="80">
        <v>109.15393637920147</v>
      </c>
      <c r="C31" s="80">
        <v>-1.5839363792014751</v>
      </c>
      <c r="D31" s="80">
        <v>-0.49110847996935486</v>
      </c>
      <c r="F31" s="80">
        <v>11.206896551724139</v>
      </c>
      <c r="G31" s="80">
        <v>106.49</v>
      </c>
    </row>
    <row r="32" spans="1:9" x14ac:dyDescent="0.25">
      <c r="A32" s="80">
        <v>8</v>
      </c>
      <c r="B32" s="80">
        <v>111.34926705064011</v>
      </c>
      <c r="C32" s="80">
        <v>0.61073294935988542</v>
      </c>
      <c r="D32" s="80">
        <v>0.18936122332043662</v>
      </c>
      <c r="F32" s="80">
        <v>12.931034482758621</v>
      </c>
      <c r="G32" s="80">
        <v>106.57</v>
      </c>
    </row>
    <row r="33" spans="1:7" x14ac:dyDescent="0.25">
      <c r="A33" s="80">
        <v>9</v>
      </c>
      <c r="B33" s="80">
        <v>114.87659262287258</v>
      </c>
      <c r="C33" s="80">
        <v>0.39340737712741713</v>
      </c>
      <c r="D33" s="80">
        <v>0.12197819402770406</v>
      </c>
      <c r="F33" s="80">
        <v>14.655172413793103</v>
      </c>
      <c r="G33" s="80">
        <v>106.61</v>
      </c>
    </row>
    <row r="34" spans="1:7" x14ac:dyDescent="0.25">
      <c r="A34" s="80">
        <v>10</v>
      </c>
      <c r="B34" s="80">
        <v>115.93273837377855</v>
      </c>
      <c r="C34" s="80">
        <v>1.2372616262214535</v>
      </c>
      <c r="D34" s="80">
        <v>0.3836200017606517</v>
      </c>
      <c r="F34" s="80">
        <v>16.379310344827584</v>
      </c>
      <c r="G34" s="80">
        <v>107.03</v>
      </c>
    </row>
    <row r="35" spans="1:7" x14ac:dyDescent="0.25">
      <c r="A35" s="80">
        <v>11</v>
      </c>
      <c r="B35" s="80">
        <v>117.62422038284549</v>
      </c>
      <c r="C35" s="80">
        <v>-1.4220382845493873E-2</v>
      </c>
      <c r="D35" s="80">
        <v>-4.4091105523781007E-3</v>
      </c>
      <c r="F35" s="80">
        <v>18.103448275862068</v>
      </c>
      <c r="G35" s="80">
        <v>107.04</v>
      </c>
    </row>
    <row r="36" spans="1:7" x14ac:dyDescent="0.25">
      <c r="A36" s="80">
        <v>12</v>
      </c>
      <c r="B36" s="80">
        <v>117.18571454375328</v>
      </c>
      <c r="C36" s="80">
        <v>7.4285456246727222E-2</v>
      </c>
      <c r="D36" s="80">
        <v>2.3032628065246124E-2</v>
      </c>
      <c r="F36" s="80">
        <v>19.827586206896552</v>
      </c>
      <c r="G36" s="80">
        <v>107.47</v>
      </c>
    </row>
    <row r="37" spans="1:7" x14ac:dyDescent="0.25">
      <c r="A37" s="80">
        <v>13</v>
      </c>
      <c r="B37" s="80">
        <v>113.37756773640551</v>
      </c>
      <c r="C37" s="80">
        <v>2.5024322635944856</v>
      </c>
      <c r="D37" s="80">
        <v>0.77589335110778246</v>
      </c>
      <c r="F37" s="80">
        <v>21.551724137931036</v>
      </c>
      <c r="G37" s="80">
        <v>107.57</v>
      </c>
    </row>
    <row r="38" spans="1:7" x14ac:dyDescent="0.25">
      <c r="A38" s="80">
        <v>14</v>
      </c>
      <c r="B38" s="80">
        <v>108.51788371306151</v>
      </c>
      <c r="C38" s="80">
        <v>4.8321162869384864</v>
      </c>
      <c r="D38" s="80">
        <v>1.4982251281518599</v>
      </c>
      <c r="F38" s="80">
        <v>23.275862068965516</v>
      </c>
      <c r="G38" s="80">
        <v>107.8</v>
      </c>
    </row>
    <row r="39" spans="1:7" x14ac:dyDescent="0.25">
      <c r="A39" s="80">
        <v>15</v>
      </c>
      <c r="B39" s="80">
        <v>105.90765658786876</v>
      </c>
      <c r="C39" s="80">
        <v>5.4823434121312431</v>
      </c>
      <c r="D39" s="80">
        <v>1.6998317452365979</v>
      </c>
      <c r="F39" s="80">
        <v>25</v>
      </c>
      <c r="G39" s="80">
        <v>108.19</v>
      </c>
    </row>
    <row r="40" spans="1:7" x14ac:dyDescent="0.25">
      <c r="A40" s="80">
        <v>16</v>
      </c>
      <c r="B40" s="80">
        <v>107.56539257332743</v>
      </c>
      <c r="C40" s="80">
        <v>2.1946074266725759</v>
      </c>
      <c r="D40" s="80">
        <v>0.68045051025722558</v>
      </c>
      <c r="F40" s="80">
        <v>26.72413793103448</v>
      </c>
      <c r="G40" s="80">
        <v>108.36</v>
      </c>
    </row>
    <row r="41" spans="1:7" x14ac:dyDescent="0.25">
      <c r="A41" s="80">
        <v>17</v>
      </c>
      <c r="B41" s="80">
        <v>105.45761337251759</v>
      </c>
      <c r="C41" s="80">
        <v>4.042386627482415</v>
      </c>
      <c r="D41" s="80">
        <v>1.2533649571658798</v>
      </c>
      <c r="F41" s="80">
        <v>28.448275862068964</v>
      </c>
      <c r="G41" s="80">
        <v>108.49</v>
      </c>
    </row>
    <row r="42" spans="1:7" x14ac:dyDescent="0.25">
      <c r="A42" s="80">
        <v>18</v>
      </c>
      <c r="B42" s="80">
        <v>107.35752733285065</v>
      </c>
      <c r="C42" s="80">
        <v>1.5024726671493482</v>
      </c>
      <c r="D42" s="80">
        <v>0.46585019287909268</v>
      </c>
      <c r="F42" s="80">
        <v>30.172413793103448</v>
      </c>
      <c r="G42" s="80">
        <v>108.86</v>
      </c>
    </row>
    <row r="43" spans="1:7" x14ac:dyDescent="0.25">
      <c r="A43" s="80">
        <v>19</v>
      </c>
      <c r="B43" s="80">
        <v>107.41804776809235</v>
      </c>
      <c r="C43" s="80">
        <v>1.0719522319076447</v>
      </c>
      <c r="D43" s="80">
        <v>0.33236488417377114</v>
      </c>
      <c r="F43" s="80">
        <v>31.896551724137929</v>
      </c>
      <c r="G43" s="80">
        <v>109.5</v>
      </c>
    </row>
    <row r="44" spans="1:7" x14ac:dyDescent="0.25">
      <c r="A44" s="80">
        <v>20</v>
      </c>
      <c r="B44" s="80">
        <v>107.54005097765202</v>
      </c>
      <c r="C44" s="80">
        <v>0.81994902234798417</v>
      </c>
      <c r="D44" s="80">
        <v>0.25422985626524086</v>
      </c>
      <c r="F44" s="80">
        <v>33.620689655172406</v>
      </c>
      <c r="G44" s="80">
        <v>109.76</v>
      </c>
    </row>
    <row r="45" spans="1:7" x14ac:dyDescent="0.25">
      <c r="A45" s="80">
        <v>21</v>
      </c>
      <c r="B45" s="80">
        <v>107.50804785703747</v>
      </c>
      <c r="C45" s="80">
        <v>0.68195214296252971</v>
      </c>
      <c r="D45" s="80">
        <v>0.21144313921940144</v>
      </c>
      <c r="F45" s="80">
        <v>35.34482758620689</v>
      </c>
      <c r="G45" s="80">
        <v>111.35</v>
      </c>
    </row>
    <row r="46" spans="1:7" x14ac:dyDescent="0.25">
      <c r="A46" s="80">
        <v>22</v>
      </c>
      <c r="B46" s="80">
        <v>104.22489978642677</v>
      </c>
      <c r="C46" s="80">
        <v>3.5751002135732222</v>
      </c>
      <c r="D46" s="80">
        <v>1.1084801477387685</v>
      </c>
      <c r="F46" s="80">
        <v>37.068965517241374</v>
      </c>
      <c r="G46" s="80">
        <v>111.39</v>
      </c>
    </row>
    <row r="47" spans="1:7" x14ac:dyDescent="0.25">
      <c r="A47" s="80">
        <v>23</v>
      </c>
      <c r="B47" s="80">
        <v>105.07230349903092</v>
      </c>
      <c r="C47" s="80">
        <v>2.3976965009690758</v>
      </c>
      <c r="D47" s="80">
        <v>0.7434194324221548</v>
      </c>
      <c r="F47" s="80">
        <v>38.793103448275858</v>
      </c>
      <c r="G47" s="80">
        <v>111.96</v>
      </c>
    </row>
    <row r="48" spans="1:7" x14ac:dyDescent="0.25">
      <c r="A48" s="80">
        <v>24</v>
      </c>
      <c r="B48" s="80">
        <v>104.4000668836228</v>
      </c>
      <c r="C48" s="80">
        <v>2.6299331163772024</v>
      </c>
      <c r="D48" s="80">
        <v>0.81542571542943787</v>
      </c>
      <c r="F48" s="80">
        <v>40.517241379310342</v>
      </c>
      <c r="G48" s="80">
        <v>113.35</v>
      </c>
    </row>
    <row r="49" spans="1:7" x14ac:dyDescent="0.25">
      <c r="A49" s="80">
        <v>25</v>
      </c>
      <c r="B49" s="80">
        <v>109.03992058397493</v>
      </c>
      <c r="C49" s="80">
        <v>-2.4299205839749334</v>
      </c>
      <c r="D49" s="80">
        <v>-0.75341069257074189</v>
      </c>
      <c r="F49" s="80">
        <v>42.241379310344826</v>
      </c>
      <c r="G49" s="80">
        <v>115.27</v>
      </c>
    </row>
    <row r="50" spans="1:7" x14ac:dyDescent="0.25">
      <c r="A50" s="80">
        <v>26</v>
      </c>
      <c r="B50" s="80">
        <v>107.22067202354705</v>
      </c>
      <c r="C50" s="80">
        <v>-0.65067202354705955</v>
      </c>
      <c r="D50" s="80">
        <v>-0.20174456034899504</v>
      </c>
      <c r="F50" s="80">
        <v>43.965517241379303</v>
      </c>
      <c r="G50" s="80">
        <v>115.88</v>
      </c>
    </row>
    <row r="51" spans="1:7" x14ac:dyDescent="0.25">
      <c r="A51" s="80">
        <v>27</v>
      </c>
      <c r="B51" s="80">
        <v>111.72542401024567</v>
      </c>
      <c r="C51" s="80">
        <v>-5.2354240102456799</v>
      </c>
      <c r="D51" s="80">
        <v>-1.6232729808018198</v>
      </c>
      <c r="F51" s="80">
        <v>45.689655172413786</v>
      </c>
      <c r="G51" s="80">
        <v>117.17</v>
      </c>
    </row>
    <row r="52" spans="1:7" x14ac:dyDescent="0.25">
      <c r="A52" s="80">
        <v>28</v>
      </c>
      <c r="B52" s="80">
        <v>113.82762164441309</v>
      </c>
      <c r="C52" s="80">
        <v>-6.787621644413079</v>
      </c>
      <c r="D52" s="80">
        <v>-2.1045406824201667</v>
      </c>
      <c r="F52" s="80">
        <v>47.41379310344827</v>
      </c>
      <c r="G52" s="80">
        <v>117.26</v>
      </c>
    </row>
    <row r="53" spans="1:7" x14ac:dyDescent="0.25">
      <c r="A53" s="80">
        <v>29</v>
      </c>
      <c r="B53" s="80">
        <v>117.52490699017325</v>
      </c>
      <c r="C53" s="80">
        <v>-6.1749069901732554</v>
      </c>
      <c r="D53" s="80">
        <v>-1.9145650202345623</v>
      </c>
      <c r="F53" s="80">
        <v>49.137931034482754</v>
      </c>
      <c r="G53" s="80">
        <v>117.54</v>
      </c>
    </row>
    <row r="54" spans="1:7" x14ac:dyDescent="0.25">
      <c r="A54" s="80">
        <v>30</v>
      </c>
      <c r="B54" s="80">
        <v>122.28086155375054</v>
      </c>
      <c r="C54" s="80">
        <v>-4.7408615537505341</v>
      </c>
      <c r="D54" s="80">
        <v>-1.4699310792907954</v>
      </c>
      <c r="F54" s="80">
        <v>50.862068965517238</v>
      </c>
      <c r="G54" s="80">
        <v>117.61</v>
      </c>
    </row>
    <row r="55" spans="1:7" x14ac:dyDescent="0.25">
      <c r="A55" s="80">
        <v>31</v>
      </c>
      <c r="B55" s="80">
        <v>127.88667914090468</v>
      </c>
      <c r="C55" s="80">
        <v>-5.3066791409046772</v>
      </c>
      <c r="D55" s="80">
        <v>-1.6453660391894298</v>
      </c>
      <c r="F55" s="80">
        <v>52.586206896551715</v>
      </c>
      <c r="G55" s="80">
        <v>122.58</v>
      </c>
    </row>
    <row r="56" spans="1:7" x14ac:dyDescent="0.25">
      <c r="A56" s="80">
        <v>32</v>
      </c>
      <c r="B56" s="80">
        <v>131.76779263554738</v>
      </c>
      <c r="C56" s="80">
        <v>-3.6077926355473835</v>
      </c>
      <c r="D56" s="80">
        <v>-1.1186166190472571</v>
      </c>
      <c r="F56" s="80">
        <v>54.310344827586199</v>
      </c>
      <c r="G56" s="80">
        <v>128.16</v>
      </c>
    </row>
    <row r="57" spans="1:7" x14ac:dyDescent="0.25">
      <c r="A57" s="80">
        <v>33</v>
      </c>
      <c r="B57" s="80">
        <v>134.91055682024142</v>
      </c>
      <c r="C57" s="80">
        <v>-2.0505568202414111</v>
      </c>
      <c r="D57" s="80">
        <v>-0.63578680072191074</v>
      </c>
      <c r="F57" s="80">
        <v>56.034482758620683</v>
      </c>
      <c r="G57" s="80">
        <v>128.94</v>
      </c>
    </row>
    <row r="58" spans="1:7" x14ac:dyDescent="0.25">
      <c r="A58" s="80">
        <v>34</v>
      </c>
      <c r="B58" s="80">
        <v>137.05338654874072</v>
      </c>
      <c r="C58" s="80">
        <v>-2.1333865487407309</v>
      </c>
      <c r="D58" s="80">
        <v>-0.66146862897822167</v>
      </c>
      <c r="F58" s="80">
        <v>57.758620689655167</v>
      </c>
      <c r="G58" s="80">
        <v>129.16</v>
      </c>
    </row>
    <row r="59" spans="1:7" x14ac:dyDescent="0.25">
      <c r="A59" s="80">
        <v>35</v>
      </c>
      <c r="B59" s="80">
        <v>134.76996977385312</v>
      </c>
      <c r="C59" s="80">
        <v>0.9300302261468687</v>
      </c>
      <c r="D59" s="80">
        <v>0.28836115937864093</v>
      </c>
      <c r="F59" s="80">
        <v>59.482758620689651</v>
      </c>
      <c r="G59" s="80">
        <v>129.30000000000001</v>
      </c>
    </row>
    <row r="60" spans="1:7" x14ac:dyDescent="0.25">
      <c r="A60" s="80">
        <v>36</v>
      </c>
      <c r="B60" s="80">
        <v>133.42002190295844</v>
      </c>
      <c r="C60" s="80">
        <v>2.7199780970415475</v>
      </c>
      <c r="D60" s="80">
        <v>0.84334467364241261</v>
      </c>
      <c r="F60" s="80">
        <v>61.206896551724128</v>
      </c>
      <c r="G60" s="80">
        <v>130.28</v>
      </c>
    </row>
    <row r="61" spans="1:7" x14ac:dyDescent="0.25">
      <c r="A61" s="80">
        <v>37</v>
      </c>
      <c r="B61" s="80">
        <v>134.9179240605032</v>
      </c>
      <c r="C61" s="80">
        <v>5.2320759394968093</v>
      </c>
      <c r="D61" s="80">
        <v>1.6222348924304064</v>
      </c>
      <c r="F61" s="80">
        <v>62.931034482758612</v>
      </c>
      <c r="G61" s="80">
        <v>130.59</v>
      </c>
    </row>
    <row r="62" spans="1:7" x14ac:dyDescent="0.25">
      <c r="A62" s="80">
        <v>38</v>
      </c>
      <c r="B62" s="80">
        <v>134.2743223789426</v>
      </c>
      <c r="C62" s="80">
        <v>5.8156776210574037</v>
      </c>
      <c r="D62" s="80">
        <v>1.8031839119126631</v>
      </c>
      <c r="F62" s="80">
        <v>64.655172413793096</v>
      </c>
      <c r="G62" s="80">
        <v>131.22</v>
      </c>
    </row>
    <row r="63" spans="1:7" x14ac:dyDescent="0.25">
      <c r="A63" s="80">
        <v>39</v>
      </c>
      <c r="B63" s="80">
        <v>132.82589514257512</v>
      </c>
      <c r="C63" s="80">
        <v>6.2741048574248737</v>
      </c>
      <c r="D63" s="80">
        <v>1.9453218829733954</v>
      </c>
      <c r="F63" s="80">
        <v>66.379310344827573</v>
      </c>
      <c r="G63" s="80">
        <v>132.01</v>
      </c>
    </row>
    <row r="64" spans="1:7" x14ac:dyDescent="0.25">
      <c r="A64" s="80">
        <v>40</v>
      </c>
      <c r="B64" s="80">
        <v>134.03276457813956</v>
      </c>
      <c r="C64" s="80">
        <v>3.4672354218604369</v>
      </c>
      <c r="D64" s="80">
        <v>1.0750360557942529</v>
      </c>
      <c r="F64" s="80">
        <v>68.103448275862064</v>
      </c>
      <c r="G64" s="80">
        <v>132.52000000000001</v>
      </c>
    </row>
    <row r="65" spans="1:7" x14ac:dyDescent="0.25">
      <c r="A65" s="80">
        <v>41</v>
      </c>
      <c r="B65" s="80">
        <v>132.26063855448027</v>
      </c>
      <c r="C65" s="80">
        <v>3.8593614455197383</v>
      </c>
      <c r="D65" s="80">
        <v>1.1966169588939293</v>
      </c>
      <c r="F65" s="80">
        <v>69.827586206896541</v>
      </c>
      <c r="G65" s="80">
        <v>132.86000000000001</v>
      </c>
    </row>
    <row r="66" spans="1:7" x14ac:dyDescent="0.25">
      <c r="A66" s="80">
        <v>42</v>
      </c>
      <c r="B66" s="80">
        <v>131.27353528596927</v>
      </c>
      <c r="C66" s="80">
        <v>3.946464714030725</v>
      </c>
      <c r="D66" s="80">
        <v>1.2236238225284137</v>
      </c>
      <c r="F66" s="80">
        <v>71.551724137931032</v>
      </c>
      <c r="G66" s="80">
        <v>133.72999999999999</v>
      </c>
    </row>
    <row r="67" spans="1:7" x14ac:dyDescent="0.25">
      <c r="A67" s="80">
        <v>43</v>
      </c>
      <c r="B67" s="80">
        <v>132.75986798928585</v>
      </c>
      <c r="C67" s="80">
        <v>1.9701320107141385</v>
      </c>
      <c r="D67" s="80">
        <v>0.61085063126624362</v>
      </c>
      <c r="F67" s="80">
        <v>73.275862068965509</v>
      </c>
      <c r="G67" s="80">
        <v>134.25</v>
      </c>
    </row>
    <row r="68" spans="1:7" x14ac:dyDescent="0.25">
      <c r="A68" s="80">
        <v>44</v>
      </c>
      <c r="B68" s="80">
        <v>132.31756625717054</v>
      </c>
      <c r="C68" s="80">
        <v>2.0724337428294461</v>
      </c>
      <c r="D68" s="80">
        <v>0.64256986495333746</v>
      </c>
      <c r="F68" s="80">
        <v>74.999999999999986</v>
      </c>
      <c r="G68" s="80">
        <v>134.27000000000001</v>
      </c>
    </row>
    <row r="69" spans="1:7" x14ac:dyDescent="0.25">
      <c r="A69" s="80">
        <v>45</v>
      </c>
      <c r="B69" s="80">
        <v>131.23704124966542</v>
      </c>
      <c r="C69" s="80">
        <v>3.272958750334567</v>
      </c>
      <c r="D69" s="80">
        <v>1.0147994692119837</v>
      </c>
      <c r="F69" s="80">
        <v>76.724137931034477</v>
      </c>
      <c r="G69" s="80">
        <v>134.38999999999999</v>
      </c>
    </row>
    <row r="70" spans="1:7" x14ac:dyDescent="0.25">
      <c r="A70" s="80">
        <v>46</v>
      </c>
      <c r="B70" s="80">
        <v>132.61105829012354</v>
      </c>
      <c r="C70" s="80">
        <v>1.8489417098764704</v>
      </c>
      <c r="D70" s="80">
        <v>0.57327488945430216</v>
      </c>
      <c r="F70" s="80">
        <v>78.448275862068954</v>
      </c>
      <c r="G70" s="80">
        <v>134.46</v>
      </c>
    </row>
    <row r="71" spans="1:7" x14ac:dyDescent="0.25">
      <c r="A71" s="80">
        <v>47</v>
      </c>
      <c r="B71" s="80">
        <v>133.62418748431975</v>
      </c>
      <c r="C71" s="80">
        <v>0.64581251568026232</v>
      </c>
      <c r="D71" s="80">
        <v>0.20023784230577094</v>
      </c>
      <c r="F71" s="80">
        <v>80.172413793103445</v>
      </c>
      <c r="G71" s="80">
        <v>134.51</v>
      </c>
    </row>
    <row r="72" spans="1:7" x14ac:dyDescent="0.25">
      <c r="A72" s="80">
        <v>48</v>
      </c>
      <c r="B72" s="80">
        <v>132.72800387320453</v>
      </c>
      <c r="C72" s="80">
        <v>1.0019961267954614</v>
      </c>
      <c r="D72" s="80">
        <v>0.31067459604266517</v>
      </c>
      <c r="F72" s="80">
        <v>81.896551724137922</v>
      </c>
      <c r="G72" s="80">
        <v>134.72999999999999</v>
      </c>
    </row>
    <row r="73" spans="1:7" x14ac:dyDescent="0.25">
      <c r="A73" s="80">
        <v>49</v>
      </c>
      <c r="B73" s="80">
        <v>131.06784065474233</v>
      </c>
      <c r="C73" s="80">
        <v>0.94215934525766443</v>
      </c>
      <c r="D73" s="80">
        <v>0.29212186172002741</v>
      </c>
      <c r="F73" s="80">
        <v>83.620689655172413</v>
      </c>
      <c r="G73" s="80">
        <v>134.91999999999999</v>
      </c>
    </row>
    <row r="74" spans="1:7" x14ac:dyDescent="0.25">
      <c r="A74" s="80">
        <v>50</v>
      </c>
      <c r="B74" s="80">
        <v>130.91927688667732</v>
      </c>
      <c r="C74" s="80">
        <v>-0.32927688667732014</v>
      </c>
      <c r="D74" s="80">
        <v>-0.1020941708445796</v>
      </c>
      <c r="F74" s="80">
        <v>85.34482758620689</v>
      </c>
      <c r="G74" s="80">
        <v>135.22</v>
      </c>
    </row>
    <row r="75" spans="1:7" x14ac:dyDescent="0.25">
      <c r="A75" s="80">
        <v>51</v>
      </c>
      <c r="B75" s="80">
        <v>132.09468852710376</v>
      </c>
      <c r="C75" s="80">
        <v>-1.8146885271037547</v>
      </c>
      <c r="D75" s="80">
        <v>-0.56265449538639045</v>
      </c>
      <c r="F75" s="80">
        <v>87.068965517241367</v>
      </c>
      <c r="G75" s="80">
        <v>135.69999999999999</v>
      </c>
    </row>
    <row r="76" spans="1:7" x14ac:dyDescent="0.25">
      <c r="A76" s="80">
        <v>52</v>
      </c>
      <c r="B76" s="80">
        <v>131.1233676194438</v>
      </c>
      <c r="C76" s="80">
        <v>-1.963367619443801</v>
      </c>
      <c r="D76" s="80">
        <v>-0.60875329329338379</v>
      </c>
      <c r="F76" s="80">
        <v>88.793103448275858</v>
      </c>
      <c r="G76" s="80">
        <v>136.06</v>
      </c>
    </row>
    <row r="77" spans="1:7" x14ac:dyDescent="0.25">
      <c r="A77" s="80">
        <v>53</v>
      </c>
      <c r="B77" s="80">
        <v>132.04651811000767</v>
      </c>
      <c r="C77" s="80">
        <v>-3.10651811000767</v>
      </c>
      <c r="D77" s="80">
        <v>-0.96319360236695495</v>
      </c>
      <c r="F77" s="80">
        <v>90.517241379310335</v>
      </c>
      <c r="G77" s="80">
        <v>136.12</v>
      </c>
    </row>
    <row r="78" spans="1:7" x14ac:dyDescent="0.25">
      <c r="A78" s="80">
        <v>54</v>
      </c>
      <c r="B78" s="80">
        <v>132.14511509470088</v>
      </c>
      <c r="C78" s="80">
        <v>-2.8451150947008728</v>
      </c>
      <c r="D78" s="80">
        <v>-0.88214411124317171</v>
      </c>
      <c r="F78" s="80">
        <v>92.241379310344826</v>
      </c>
      <c r="G78" s="80">
        <v>136.13999999999999</v>
      </c>
    </row>
    <row r="79" spans="1:7" x14ac:dyDescent="0.25">
      <c r="A79" s="80">
        <v>55</v>
      </c>
      <c r="B79" s="80">
        <v>132.63901958661771</v>
      </c>
      <c r="C79" s="80">
        <v>-1.4190195866177078</v>
      </c>
      <c r="D79" s="80">
        <v>-0.43997509078104247</v>
      </c>
      <c r="F79" s="80">
        <v>93.965517241379303</v>
      </c>
      <c r="G79" s="80">
        <v>137.5</v>
      </c>
    </row>
    <row r="80" spans="1:7" x14ac:dyDescent="0.25">
      <c r="A80" s="80">
        <v>56</v>
      </c>
      <c r="B80" s="80">
        <v>135.05492906699641</v>
      </c>
      <c r="C80" s="80">
        <v>-2.5349290669963978</v>
      </c>
      <c r="D80" s="80">
        <v>-0.78596916976574005</v>
      </c>
      <c r="F80" s="80">
        <v>95.689655172413779</v>
      </c>
      <c r="G80" s="80">
        <v>139.1</v>
      </c>
    </row>
    <row r="81" spans="1:7" x14ac:dyDescent="0.25">
      <c r="A81" s="80">
        <v>57</v>
      </c>
      <c r="B81" s="80">
        <v>138.76345239463629</v>
      </c>
      <c r="C81" s="80">
        <v>-4.513452394636289</v>
      </c>
      <c r="D81" s="80">
        <v>-1.3994215765543221</v>
      </c>
      <c r="F81" s="80">
        <v>97.41379310344827</v>
      </c>
      <c r="G81" s="80">
        <v>140.09</v>
      </c>
    </row>
    <row r="82" spans="1:7" ht="15.75" thickBot="1" x14ac:dyDescent="0.3">
      <c r="A82" s="81">
        <v>58</v>
      </c>
      <c r="B82" s="81">
        <v>140.43033060131961</v>
      </c>
      <c r="C82" s="81">
        <v>-4.3703306013196084</v>
      </c>
      <c r="D82" s="81">
        <v>-1.3550458508059946</v>
      </c>
      <c r="F82" s="81">
        <v>99.137931034482747</v>
      </c>
      <c r="G82" s="81">
        <v>140.15</v>
      </c>
    </row>
  </sheetData>
  <sortState ref="G25:G82">
    <sortCondition ref="G25"/>
  </sortState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zoomScaleNormal="100" workbookViewId="0">
      <selection activeCell="D7" sqref="D7"/>
    </sheetView>
  </sheetViews>
  <sheetFormatPr defaultRowHeight="15" x14ac:dyDescent="0.25"/>
  <cols>
    <col min="1" max="1" width="26.28515625" bestFit="1" customWidth="1"/>
    <col min="2" max="2" width="17.140625" bestFit="1" customWidth="1"/>
    <col min="3" max="3" width="23.28515625" bestFit="1" customWidth="1"/>
    <col min="4" max="4" width="25" bestFit="1" customWidth="1"/>
    <col min="5" max="5" width="12" bestFit="1" customWidth="1"/>
    <col min="6" max="6" width="21.7109375" bestFit="1" customWidth="1"/>
    <col min="7" max="7" width="13.140625" bestFit="1" customWidth="1"/>
    <col min="8" max="8" width="14.7109375" bestFit="1" customWidth="1"/>
    <col min="9" max="9" width="14.85546875" bestFit="1" customWidth="1"/>
  </cols>
  <sheetData>
    <row r="1" spans="1:9" x14ac:dyDescent="0.25">
      <c r="A1" t="s">
        <v>21</v>
      </c>
    </row>
    <row r="2" spans="1:9" ht="15.75" thickBot="1" x14ac:dyDescent="0.3"/>
    <row r="3" spans="1:9" x14ac:dyDescent="0.25">
      <c r="A3" s="18" t="s">
        <v>22</v>
      </c>
      <c r="B3" s="18"/>
    </row>
    <row r="4" spans="1:9" x14ac:dyDescent="0.25">
      <c r="A4" s="15" t="s">
        <v>23</v>
      </c>
      <c r="B4" s="15">
        <v>0.82754767375219873</v>
      </c>
    </row>
    <row r="5" spans="1:9" x14ac:dyDescent="0.25">
      <c r="A5" s="15" t="s">
        <v>24</v>
      </c>
      <c r="B5" s="15">
        <v>0.68483515233267556</v>
      </c>
    </row>
    <row r="6" spans="1:9" x14ac:dyDescent="0.25">
      <c r="A6" s="15" t="s">
        <v>25</v>
      </c>
      <c r="B6" s="15">
        <v>0.67920720862433048</v>
      </c>
    </row>
    <row r="7" spans="1:9" x14ac:dyDescent="0.25">
      <c r="A7" s="15" t="s">
        <v>26</v>
      </c>
      <c r="B7" s="15">
        <v>7.3931373614600178</v>
      </c>
    </row>
    <row r="8" spans="1:9" ht="15.75" thickBot="1" x14ac:dyDescent="0.3">
      <c r="A8" s="16" t="s">
        <v>27</v>
      </c>
      <c r="B8" s="16">
        <v>58</v>
      </c>
    </row>
    <row r="10" spans="1:9" ht="15.75" thickBot="1" x14ac:dyDescent="0.3">
      <c r="A10" t="s">
        <v>28</v>
      </c>
    </row>
    <row r="11" spans="1:9" x14ac:dyDescent="0.25">
      <c r="A11" s="17"/>
      <c r="B11" s="17" t="s">
        <v>33</v>
      </c>
      <c r="C11" s="17" t="s">
        <v>34</v>
      </c>
      <c r="D11" s="17" t="s">
        <v>35</v>
      </c>
      <c r="E11" s="17" t="s">
        <v>36</v>
      </c>
      <c r="F11" s="17" t="s">
        <v>37</v>
      </c>
    </row>
    <row r="12" spans="1:9" x14ac:dyDescent="0.25">
      <c r="A12" s="15" t="s">
        <v>29</v>
      </c>
      <c r="B12" s="15">
        <v>1</v>
      </c>
      <c r="C12" s="15">
        <v>6651.1057053877375</v>
      </c>
      <c r="D12" s="15">
        <v>6651.1057053877375</v>
      </c>
      <c r="E12" s="15">
        <v>121.68479071978039</v>
      </c>
      <c r="F12" s="15">
        <v>1.1582153985977559E-15</v>
      </c>
    </row>
    <row r="13" spans="1:9" x14ac:dyDescent="0.25">
      <c r="A13" s="15" t="s">
        <v>30</v>
      </c>
      <c r="B13" s="15">
        <v>56</v>
      </c>
      <c r="C13" s="15">
        <v>3060.8748825432954</v>
      </c>
      <c r="D13" s="15">
        <v>54.658480045415992</v>
      </c>
      <c r="E13" s="15"/>
      <c r="F13" s="15"/>
    </row>
    <row r="14" spans="1:9" ht="15.75" thickBot="1" x14ac:dyDescent="0.3">
      <c r="A14" s="16" t="s">
        <v>31</v>
      </c>
      <c r="B14" s="16">
        <v>57</v>
      </c>
      <c r="C14" s="16">
        <v>9711.9805879310334</v>
      </c>
      <c r="D14" s="16"/>
      <c r="E14" s="16"/>
      <c r="F14" s="16"/>
    </row>
    <row r="15" spans="1:9" ht="15.75" thickBot="1" x14ac:dyDescent="0.3"/>
    <row r="16" spans="1:9" x14ac:dyDescent="0.25">
      <c r="A16" s="17"/>
      <c r="B16" s="17" t="s">
        <v>38</v>
      </c>
      <c r="C16" s="17" t="s">
        <v>26</v>
      </c>
      <c r="D16" s="17" t="s">
        <v>39</v>
      </c>
      <c r="E16" s="17" t="s">
        <v>40</v>
      </c>
      <c r="F16" s="17" t="s">
        <v>41</v>
      </c>
      <c r="G16" s="17" t="s">
        <v>42</v>
      </c>
      <c r="H16" s="17" t="s">
        <v>569</v>
      </c>
      <c r="I16" s="17" t="s">
        <v>570</v>
      </c>
    </row>
    <row r="17" spans="1:9" x14ac:dyDescent="0.25">
      <c r="A17" s="15" t="s">
        <v>32</v>
      </c>
      <c r="B17" s="15">
        <v>102.04558983666064</v>
      </c>
      <c r="C17" s="15">
        <v>1.9669135825773036</v>
      </c>
      <c r="D17" s="15">
        <v>51.881074359630666</v>
      </c>
      <c r="E17" s="59">
        <v>4.8818744467624034E-49</v>
      </c>
      <c r="F17" s="15">
        <v>98.105388457586841</v>
      </c>
      <c r="G17" s="15">
        <v>105.98579121573444</v>
      </c>
      <c r="H17" s="15">
        <v>98.105388457586841</v>
      </c>
      <c r="I17" s="15">
        <v>105.98579121573444</v>
      </c>
    </row>
    <row r="18" spans="1:9" ht="15.75" thickBot="1" x14ac:dyDescent="0.3">
      <c r="A18" s="16" t="s">
        <v>67</v>
      </c>
      <c r="B18" s="16">
        <v>0.6396760896982373</v>
      </c>
      <c r="C18" s="16">
        <v>5.7988512412157578E-2</v>
      </c>
      <c r="D18" s="16">
        <v>11.031082935042253</v>
      </c>
      <c r="E18" s="60">
        <v>1.1582153985977476E-15</v>
      </c>
      <c r="F18" s="16">
        <v>0.52351114040878799</v>
      </c>
      <c r="G18" s="16">
        <v>0.75584103898768662</v>
      </c>
      <c r="H18" s="16">
        <v>0.52351114040878799</v>
      </c>
      <c r="I18" s="16">
        <v>0.75584103898768662</v>
      </c>
    </row>
    <row r="22" spans="1:9" x14ac:dyDescent="0.25">
      <c r="A22" t="s">
        <v>57</v>
      </c>
      <c r="F22" t="s">
        <v>61</v>
      </c>
    </row>
    <row r="23" spans="1:9" ht="15.75" thickBot="1" x14ac:dyDescent="0.3"/>
    <row r="24" spans="1:9" x14ac:dyDescent="0.25">
      <c r="A24" s="17" t="s">
        <v>58</v>
      </c>
      <c r="B24" s="17" t="s">
        <v>571</v>
      </c>
      <c r="C24" s="17" t="s">
        <v>59</v>
      </c>
      <c r="D24" s="17" t="s">
        <v>60</v>
      </c>
      <c r="F24" s="17" t="s">
        <v>62</v>
      </c>
      <c r="G24" s="17" t="s">
        <v>565</v>
      </c>
    </row>
    <row r="25" spans="1:9" x14ac:dyDescent="0.25">
      <c r="A25" s="15">
        <v>1</v>
      </c>
      <c r="B25" s="15">
        <v>102.68526592635888</v>
      </c>
      <c r="C25" s="15">
        <v>-0.36526592635888733</v>
      </c>
      <c r="D25" s="15">
        <v>-4.9845252486100472E-2</v>
      </c>
      <c r="F25" s="15">
        <v>0.86206896551724133</v>
      </c>
      <c r="G25" s="15">
        <v>102.06</v>
      </c>
    </row>
    <row r="26" spans="1:9" x14ac:dyDescent="0.25">
      <c r="A26" s="15">
        <v>2</v>
      </c>
      <c r="B26" s="15">
        <v>103.32494201605711</v>
      </c>
      <c r="C26" s="15">
        <v>-1.114942016057114</v>
      </c>
      <c r="D26" s="15">
        <v>-0.15214823581196746</v>
      </c>
      <c r="F26" s="15">
        <v>2.5862068965517242</v>
      </c>
      <c r="G26" s="15">
        <v>102.16</v>
      </c>
    </row>
    <row r="27" spans="1:9" x14ac:dyDescent="0.25">
      <c r="A27" s="15">
        <v>3</v>
      </c>
      <c r="B27" s="15">
        <v>103.96461810575535</v>
      </c>
      <c r="C27" s="15">
        <v>-1.8046181057553525</v>
      </c>
      <c r="D27" s="15">
        <v>-0.24626344433228922</v>
      </c>
      <c r="F27" s="15">
        <v>4.3103448275862064</v>
      </c>
      <c r="G27" s="15">
        <v>102.21</v>
      </c>
    </row>
    <row r="28" spans="1:9" x14ac:dyDescent="0.25">
      <c r="A28" s="15">
        <v>4</v>
      </c>
      <c r="B28" s="15">
        <v>104.60429419545359</v>
      </c>
      <c r="C28" s="15">
        <v>-2.5442941954535883</v>
      </c>
      <c r="D28" s="15">
        <v>-0.34720179852389965</v>
      </c>
      <c r="F28" s="15">
        <v>6.0344827586206895</v>
      </c>
      <c r="G28" s="15">
        <v>102.32</v>
      </c>
    </row>
    <row r="29" spans="1:9" x14ac:dyDescent="0.25">
      <c r="A29" s="15">
        <v>5</v>
      </c>
      <c r="B29" s="15">
        <v>105.24397028515183</v>
      </c>
      <c r="C29" s="15">
        <v>-2.6939702851518348</v>
      </c>
      <c r="D29" s="15">
        <v>-0.36762703379430089</v>
      </c>
      <c r="F29" s="15">
        <v>7.7586206896551717</v>
      </c>
      <c r="G29" s="15">
        <v>102.55</v>
      </c>
    </row>
    <row r="30" spans="1:9" x14ac:dyDescent="0.25">
      <c r="A30" s="15">
        <v>6</v>
      </c>
      <c r="B30" s="15">
        <v>105.88364637485006</v>
      </c>
      <c r="C30" s="15">
        <v>-1.5336463748500648</v>
      </c>
      <c r="D30" s="15">
        <v>-0.20928585247692699</v>
      </c>
      <c r="F30" s="15">
        <v>9.4827586206896548</v>
      </c>
      <c r="G30" s="15">
        <v>104.35</v>
      </c>
    </row>
    <row r="31" spans="1:9" x14ac:dyDescent="0.25">
      <c r="A31" s="15">
        <v>7</v>
      </c>
      <c r="B31" s="15">
        <v>106.5233224645483</v>
      </c>
      <c r="C31" s="15">
        <v>1.0466775354516926</v>
      </c>
      <c r="D31" s="15">
        <v>0.14283266590505395</v>
      </c>
      <c r="F31" s="15">
        <v>11.206896551724139</v>
      </c>
      <c r="G31" s="15">
        <v>106.49</v>
      </c>
    </row>
    <row r="32" spans="1:9" x14ac:dyDescent="0.25">
      <c r="A32" s="15">
        <v>8</v>
      </c>
      <c r="B32" s="15">
        <v>107.16299855424654</v>
      </c>
      <c r="C32" s="15">
        <v>4.7970014457534518</v>
      </c>
      <c r="D32" s="15">
        <v>0.6546127929951987</v>
      </c>
      <c r="F32" s="15">
        <v>12.931034482758621</v>
      </c>
      <c r="G32" s="15">
        <v>106.57</v>
      </c>
    </row>
    <row r="33" spans="1:7" x14ac:dyDescent="0.25">
      <c r="A33" s="15">
        <v>9</v>
      </c>
      <c r="B33" s="15">
        <v>107.80267464394477</v>
      </c>
      <c r="C33" s="15">
        <v>7.4673253560552268</v>
      </c>
      <c r="D33" s="15">
        <v>1.0190129735855022</v>
      </c>
      <c r="F33" s="15">
        <v>14.655172413793103</v>
      </c>
      <c r="G33" s="15">
        <v>106.61</v>
      </c>
    </row>
    <row r="34" spans="1:7" x14ac:dyDescent="0.25">
      <c r="A34" s="15">
        <v>10</v>
      </c>
      <c r="B34" s="15">
        <v>108.44235073364301</v>
      </c>
      <c r="C34" s="15">
        <v>8.7276492663569911</v>
      </c>
      <c r="D34" s="15">
        <v>1.1910004462454535</v>
      </c>
      <c r="F34" s="15">
        <v>16.379310344827584</v>
      </c>
      <c r="G34" s="15">
        <v>107.03</v>
      </c>
    </row>
    <row r="35" spans="1:7" x14ac:dyDescent="0.25">
      <c r="A35" s="15">
        <v>11</v>
      </c>
      <c r="B35" s="15">
        <v>109.08202682334125</v>
      </c>
      <c r="C35" s="15">
        <v>8.5279731766587474</v>
      </c>
      <c r="D35" s="15">
        <v>1.1637520653037636</v>
      </c>
      <c r="F35" s="15">
        <v>18.103448275862068</v>
      </c>
      <c r="G35" s="15">
        <v>107.04</v>
      </c>
    </row>
    <row r="36" spans="1:7" x14ac:dyDescent="0.25">
      <c r="A36" s="15">
        <v>12</v>
      </c>
      <c r="B36" s="15">
        <v>109.72170291303948</v>
      </c>
      <c r="C36" s="15">
        <v>7.5382970869605259</v>
      </c>
      <c r="D36" s="15">
        <v>1.0286979827557099</v>
      </c>
      <c r="F36" s="15">
        <v>19.827586206896552</v>
      </c>
      <c r="G36" s="15">
        <v>107.47</v>
      </c>
    </row>
    <row r="37" spans="1:7" x14ac:dyDescent="0.25">
      <c r="A37" s="15">
        <v>13</v>
      </c>
      <c r="B37" s="15">
        <v>110.36137900273772</v>
      </c>
      <c r="C37" s="15">
        <v>5.5186209972622748</v>
      </c>
      <c r="D37" s="15">
        <v>0.75308709937909801</v>
      </c>
      <c r="F37" s="15">
        <v>21.551724137931036</v>
      </c>
      <c r="G37" s="15">
        <v>107.57</v>
      </c>
    </row>
    <row r="38" spans="1:7" x14ac:dyDescent="0.25">
      <c r="A38" s="15">
        <v>14</v>
      </c>
      <c r="B38" s="15">
        <v>111.00105509243596</v>
      </c>
      <c r="C38" s="15">
        <v>2.3489449075640323</v>
      </c>
      <c r="D38" s="15">
        <v>0.32054386556283926</v>
      </c>
      <c r="F38" s="15">
        <v>23.275862068965516</v>
      </c>
      <c r="G38" s="15">
        <v>107.8</v>
      </c>
    </row>
    <row r="39" spans="1:7" x14ac:dyDescent="0.25">
      <c r="A39" s="15">
        <v>15</v>
      </c>
      <c r="B39" s="15">
        <v>111.6407311821342</v>
      </c>
      <c r="C39" s="15">
        <v>-0.25073118213420287</v>
      </c>
      <c r="D39" s="15">
        <v>-3.4215507600723408E-2</v>
      </c>
      <c r="F39" s="15">
        <v>25</v>
      </c>
      <c r="G39" s="15">
        <v>108.19</v>
      </c>
    </row>
    <row r="40" spans="1:7" x14ac:dyDescent="0.25">
      <c r="A40" s="15">
        <v>16</v>
      </c>
      <c r="B40" s="15">
        <v>112.28040727183243</v>
      </c>
      <c r="C40" s="15">
        <v>-2.5204072718324255</v>
      </c>
      <c r="D40" s="15">
        <v>-0.34394211933377666</v>
      </c>
      <c r="F40" s="15">
        <v>26.72413793103448</v>
      </c>
      <c r="G40" s="15">
        <v>108.36</v>
      </c>
    </row>
    <row r="41" spans="1:7" x14ac:dyDescent="0.25">
      <c r="A41" s="15">
        <v>17</v>
      </c>
      <c r="B41" s="15">
        <v>112.92008336153067</v>
      </c>
      <c r="C41" s="15">
        <v>-3.4200833615306721</v>
      </c>
      <c r="D41" s="15">
        <v>-0.46671453967351351</v>
      </c>
      <c r="F41" s="15">
        <v>28.448275862068964</v>
      </c>
      <c r="G41" s="15">
        <v>108.49</v>
      </c>
    </row>
    <row r="42" spans="1:7" x14ac:dyDescent="0.25">
      <c r="A42" s="15">
        <v>18</v>
      </c>
      <c r="B42" s="15">
        <v>113.55975945122891</v>
      </c>
      <c r="C42" s="15">
        <v>-4.699759451228914</v>
      </c>
      <c r="D42" s="15">
        <v>-0.6413428671150464</v>
      </c>
      <c r="F42" s="15">
        <v>30.172413793103448</v>
      </c>
      <c r="G42" s="15">
        <v>108.86</v>
      </c>
    </row>
    <row r="43" spans="1:7" x14ac:dyDescent="0.25">
      <c r="A43" s="15">
        <v>19</v>
      </c>
      <c r="B43" s="15">
        <v>114.19943554092714</v>
      </c>
      <c r="C43" s="15">
        <v>-5.7094355409271458</v>
      </c>
      <c r="D43" s="15">
        <v>-0.77912620793161713</v>
      </c>
      <c r="F43" s="15">
        <v>31.896551724137929</v>
      </c>
      <c r="G43" s="15">
        <v>109.5</v>
      </c>
    </row>
    <row r="44" spans="1:7" x14ac:dyDescent="0.25">
      <c r="A44" s="15">
        <v>20</v>
      </c>
      <c r="B44" s="15">
        <v>114.83911163062538</v>
      </c>
      <c r="C44" s="15">
        <v>-6.4791116306253826</v>
      </c>
      <c r="D44" s="15">
        <v>-0.88415844952600109</v>
      </c>
      <c r="F44" s="15">
        <v>33.620689655172406</v>
      </c>
      <c r="G44" s="15">
        <v>109.76</v>
      </c>
    </row>
    <row r="45" spans="1:7" x14ac:dyDescent="0.25">
      <c r="A45" s="15">
        <v>21</v>
      </c>
      <c r="B45" s="15">
        <v>115.47878772032362</v>
      </c>
      <c r="C45" s="15">
        <v>-7.2887877203236258</v>
      </c>
      <c r="D45" s="15">
        <v>-0.99464920765741727</v>
      </c>
      <c r="F45" s="15">
        <v>35.34482758620689</v>
      </c>
      <c r="G45" s="15">
        <v>111.35</v>
      </c>
    </row>
    <row r="46" spans="1:7" x14ac:dyDescent="0.25">
      <c r="A46" s="15">
        <v>22</v>
      </c>
      <c r="B46" s="15">
        <v>116.11846381002186</v>
      </c>
      <c r="C46" s="15">
        <v>-8.3184638100218677</v>
      </c>
      <c r="D46" s="15">
        <v>-1.1351618067425049</v>
      </c>
      <c r="F46" s="15">
        <v>37.068965517241374</v>
      </c>
      <c r="G46" s="15">
        <v>111.39</v>
      </c>
    </row>
    <row r="47" spans="1:7" x14ac:dyDescent="0.25">
      <c r="A47" s="15">
        <v>23</v>
      </c>
      <c r="B47" s="15">
        <v>116.75813989972009</v>
      </c>
      <c r="C47" s="15">
        <v>-9.2881398997200932</v>
      </c>
      <c r="D47" s="15">
        <v>-1.2674866310220436</v>
      </c>
      <c r="F47" s="15">
        <v>38.793103448275858</v>
      </c>
      <c r="G47" s="15">
        <v>111.96</v>
      </c>
    </row>
    <row r="48" spans="1:7" x14ac:dyDescent="0.25">
      <c r="A48" s="15">
        <v>24</v>
      </c>
      <c r="B48" s="15">
        <v>117.39781598941833</v>
      </c>
      <c r="C48" s="15">
        <v>-10.367815989418332</v>
      </c>
      <c r="D48" s="15">
        <v>-1.41482237577842</v>
      </c>
      <c r="F48" s="15">
        <v>40.517241379310342</v>
      </c>
      <c r="G48" s="15">
        <v>113.35</v>
      </c>
    </row>
    <row r="49" spans="1:7" x14ac:dyDescent="0.25">
      <c r="A49" s="15">
        <v>25</v>
      </c>
      <c r="B49" s="15">
        <v>118.03749207911657</v>
      </c>
      <c r="C49" s="15">
        <v>-11.427492079116575</v>
      </c>
      <c r="D49" s="15">
        <v>-1.5594288622662813</v>
      </c>
      <c r="F49" s="15">
        <v>42.241379310344826</v>
      </c>
      <c r="G49" s="15">
        <v>115.27</v>
      </c>
    </row>
    <row r="50" spans="1:7" x14ac:dyDescent="0.25">
      <c r="A50" s="15">
        <v>26</v>
      </c>
      <c r="B50" s="15">
        <v>118.6771681688148</v>
      </c>
      <c r="C50" s="15">
        <v>-12.107168168814809</v>
      </c>
      <c r="D50" s="15">
        <v>-1.6521794416523445</v>
      </c>
      <c r="F50" s="15">
        <v>43.965517241379303</v>
      </c>
      <c r="G50" s="15">
        <v>115.88</v>
      </c>
    </row>
    <row r="51" spans="1:7" x14ac:dyDescent="0.25">
      <c r="A51" s="15">
        <v>27</v>
      </c>
      <c r="B51" s="15">
        <v>119.31684425851304</v>
      </c>
      <c r="C51" s="15">
        <v>-12.826844258513049</v>
      </c>
      <c r="D51" s="15">
        <v>-1.7503885375754398</v>
      </c>
      <c r="F51" s="15">
        <v>45.689655172413786</v>
      </c>
      <c r="G51" s="15">
        <v>117.17</v>
      </c>
    </row>
    <row r="52" spans="1:7" x14ac:dyDescent="0.25">
      <c r="A52" s="15">
        <v>28</v>
      </c>
      <c r="B52" s="15">
        <v>119.95652034821128</v>
      </c>
      <c r="C52" s="15">
        <v>-12.916520348211279</v>
      </c>
      <c r="D52" s="15">
        <v>-1.7626259980402919</v>
      </c>
      <c r="F52" s="15">
        <v>47.41379310344827</v>
      </c>
      <c r="G52" s="15">
        <v>117.26</v>
      </c>
    </row>
    <row r="53" spans="1:7" x14ac:dyDescent="0.25">
      <c r="A53" s="15">
        <v>29</v>
      </c>
      <c r="B53" s="15">
        <v>120.59619643790953</v>
      </c>
      <c r="C53" s="15">
        <v>-9.2461964379095321</v>
      </c>
      <c r="D53" s="15">
        <v>-1.2617629040242113</v>
      </c>
      <c r="F53" s="15">
        <v>49.137931034482754</v>
      </c>
      <c r="G53" s="15">
        <v>117.54</v>
      </c>
    </row>
    <row r="54" spans="1:7" x14ac:dyDescent="0.25">
      <c r="A54" s="15">
        <v>30</v>
      </c>
      <c r="B54" s="15">
        <v>121.23587252760775</v>
      </c>
      <c r="C54" s="15">
        <v>-3.6958725276077473</v>
      </c>
      <c r="D54" s="15">
        <v>-0.5043495327676577</v>
      </c>
      <c r="F54" s="15">
        <v>50.862068965517238</v>
      </c>
      <c r="G54" s="15">
        <v>117.61</v>
      </c>
    </row>
    <row r="55" spans="1:7" x14ac:dyDescent="0.25">
      <c r="A55" s="15">
        <v>31</v>
      </c>
      <c r="B55" s="15">
        <v>121.87554861730599</v>
      </c>
      <c r="C55" s="15">
        <v>0.70445138269400331</v>
      </c>
      <c r="D55" s="15">
        <v>9.613148804924336E-2</v>
      </c>
      <c r="F55" s="15">
        <v>52.586206896551715</v>
      </c>
      <c r="G55" s="15">
        <v>122.58</v>
      </c>
    </row>
    <row r="56" spans="1:7" x14ac:dyDescent="0.25">
      <c r="A56" s="15">
        <v>32</v>
      </c>
      <c r="B56" s="15">
        <v>122.51522470700424</v>
      </c>
      <c r="C56" s="15">
        <v>5.6447752929957602</v>
      </c>
      <c r="D56" s="15">
        <v>0.770302482116067</v>
      </c>
      <c r="F56" s="15">
        <v>54.310344827586199</v>
      </c>
      <c r="G56" s="15">
        <v>128.16</v>
      </c>
    </row>
    <row r="57" spans="1:7" x14ac:dyDescent="0.25">
      <c r="A57" s="15">
        <v>33</v>
      </c>
      <c r="B57" s="15">
        <v>123.15490079670246</v>
      </c>
      <c r="C57" s="15">
        <v>9.70509920329755</v>
      </c>
      <c r="D57" s="15">
        <v>1.3243861123682079</v>
      </c>
      <c r="F57" s="15">
        <v>56.034482758620683</v>
      </c>
      <c r="G57" s="15">
        <v>128.94</v>
      </c>
    </row>
    <row r="58" spans="1:7" x14ac:dyDescent="0.25">
      <c r="A58" s="15">
        <v>34</v>
      </c>
      <c r="B58" s="15">
        <v>123.79457688640071</v>
      </c>
      <c r="C58" s="15">
        <v>11.125423113599282</v>
      </c>
      <c r="D58" s="15">
        <v>1.5182076511762796</v>
      </c>
      <c r="F58" s="15">
        <v>57.758620689655167</v>
      </c>
      <c r="G58" s="15">
        <v>129.16</v>
      </c>
    </row>
    <row r="59" spans="1:7" x14ac:dyDescent="0.25">
      <c r="A59" s="15">
        <v>35</v>
      </c>
      <c r="B59" s="15">
        <v>124.43425297609895</v>
      </c>
      <c r="C59" s="15">
        <v>11.265747023901042</v>
      </c>
      <c r="D59" s="15">
        <v>1.5373566607993558</v>
      </c>
      <c r="F59" s="15">
        <v>59.482758620689651</v>
      </c>
      <c r="G59" s="15">
        <v>129.30000000000001</v>
      </c>
    </row>
    <row r="60" spans="1:7" x14ac:dyDescent="0.25">
      <c r="A60" s="15">
        <v>36</v>
      </c>
      <c r="B60" s="15">
        <v>125.07392906579719</v>
      </c>
      <c r="C60" s="15">
        <v>11.066070934202799</v>
      </c>
      <c r="D60" s="15">
        <v>1.5101082798576659</v>
      </c>
      <c r="F60" s="15">
        <v>61.206896551724128</v>
      </c>
      <c r="G60" s="15">
        <v>130.28</v>
      </c>
    </row>
    <row r="61" spans="1:7" x14ac:dyDescent="0.25">
      <c r="A61" s="15">
        <v>37</v>
      </c>
      <c r="B61" s="15">
        <v>125.71360515549542</v>
      </c>
      <c r="C61" s="15">
        <v>14.436394844504591</v>
      </c>
      <c r="D61" s="15">
        <v>1.9700324998460184</v>
      </c>
      <c r="F61" s="15">
        <v>62.931034482758612</v>
      </c>
      <c r="G61" s="15">
        <v>130.59</v>
      </c>
    </row>
    <row r="62" spans="1:7" x14ac:dyDescent="0.25">
      <c r="A62" s="15">
        <v>38</v>
      </c>
      <c r="B62" s="15">
        <v>126.35328124519366</v>
      </c>
      <c r="C62" s="15">
        <v>13.736718754806347</v>
      </c>
      <c r="D62" s="15">
        <v>1.8745526621914381</v>
      </c>
      <c r="F62" s="15">
        <v>64.655172413793096</v>
      </c>
      <c r="G62" s="15">
        <v>131.22</v>
      </c>
    </row>
    <row r="63" spans="1:7" x14ac:dyDescent="0.25">
      <c r="A63" s="15">
        <v>39</v>
      </c>
      <c r="B63" s="15">
        <v>126.9929573348919</v>
      </c>
      <c r="C63" s="15">
        <v>12.107042665108096</v>
      </c>
      <c r="D63" s="15">
        <v>1.6521623150508808</v>
      </c>
      <c r="F63" s="15">
        <v>66.379310344827573</v>
      </c>
      <c r="G63" s="15">
        <v>132.01</v>
      </c>
    </row>
    <row r="64" spans="1:7" x14ac:dyDescent="0.25">
      <c r="A64" s="15">
        <v>40</v>
      </c>
      <c r="B64" s="15">
        <v>127.63263342459013</v>
      </c>
      <c r="C64" s="15">
        <v>9.8673665754098749</v>
      </c>
      <c r="D64" s="15">
        <v>1.346529590720601</v>
      </c>
      <c r="F64" s="15">
        <v>68.103448275862064</v>
      </c>
      <c r="G64" s="15">
        <v>132.52000000000001</v>
      </c>
    </row>
    <row r="65" spans="1:7" x14ac:dyDescent="0.25">
      <c r="A65" s="15">
        <v>41</v>
      </c>
      <c r="B65" s="15">
        <v>128.27230951428837</v>
      </c>
      <c r="C65" s="15">
        <v>7.8476904857116381</v>
      </c>
      <c r="D65" s="15">
        <v>1.070918707343991</v>
      </c>
      <c r="F65" s="15">
        <v>69.827586206896541</v>
      </c>
      <c r="G65" s="15">
        <v>132.86000000000001</v>
      </c>
    </row>
    <row r="66" spans="1:7" x14ac:dyDescent="0.25">
      <c r="A66" s="15">
        <v>42</v>
      </c>
      <c r="B66" s="15">
        <v>128.91198560398661</v>
      </c>
      <c r="C66" s="15">
        <v>6.308014396013391</v>
      </c>
      <c r="D66" s="15">
        <v>0.86081002241175442</v>
      </c>
      <c r="F66" s="15">
        <v>71.551724137931032</v>
      </c>
      <c r="G66" s="15">
        <v>133.72999999999999</v>
      </c>
    </row>
    <row r="67" spans="1:7" x14ac:dyDescent="0.25">
      <c r="A67" s="15">
        <v>43</v>
      </c>
      <c r="B67" s="15">
        <v>129.55166169368485</v>
      </c>
      <c r="C67" s="15">
        <v>5.1783383063151405</v>
      </c>
      <c r="D67" s="15">
        <v>0.70665113198408747</v>
      </c>
      <c r="F67" s="15">
        <v>73.275862068965509</v>
      </c>
      <c r="G67" s="15">
        <v>134.25</v>
      </c>
    </row>
    <row r="68" spans="1:7" x14ac:dyDescent="0.25">
      <c r="A68" s="15">
        <v>44</v>
      </c>
      <c r="B68" s="15">
        <v>130.19133778338309</v>
      </c>
      <c r="C68" s="15">
        <v>4.1986622166168956</v>
      </c>
      <c r="D68" s="15">
        <v>0.57296167857028835</v>
      </c>
      <c r="F68" s="15">
        <v>74.999999999999986</v>
      </c>
      <c r="G68" s="15">
        <v>134.27000000000001</v>
      </c>
    </row>
    <row r="69" spans="1:7" x14ac:dyDescent="0.25">
      <c r="A69" s="15">
        <v>45</v>
      </c>
      <c r="B69" s="15">
        <v>130.8310138730813</v>
      </c>
      <c r="C69" s="15">
        <v>3.6789861269186872</v>
      </c>
      <c r="D69" s="15">
        <v>0.50204516533235344</v>
      </c>
      <c r="F69" s="15">
        <v>76.724137931034477</v>
      </c>
      <c r="G69" s="15">
        <v>134.38999999999999</v>
      </c>
    </row>
    <row r="70" spans="1:7" x14ac:dyDescent="0.25">
      <c r="A70" s="15">
        <v>46</v>
      </c>
      <c r="B70" s="15">
        <v>131.47068996277955</v>
      </c>
      <c r="C70" s="15">
        <v>2.9893100372204628</v>
      </c>
      <c r="D70" s="15">
        <v>0.40792995681203364</v>
      </c>
      <c r="F70" s="15">
        <v>78.448275862068954</v>
      </c>
      <c r="G70" s="15">
        <v>134.46</v>
      </c>
    </row>
    <row r="71" spans="1:7" x14ac:dyDescent="0.25">
      <c r="A71" s="15">
        <v>47</v>
      </c>
      <c r="B71" s="15">
        <v>132.11036605247779</v>
      </c>
      <c r="C71" s="15">
        <v>2.1596339475222237</v>
      </c>
      <c r="D71" s="15">
        <v>0.29470994041210247</v>
      </c>
      <c r="F71" s="15">
        <v>80.172413793103445</v>
      </c>
      <c r="G71" s="15">
        <v>134.51</v>
      </c>
    </row>
    <row r="72" spans="1:7" x14ac:dyDescent="0.25">
      <c r="A72" s="15">
        <v>48</v>
      </c>
      <c r="B72" s="15">
        <v>132.75004214217603</v>
      </c>
      <c r="C72" s="15">
        <v>0.97995785782396183</v>
      </c>
      <c r="D72" s="15">
        <v>0.13372790431314494</v>
      </c>
      <c r="F72" s="15">
        <v>81.896551724137922</v>
      </c>
      <c r="G72" s="15">
        <v>134.72999999999999</v>
      </c>
    </row>
    <row r="73" spans="1:7" x14ac:dyDescent="0.25">
      <c r="A73" s="15">
        <v>49</v>
      </c>
      <c r="B73" s="15">
        <v>133.38971823187427</v>
      </c>
      <c r="C73" s="15">
        <v>-1.3797182318742784</v>
      </c>
      <c r="D73" s="15">
        <v>-0.18828036962823103</v>
      </c>
      <c r="F73" s="15">
        <v>83.620689655172413</v>
      </c>
      <c r="G73" s="15">
        <v>134.91999999999999</v>
      </c>
    </row>
    <row r="74" spans="1:7" x14ac:dyDescent="0.25">
      <c r="A74" s="15">
        <v>50</v>
      </c>
      <c r="B74" s="15">
        <v>134.02939432157251</v>
      </c>
      <c r="C74" s="15">
        <v>-3.4393943215725074</v>
      </c>
      <c r="D74" s="15">
        <v>-0.46934976954187119</v>
      </c>
      <c r="F74" s="15">
        <v>85.34482758620689</v>
      </c>
      <c r="G74" s="15">
        <v>135.22</v>
      </c>
    </row>
    <row r="75" spans="1:7" x14ac:dyDescent="0.25">
      <c r="A75" s="15">
        <v>51</v>
      </c>
      <c r="B75" s="15">
        <v>134.66907041127075</v>
      </c>
      <c r="C75" s="15">
        <v>-4.389070411270751</v>
      </c>
      <c r="D75" s="15">
        <v>-0.59894533555289664</v>
      </c>
      <c r="F75" s="15">
        <v>87.068965517241367</v>
      </c>
      <c r="G75" s="15">
        <v>135.69999999999999</v>
      </c>
    </row>
    <row r="76" spans="1:7" x14ac:dyDescent="0.25">
      <c r="A76" s="15">
        <v>52</v>
      </c>
      <c r="B76" s="15">
        <v>135.30874650096899</v>
      </c>
      <c r="C76" s="15">
        <v>-6.148746500968997</v>
      </c>
      <c r="D76" s="15">
        <v>-0.83907586143880497</v>
      </c>
      <c r="F76" s="15">
        <v>88.793103448275858</v>
      </c>
      <c r="G76" s="15">
        <v>136.06</v>
      </c>
    </row>
    <row r="77" spans="1:7" x14ac:dyDescent="0.25">
      <c r="A77" s="15">
        <v>53</v>
      </c>
      <c r="B77" s="15">
        <v>135.94842259066721</v>
      </c>
      <c r="C77" s="15">
        <v>-7.0084225906672089</v>
      </c>
      <c r="D77" s="15">
        <v>-0.95638976524150576</v>
      </c>
      <c r="F77" s="15">
        <v>90.517241379310335</v>
      </c>
      <c r="G77" s="15">
        <v>136.12</v>
      </c>
    </row>
    <row r="78" spans="1:7" x14ac:dyDescent="0.25">
      <c r="A78" s="15">
        <v>54</v>
      </c>
      <c r="B78" s="15">
        <v>136.58809868036545</v>
      </c>
      <c r="C78" s="15">
        <v>-7.2880986803654366</v>
      </c>
      <c r="D78" s="15">
        <v>-0.99455517925725601</v>
      </c>
      <c r="F78" s="15">
        <v>92.241379310344826</v>
      </c>
      <c r="G78" s="15">
        <v>136.13999999999999</v>
      </c>
    </row>
    <row r="79" spans="1:7" x14ac:dyDescent="0.25">
      <c r="A79" s="15">
        <v>55</v>
      </c>
      <c r="B79" s="15">
        <v>137.22777477006369</v>
      </c>
      <c r="C79" s="15">
        <v>-6.0077747700636905</v>
      </c>
      <c r="D79" s="15">
        <v>-0.8198384483287916</v>
      </c>
      <c r="F79" s="15">
        <v>93.965517241379303</v>
      </c>
      <c r="G79" s="15">
        <v>137.5</v>
      </c>
    </row>
    <row r="80" spans="1:7" x14ac:dyDescent="0.25">
      <c r="A80" s="15">
        <v>56</v>
      </c>
      <c r="B80" s="15">
        <v>137.86745085976193</v>
      </c>
      <c r="C80" s="15">
        <v>-5.3474508597619206</v>
      </c>
      <c r="D80" s="15">
        <v>-0.72972872372430819</v>
      </c>
      <c r="F80" s="15">
        <v>95.689655172413779</v>
      </c>
      <c r="G80" s="15">
        <v>139.1</v>
      </c>
    </row>
    <row r="81" spans="1:7" x14ac:dyDescent="0.25">
      <c r="A81" s="15">
        <v>57</v>
      </c>
      <c r="B81" s="15">
        <v>138.50712694946017</v>
      </c>
      <c r="C81" s="15">
        <v>-4.2571269494601722</v>
      </c>
      <c r="D81" s="15">
        <v>-0.58093994634674184</v>
      </c>
      <c r="F81" s="15">
        <v>97.41379310344827</v>
      </c>
      <c r="G81" s="15">
        <v>140.09</v>
      </c>
    </row>
    <row r="82" spans="1:7" ht="15.75" thickBot="1" x14ac:dyDescent="0.3">
      <c r="A82" s="16">
        <v>58</v>
      </c>
      <c r="B82" s="16">
        <v>139.14680303915839</v>
      </c>
      <c r="C82" s="16">
        <v>-3.0868030391583829</v>
      </c>
      <c r="D82" s="16">
        <v>-0.4212341358951075</v>
      </c>
      <c r="F82" s="16">
        <v>99.137931034482747</v>
      </c>
      <c r="G82" s="16">
        <v>140.15</v>
      </c>
    </row>
  </sheetData>
  <sortState ref="G25:G82">
    <sortCondition ref="G25"/>
  </sortState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2" zoomScale="80" zoomScaleNormal="80" workbookViewId="0">
      <selection activeCell="B68" sqref="B68"/>
    </sheetView>
  </sheetViews>
  <sheetFormatPr defaultRowHeight="15" x14ac:dyDescent="0.25"/>
  <cols>
    <col min="6" max="6" width="15" customWidth="1"/>
  </cols>
  <sheetData>
    <row r="2" spans="1:8" x14ac:dyDescent="0.25">
      <c r="A2" s="34">
        <v>1</v>
      </c>
      <c r="B2" s="34">
        <v>2</v>
      </c>
      <c r="C2" s="34">
        <v>3</v>
      </c>
      <c r="D2" s="34">
        <v>4</v>
      </c>
      <c r="E2" s="34">
        <v>5</v>
      </c>
      <c r="F2" s="34">
        <v>6</v>
      </c>
      <c r="G2" s="34">
        <v>7</v>
      </c>
      <c r="H2" s="34">
        <v>8</v>
      </c>
    </row>
    <row r="3" spans="1:8" ht="18" x14ac:dyDescent="0.25">
      <c r="A3" s="35" t="s">
        <v>67</v>
      </c>
      <c r="B3" s="35" t="s">
        <v>68</v>
      </c>
      <c r="C3" s="36" t="s">
        <v>69</v>
      </c>
      <c r="D3" s="36" t="s">
        <v>70</v>
      </c>
      <c r="E3" s="36" t="s">
        <v>71</v>
      </c>
      <c r="F3" s="37" t="s">
        <v>72</v>
      </c>
      <c r="G3" s="36" t="s">
        <v>73</v>
      </c>
      <c r="H3" s="36" t="s">
        <v>74</v>
      </c>
    </row>
    <row r="4" spans="1:8" x14ac:dyDescent="0.25">
      <c r="A4">
        <v>1</v>
      </c>
      <c r="B4" s="11">
        <v>102.32</v>
      </c>
      <c r="C4" s="38" t="s">
        <v>75</v>
      </c>
      <c r="D4" s="38" t="s">
        <v>75</v>
      </c>
      <c r="E4" s="38" t="s">
        <v>75</v>
      </c>
      <c r="F4" s="38" t="s">
        <v>75</v>
      </c>
      <c r="G4" s="38" t="s">
        <v>75</v>
      </c>
      <c r="H4" s="38" t="s">
        <v>75</v>
      </c>
    </row>
    <row r="5" spans="1:8" x14ac:dyDescent="0.25">
      <c r="A5">
        <v>2</v>
      </c>
      <c r="B5" s="6">
        <v>102.21</v>
      </c>
      <c r="C5" s="39">
        <f>B4</f>
        <v>102.32</v>
      </c>
      <c r="D5" s="39">
        <f>B5-$B$65</f>
        <v>-19.032280701754416</v>
      </c>
      <c r="E5" s="39">
        <f>C5-$B$66</f>
        <v>-18.330350877192998</v>
      </c>
      <c r="F5">
        <f>D5*E5</f>
        <v>348.86838325638746</v>
      </c>
      <c r="G5">
        <f>D5*D5</f>
        <v>362.22770871037358</v>
      </c>
      <c r="H5">
        <f>E5*E5</f>
        <v>336.00176328101014</v>
      </c>
    </row>
    <row r="6" spans="1:8" x14ac:dyDescent="0.25">
      <c r="A6">
        <v>3</v>
      </c>
      <c r="B6" s="6">
        <v>102.16</v>
      </c>
      <c r="C6" s="39">
        <f t="shared" ref="C6:C61" si="0">B5</f>
        <v>102.21</v>
      </c>
      <c r="D6" s="39">
        <f t="shared" ref="D6:D61" si="1">B6-$B$65</f>
        <v>-19.082280701754414</v>
      </c>
      <c r="E6" s="39">
        <f t="shared" ref="E6:E61" si="2">C6-$B$66</f>
        <v>-18.440350877192998</v>
      </c>
      <c r="F6">
        <f t="shared" ref="F6:F61" si="3">D6*E6</f>
        <v>351.88395167744</v>
      </c>
      <c r="G6">
        <f t="shared" ref="G6:G61" si="4">D6*D6</f>
        <v>364.13343678054889</v>
      </c>
      <c r="H6">
        <f t="shared" ref="H6:H61" si="5">E6*E6</f>
        <v>340.04654047399254</v>
      </c>
    </row>
    <row r="7" spans="1:8" x14ac:dyDescent="0.25">
      <c r="A7">
        <v>4</v>
      </c>
      <c r="B7" s="6">
        <v>102.06</v>
      </c>
      <c r="C7" s="39">
        <f t="shared" si="0"/>
        <v>102.16</v>
      </c>
      <c r="D7" s="39">
        <f t="shared" si="1"/>
        <v>-19.182280701754408</v>
      </c>
      <c r="E7" s="39">
        <f t="shared" si="2"/>
        <v>-18.490350877192995</v>
      </c>
      <c r="F7">
        <f t="shared" si="3"/>
        <v>354.68710080024687</v>
      </c>
      <c r="G7">
        <f t="shared" si="4"/>
        <v>367.95989292089956</v>
      </c>
      <c r="H7">
        <f t="shared" si="5"/>
        <v>341.89307556171178</v>
      </c>
    </row>
    <row r="8" spans="1:8" x14ac:dyDescent="0.25">
      <c r="A8">
        <v>5</v>
      </c>
      <c r="B8" s="6">
        <v>102.55</v>
      </c>
      <c r="C8" s="39">
        <f t="shared" si="0"/>
        <v>102.06</v>
      </c>
      <c r="D8" s="39">
        <f t="shared" si="1"/>
        <v>-18.692280701754413</v>
      </c>
      <c r="E8" s="39">
        <f t="shared" si="2"/>
        <v>-18.590350877192989</v>
      </c>
      <c r="F8">
        <f t="shared" si="3"/>
        <v>347.49605694059773</v>
      </c>
      <c r="G8">
        <f t="shared" si="4"/>
        <v>349.40135783318044</v>
      </c>
      <c r="H8">
        <f t="shared" si="5"/>
        <v>345.60114573715015</v>
      </c>
    </row>
    <row r="9" spans="1:8" x14ac:dyDescent="0.25">
      <c r="A9">
        <v>6</v>
      </c>
      <c r="B9" s="6">
        <v>104.35</v>
      </c>
      <c r="C9" s="39">
        <f t="shared" si="0"/>
        <v>102.55</v>
      </c>
      <c r="D9" s="39">
        <f t="shared" si="1"/>
        <v>-16.892280701754416</v>
      </c>
      <c r="E9" s="39">
        <f t="shared" si="2"/>
        <v>-18.100350877192994</v>
      </c>
      <c r="F9">
        <f t="shared" si="3"/>
        <v>305.75620781779082</v>
      </c>
      <c r="G9">
        <f t="shared" si="4"/>
        <v>285.34914730686467</v>
      </c>
      <c r="H9">
        <f t="shared" si="5"/>
        <v>327.62270187750119</v>
      </c>
    </row>
    <row r="10" spans="1:8" x14ac:dyDescent="0.25">
      <c r="A10">
        <v>7</v>
      </c>
      <c r="B10" s="6">
        <v>107.57</v>
      </c>
      <c r="C10" s="39">
        <f t="shared" si="0"/>
        <v>104.35</v>
      </c>
      <c r="D10" s="39">
        <f t="shared" si="1"/>
        <v>-13.672280701754417</v>
      </c>
      <c r="E10" s="39">
        <f t="shared" si="2"/>
        <v>-16.300350877192997</v>
      </c>
      <c r="F10">
        <f t="shared" si="3"/>
        <v>222.8629727300715</v>
      </c>
      <c r="G10">
        <f t="shared" si="4"/>
        <v>186.93125958756625</v>
      </c>
      <c r="H10">
        <f t="shared" si="5"/>
        <v>265.70143871960653</v>
      </c>
    </row>
    <row r="11" spans="1:8" x14ac:dyDescent="0.25">
      <c r="A11">
        <v>8</v>
      </c>
      <c r="B11" s="6">
        <v>111.96</v>
      </c>
      <c r="C11" s="39">
        <f t="shared" si="0"/>
        <v>107.57</v>
      </c>
      <c r="D11" s="39">
        <f t="shared" si="1"/>
        <v>-9.2822807017544164</v>
      </c>
      <c r="E11" s="39">
        <f t="shared" si="2"/>
        <v>-13.080350877192998</v>
      </c>
      <c r="F11">
        <f t="shared" si="3"/>
        <v>121.41548851954502</v>
      </c>
      <c r="G11">
        <f t="shared" si="4"/>
        <v>86.160735026162456</v>
      </c>
      <c r="H11">
        <f t="shared" si="5"/>
        <v>171.09557907048364</v>
      </c>
    </row>
    <row r="12" spans="1:8" x14ac:dyDescent="0.25">
      <c r="A12">
        <v>9</v>
      </c>
      <c r="B12" s="6">
        <v>115.27</v>
      </c>
      <c r="C12" s="39">
        <f t="shared" si="0"/>
        <v>111.96</v>
      </c>
      <c r="D12" s="39">
        <f t="shared" si="1"/>
        <v>-5.9722807017544142</v>
      </c>
      <c r="E12" s="39">
        <f t="shared" si="2"/>
        <v>-8.6903508771929978</v>
      </c>
      <c r="F12">
        <f t="shared" si="3"/>
        <v>51.901214835334287</v>
      </c>
      <c r="G12">
        <f t="shared" si="4"/>
        <v>35.668136780548195</v>
      </c>
      <c r="H12">
        <f t="shared" si="5"/>
        <v>75.522198368729107</v>
      </c>
    </row>
    <row r="13" spans="1:8" x14ac:dyDescent="0.25">
      <c r="A13">
        <v>10</v>
      </c>
      <c r="B13" s="6">
        <v>117.17</v>
      </c>
      <c r="C13" s="39">
        <f t="shared" si="0"/>
        <v>115.27</v>
      </c>
      <c r="D13" s="39">
        <f t="shared" si="1"/>
        <v>-4.0722807017544085</v>
      </c>
      <c r="E13" s="39">
        <f t="shared" si="2"/>
        <v>-5.3803508771929955</v>
      </c>
      <c r="F13">
        <f t="shared" si="3"/>
        <v>21.910299045860437</v>
      </c>
      <c r="G13">
        <f t="shared" si="4"/>
        <v>16.583470113881379</v>
      </c>
      <c r="H13">
        <f t="shared" si="5"/>
        <v>28.948175561711437</v>
      </c>
    </row>
    <row r="14" spans="1:8" x14ac:dyDescent="0.25">
      <c r="A14">
        <v>11</v>
      </c>
      <c r="B14" s="6">
        <v>117.61</v>
      </c>
      <c r="C14" s="39">
        <f t="shared" si="0"/>
        <v>117.17</v>
      </c>
      <c r="D14" s="39">
        <f t="shared" si="1"/>
        <v>-3.6322807017544108</v>
      </c>
      <c r="E14" s="39">
        <f t="shared" si="2"/>
        <v>-3.4803508771929899</v>
      </c>
      <c r="F14">
        <f t="shared" si="3"/>
        <v>12.641611326562133</v>
      </c>
      <c r="G14">
        <f t="shared" si="4"/>
        <v>13.193463096337515</v>
      </c>
      <c r="H14">
        <f t="shared" si="5"/>
        <v>12.112842228378014</v>
      </c>
    </row>
    <row r="15" spans="1:8" x14ac:dyDescent="0.25">
      <c r="A15">
        <v>12</v>
      </c>
      <c r="B15" s="6">
        <v>117.26</v>
      </c>
      <c r="C15" s="39">
        <f t="shared" si="0"/>
        <v>117.61</v>
      </c>
      <c r="D15" s="39">
        <f t="shared" si="1"/>
        <v>-3.9822807017544051</v>
      </c>
      <c r="E15" s="39">
        <f t="shared" si="2"/>
        <v>-3.0403508771929921</v>
      </c>
      <c r="F15">
        <f t="shared" si="3"/>
        <v>12.10753062480773</v>
      </c>
      <c r="G15">
        <f t="shared" si="4"/>
        <v>15.858559587565557</v>
      </c>
      <c r="H15">
        <f t="shared" si="5"/>
        <v>9.2437334564481972</v>
      </c>
    </row>
    <row r="16" spans="1:8" x14ac:dyDescent="0.25">
      <c r="A16">
        <v>13</v>
      </c>
      <c r="B16" s="6">
        <v>115.88</v>
      </c>
      <c r="C16" s="39">
        <f t="shared" si="0"/>
        <v>117.26</v>
      </c>
      <c r="D16" s="39">
        <f t="shared" si="1"/>
        <v>-5.3622807017544147</v>
      </c>
      <c r="E16" s="39">
        <f t="shared" si="2"/>
        <v>-3.3903508771929864</v>
      </c>
      <c r="F16">
        <f t="shared" si="3"/>
        <v>18.180013080948104</v>
      </c>
      <c r="G16">
        <f t="shared" si="4"/>
        <v>28.754054324407818</v>
      </c>
      <c r="H16">
        <f t="shared" si="5"/>
        <v>11.494479070483253</v>
      </c>
    </row>
    <row r="17" spans="1:8" x14ac:dyDescent="0.25">
      <c r="A17">
        <v>14</v>
      </c>
      <c r="B17" s="6">
        <v>113.35</v>
      </c>
      <c r="C17" s="39">
        <f t="shared" si="0"/>
        <v>115.88</v>
      </c>
      <c r="D17" s="39">
        <f t="shared" si="1"/>
        <v>-7.8922807017544159</v>
      </c>
      <c r="E17" s="39">
        <f t="shared" si="2"/>
        <v>-4.7703508771929961</v>
      </c>
      <c r="F17">
        <f t="shared" si="3"/>
        <v>37.64894816866753</v>
      </c>
      <c r="G17">
        <f t="shared" si="4"/>
        <v>62.288094675285173</v>
      </c>
      <c r="H17">
        <f t="shared" si="5"/>
        <v>22.756247491535987</v>
      </c>
    </row>
    <row r="18" spans="1:8" x14ac:dyDescent="0.25">
      <c r="A18">
        <v>15</v>
      </c>
      <c r="B18" s="6">
        <v>111.39</v>
      </c>
      <c r="C18" s="39">
        <f t="shared" si="0"/>
        <v>113.35</v>
      </c>
      <c r="D18" s="39">
        <f t="shared" si="1"/>
        <v>-9.8522807017544096</v>
      </c>
      <c r="E18" s="39">
        <f t="shared" si="2"/>
        <v>-7.3003508771929972</v>
      </c>
      <c r="F18">
        <f t="shared" si="3"/>
        <v>71.925106063404442</v>
      </c>
      <c r="G18">
        <f t="shared" si="4"/>
        <v>97.067435026162357</v>
      </c>
      <c r="H18">
        <f t="shared" si="5"/>
        <v>53.295122930132564</v>
      </c>
    </row>
    <row r="19" spans="1:8" x14ac:dyDescent="0.25">
      <c r="A19">
        <v>16</v>
      </c>
      <c r="B19" s="6">
        <v>109.76</v>
      </c>
      <c r="C19" s="39">
        <f t="shared" si="0"/>
        <v>111.39</v>
      </c>
      <c r="D19" s="39">
        <f t="shared" si="1"/>
        <v>-11.482280701754405</v>
      </c>
      <c r="E19" s="39">
        <f t="shared" si="2"/>
        <v>-9.260350877192991</v>
      </c>
      <c r="F19">
        <f t="shared" si="3"/>
        <v>106.32994816866756</v>
      </c>
      <c r="G19">
        <f t="shared" si="4"/>
        <v>131.84277011388164</v>
      </c>
      <c r="H19">
        <f t="shared" si="5"/>
        <v>85.754098368729004</v>
      </c>
    </row>
    <row r="20" spans="1:8" x14ac:dyDescent="0.25">
      <c r="A20">
        <v>17</v>
      </c>
      <c r="B20" s="6">
        <v>109.5</v>
      </c>
      <c r="C20" s="39">
        <f t="shared" si="0"/>
        <v>109.76</v>
      </c>
      <c r="D20" s="39">
        <f t="shared" si="1"/>
        <v>-11.74228070175441</v>
      </c>
      <c r="E20" s="39">
        <f t="shared" si="2"/>
        <v>-10.890350877192986</v>
      </c>
      <c r="F20">
        <f t="shared" si="3"/>
        <v>127.87755694059742</v>
      </c>
      <c r="G20">
        <f t="shared" si="4"/>
        <v>137.88115607879405</v>
      </c>
      <c r="H20">
        <f t="shared" si="5"/>
        <v>118.59974222837805</v>
      </c>
    </row>
    <row r="21" spans="1:8" x14ac:dyDescent="0.25">
      <c r="A21">
        <v>18</v>
      </c>
      <c r="B21" s="6">
        <v>108.86</v>
      </c>
      <c r="C21" s="39">
        <f t="shared" si="0"/>
        <v>109.5</v>
      </c>
      <c r="D21" s="39">
        <f t="shared" si="1"/>
        <v>-12.382280701754411</v>
      </c>
      <c r="E21" s="39">
        <f t="shared" si="2"/>
        <v>-11.150350877192992</v>
      </c>
      <c r="F21">
        <f t="shared" si="3"/>
        <v>138.06677448445714</v>
      </c>
      <c r="G21">
        <f t="shared" si="4"/>
        <v>153.3208753770397</v>
      </c>
      <c r="H21">
        <f t="shared" si="5"/>
        <v>124.33032468451852</v>
      </c>
    </row>
    <row r="22" spans="1:8" x14ac:dyDescent="0.25">
      <c r="A22">
        <v>19</v>
      </c>
      <c r="B22" s="6">
        <v>108.49</v>
      </c>
      <c r="C22" s="39">
        <f t="shared" si="0"/>
        <v>108.86</v>
      </c>
      <c r="D22" s="39">
        <f t="shared" si="1"/>
        <v>-12.752280701754415</v>
      </c>
      <c r="E22" s="39">
        <f t="shared" si="2"/>
        <v>-11.790350877192992</v>
      </c>
      <c r="F22">
        <f t="shared" si="3"/>
        <v>150.35386395814143</v>
      </c>
      <c r="G22">
        <f t="shared" si="4"/>
        <v>162.62066309633809</v>
      </c>
      <c r="H22">
        <f t="shared" si="5"/>
        <v>139.01237380732556</v>
      </c>
    </row>
    <row r="23" spans="1:8" x14ac:dyDescent="0.25">
      <c r="A23">
        <v>20</v>
      </c>
      <c r="B23" s="6">
        <v>108.36</v>
      </c>
      <c r="C23" s="39">
        <f t="shared" si="0"/>
        <v>108.49</v>
      </c>
      <c r="D23" s="39">
        <f t="shared" si="1"/>
        <v>-12.882280701754411</v>
      </c>
      <c r="E23" s="39">
        <f t="shared" si="2"/>
        <v>-12.160350877192997</v>
      </c>
      <c r="F23">
        <f t="shared" si="3"/>
        <v>156.65305343182567</v>
      </c>
      <c r="G23">
        <f t="shared" si="4"/>
        <v>165.95315607879411</v>
      </c>
      <c r="H23">
        <f t="shared" si="5"/>
        <v>147.87413345644848</v>
      </c>
    </row>
    <row r="24" spans="1:8" x14ac:dyDescent="0.25">
      <c r="A24">
        <v>21</v>
      </c>
      <c r="B24" s="6">
        <v>108.19</v>
      </c>
      <c r="C24" s="39">
        <f t="shared" si="0"/>
        <v>108.36</v>
      </c>
      <c r="D24" s="39">
        <f t="shared" si="1"/>
        <v>-13.052280701754412</v>
      </c>
      <c r="E24" s="39">
        <f t="shared" si="2"/>
        <v>-12.290350877192992</v>
      </c>
      <c r="F24">
        <f t="shared" si="3"/>
        <v>160.41710957217651</v>
      </c>
      <c r="G24">
        <f t="shared" si="4"/>
        <v>170.36203151739065</v>
      </c>
      <c r="H24">
        <f t="shared" si="5"/>
        <v>151.05272468451855</v>
      </c>
    </row>
    <row r="25" spans="1:8" x14ac:dyDescent="0.25">
      <c r="A25">
        <v>22</v>
      </c>
      <c r="B25" s="6">
        <v>107.8</v>
      </c>
      <c r="C25" s="39">
        <f t="shared" si="0"/>
        <v>108.19</v>
      </c>
      <c r="D25" s="39">
        <f t="shared" si="1"/>
        <v>-13.442280701754413</v>
      </c>
      <c r="E25" s="39">
        <f t="shared" si="2"/>
        <v>-12.460350877192994</v>
      </c>
      <c r="F25">
        <f t="shared" si="3"/>
        <v>167.49553413358007</v>
      </c>
      <c r="G25">
        <f t="shared" si="4"/>
        <v>180.69491046475912</v>
      </c>
      <c r="H25">
        <f t="shared" si="5"/>
        <v>155.2603439827642</v>
      </c>
    </row>
    <row r="26" spans="1:8" x14ac:dyDescent="0.25">
      <c r="A26">
        <v>23</v>
      </c>
      <c r="B26" s="6">
        <v>107.47</v>
      </c>
      <c r="C26" s="39">
        <f t="shared" si="0"/>
        <v>107.8</v>
      </c>
      <c r="D26" s="39">
        <f t="shared" si="1"/>
        <v>-13.772280701754411</v>
      </c>
      <c r="E26" s="39">
        <f t="shared" si="2"/>
        <v>-12.850350877192994</v>
      </c>
      <c r="F26">
        <f t="shared" si="3"/>
        <v>176.97863939673795</v>
      </c>
      <c r="G26">
        <f t="shared" si="4"/>
        <v>189.67571572791698</v>
      </c>
      <c r="H26">
        <f t="shared" si="5"/>
        <v>165.13151766697476</v>
      </c>
    </row>
    <row r="27" spans="1:8" x14ac:dyDescent="0.25">
      <c r="A27">
        <v>24</v>
      </c>
      <c r="B27" s="6">
        <v>107.03</v>
      </c>
      <c r="C27" s="39">
        <f t="shared" si="0"/>
        <v>107.47</v>
      </c>
      <c r="D27" s="39">
        <f t="shared" si="1"/>
        <v>-14.212280701754409</v>
      </c>
      <c r="E27" s="39">
        <f t="shared" si="2"/>
        <v>-13.180350877192993</v>
      </c>
      <c r="F27">
        <f t="shared" si="3"/>
        <v>187.32284641428177</v>
      </c>
      <c r="G27">
        <f t="shared" si="4"/>
        <v>201.9889227454608</v>
      </c>
      <c r="H27">
        <f t="shared" si="5"/>
        <v>173.72164924592209</v>
      </c>
    </row>
    <row r="28" spans="1:8" x14ac:dyDescent="0.25">
      <c r="A28">
        <v>25</v>
      </c>
      <c r="B28" s="6">
        <v>106.61</v>
      </c>
      <c r="C28" s="39">
        <f t="shared" si="0"/>
        <v>107.03</v>
      </c>
      <c r="D28" s="39">
        <f t="shared" si="1"/>
        <v>-14.632280701754411</v>
      </c>
      <c r="E28" s="39">
        <f t="shared" si="2"/>
        <v>-13.62035087719299</v>
      </c>
      <c r="F28">
        <f t="shared" si="3"/>
        <v>199.29679729147475</v>
      </c>
      <c r="G28">
        <f t="shared" si="4"/>
        <v>214.10363853493456</v>
      </c>
      <c r="H28">
        <f t="shared" si="5"/>
        <v>185.51395801785188</v>
      </c>
    </row>
    <row r="29" spans="1:8" x14ac:dyDescent="0.25">
      <c r="A29">
        <v>26</v>
      </c>
      <c r="B29" s="6">
        <v>106.57</v>
      </c>
      <c r="C29" s="39">
        <f t="shared" si="0"/>
        <v>106.61</v>
      </c>
      <c r="D29" s="39">
        <f t="shared" si="1"/>
        <v>-14.672280701754417</v>
      </c>
      <c r="E29" s="39">
        <f t="shared" si="2"/>
        <v>-14.040350877192992</v>
      </c>
      <c r="F29">
        <f t="shared" si="3"/>
        <v>206.00396922129943</v>
      </c>
      <c r="G29">
        <f t="shared" si="4"/>
        <v>215.27582099107508</v>
      </c>
      <c r="H29">
        <f t="shared" si="5"/>
        <v>197.13145275469401</v>
      </c>
    </row>
    <row r="30" spans="1:8" x14ac:dyDescent="0.25">
      <c r="A30">
        <v>27</v>
      </c>
      <c r="B30" s="6">
        <v>106.49</v>
      </c>
      <c r="C30" s="39">
        <f t="shared" si="0"/>
        <v>106.57</v>
      </c>
      <c r="D30" s="39">
        <f t="shared" si="1"/>
        <v>-14.752280701754415</v>
      </c>
      <c r="E30" s="39">
        <f t="shared" si="2"/>
        <v>-14.080350877192998</v>
      </c>
      <c r="F30">
        <f t="shared" si="3"/>
        <v>207.71728851954512</v>
      </c>
      <c r="G30">
        <f t="shared" si="4"/>
        <v>217.62978590335575</v>
      </c>
      <c r="H30">
        <f t="shared" si="5"/>
        <v>198.25628082486963</v>
      </c>
    </row>
    <row r="31" spans="1:8" x14ac:dyDescent="0.25">
      <c r="A31">
        <v>28</v>
      </c>
      <c r="B31" s="6">
        <v>107.04</v>
      </c>
      <c r="C31" s="39">
        <f t="shared" si="0"/>
        <v>106.49</v>
      </c>
      <c r="D31" s="39">
        <f t="shared" si="1"/>
        <v>-14.202280701754404</v>
      </c>
      <c r="E31" s="39">
        <f t="shared" si="2"/>
        <v>-14.160350877192997</v>
      </c>
      <c r="F31">
        <f t="shared" si="3"/>
        <v>201.10927799322914</v>
      </c>
      <c r="G31">
        <f t="shared" si="4"/>
        <v>201.70477713142557</v>
      </c>
      <c r="H31">
        <f t="shared" si="5"/>
        <v>200.51553696522046</v>
      </c>
    </row>
    <row r="32" spans="1:8" x14ac:dyDescent="0.25">
      <c r="A32">
        <v>29</v>
      </c>
      <c r="B32" s="6">
        <v>111.35</v>
      </c>
      <c r="C32" s="39">
        <f t="shared" si="0"/>
        <v>107.04</v>
      </c>
      <c r="D32" s="39">
        <f t="shared" si="1"/>
        <v>-9.8922807017544159</v>
      </c>
      <c r="E32" s="39">
        <f t="shared" si="2"/>
        <v>-13.610350877192985</v>
      </c>
      <c r="F32">
        <f t="shared" si="3"/>
        <v>134.63741132656244</v>
      </c>
      <c r="G32">
        <f t="shared" si="4"/>
        <v>97.857217482302843</v>
      </c>
      <c r="H32">
        <f t="shared" si="5"/>
        <v>185.24165100030785</v>
      </c>
    </row>
    <row r="33" spans="1:8" x14ac:dyDescent="0.25">
      <c r="A33">
        <v>30</v>
      </c>
      <c r="B33" s="6">
        <v>117.54</v>
      </c>
      <c r="C33" s="39">
        <f t="shared" si="0"/>
        <v>111.35</v>
      </c>
      <c r="D33" s="39">
        <f t="shared" si="1"/>
        <v>-3.7022807017544039</v>
      </c>
      <c r="E33" s="39">
        <f t="shared" si="2"/>
        <v>-9.3003508771929972</v>
      </c>
      <c r="F33">
        <f t="shared" si="3"/>
        <v>34.432509572176279</v>
      </c>
      <c r="G33">
        <f t="shared" si="4"/>
        <v>13.706882394583081</v>
      </c>
      <c r="H33">
        <f t="shared" si="5"/>
        <v>86.496526438904553</v>
      </c>
    </row>
    <row r="34" spans="1:8" x14ac:dyDescent="0.25">
      <c r="A34">
        <v>31</v>
      </c>
      <c r="B34" s="6">
        <v>122.58</v>
      </c>
      <c r="C34" s="39">
        <f t="shared" si="0"/>
        <v>117.54</v>
      </c>
      <c r="D34" s="39">
        <f t="shared" si="1"/>
        <v>1.3377192982455881</v>
      </c>
      <c r="E34" s="39">
        <f t="shared" si="2"/>
        <v>-3.1103508771929853</v>
      </c>
      <c r="F34">
        <f t="shared" si="3"/>
        <v>-4.1607763927361496</v>
      </c>
      <c r="G34">
        <f t="shared" si="4"/>
        <v>1.7894929208986687</v>
      </c>
      <c r="H34">
        <f t="shared" si="5"/>
        <v>9.6742825792551734</v>
      </c>
    </row>
    <row r="35" spans="1:8" x14ac:dyDescent="0.25">
      <c r="A35">
        <v>32</v>
      </c>
      <c r="B35" s="6">
        <v>128.16</v>
      </c>
      <c r="C35" s="39">
        <f t="shared" si="0"/>
        <v>122.58</v>
      </c>
      <c r="D35" s="39">
        <f t="shared" si="1"/>
        <v>6.9177192982455864</v>
      </c>
      <c r="E35" s="39">
        <f t="shared" si="2"/>
        <v>1.9296491228070067</v>
      </c>
      <c r="F35">
        <f t="shared" si="3"/>
        <v>13.348770975684698</v>
      </c>
      <c r="G35">
        <f t="shared" si="4"/>
        <v>47.854840289319405</v>
      </c>
      <c r="H35">
        <f t="shared" si="5"/>
        <v>3.7235457371498506</v>
      </c>
    </row>
    <row r="36" spans="1:8" x14ac:dyDescent="0.25">
      <c r="A36">
        <v>33</v>
      </c>
      <c r="B36" s="6">
        <v>132.86000000000001</v>
      </c>
      <c r="C36" s="39">
        <f t="shared" si="0"/>
        <v>128.16</v>
      </c>
      <c r="D36" s="39">
        <f t="shared" si="1"/>
        <v>11.617719298245603</v>
      </c>
      <c r="E36" s="39">
        <f t="shared" si="2"/>
        <v>7.509649122807005</v>
      </c>
      <c r="F36">
        <f t="shared" si="3"/>
        <v>87.244995537088116</v>
      </c>
      <c r="G36">
        <f t="shared" si="4"/>
        <v>134.97140169282832</v>
      </c>
      <c r="H36">
        <f t="shared" si="5"/>
        <v>56.394829947676023</v>
      </c>
    </row>
    <row r="37" spans="1:8" x14ac:dyDescent="0.25">
      <c r="A37">
        <v>34</v>
      </c>
      <c r="B37" s="6">
        <v>134.91999999999999</v>
      </c>
      <c r="C37" s="39">
        <f t="shared" si="0"/>
        <v>132.86000000000001</v>
      </c>
      <c r="D37" s="39">
        <f t="shared" si="1"/>
        <v>13.677719298245577</v>
      </c>
      <c r="E37" s="39">
        <f t="shared" si="2"/>
        <v>12.209649122807022</v>
      </c>
      <c r="F37">
        <f t="shared" si="3"/>
        <v>167.0001534318248</v>
      </c>
      <c r="G37">
        <f t="shared" si="4"/>
        <v>187.08000520159948</v>
      </c>
      <c r="H37">
        <f t="shared" si="5"/>
        <v>149.07553170206228</v>
      </c>
    </row>
    <row r="38" spans="1:8" x14ac:dyDescent="0.25">
      <c r="A38">
        <v>35</v>
      </c>
      <c r="B38" s="6">
        <v>135.69999999999999</v>
      </c>
      <c r="C38" s="39">
        <f t="shared" si="0"/>
        <v>134.91999999999999</v>
      </c>
      <c r="D38" s="39">
        <f t="shared" si="1"/>
        <v>14.457719298245578</v>
      </c>
      <c r="E38" s="39">
        <f t="shared" si="2"/>
        <v>14.269649122806996</v>
      </c>
      <c r="F38">
        <f t="shared" si="3"/>
        <v>206.3065815019998</v>
      </c>
      <c r="G38">
        <f t="shared" si="4"/>
        <v>209.02564730686262</v>
      </c>
      <c r="H38">
        <f t="shared" si="5"/>
        <v>203.62288608802646</v>
      </c>
    </row>
    <row r="39" spans="1:8" x14ac:dyDescent="0.25">
      <c r="A39">
        <v>36</v>
      </c>
      <c r="B39" s="6">
        <v>136.13999999999999</v>
      </c>
      <c r="C39" s="39">
        <f t="shared" si="0"/>
        <v>135.69999999999999</v>
      </c>
      <c r="D39" s="39">
        <f t="shared" si="1"/>
        <v>14.897719298245576</v>
      </c>
      <c r="E39" s="39">
        <f t="shared" si="2"/>
        <v>15.049649122806997</v>
      </c>
      <c r="F39">
        <f t="shared" si="3"/>
        <v>224.20544816866641</v>
      </c>
      <c r="G39">
        <f t="shared" si="4"/>
        <v>221.94204028931867</v>
      </c>
      <c r="H39">
        <f t="shared" si="5"/>
        <v>226.49193871960543</v>
      </c>
    </row>
    <row r="40" spans="1:8" x14ac:dyDescent="0.25">
      <c r="A40">
        <v>37</v>
      </c>
      <c r="B40" s="6">
        <v>140.15</v>
      </c>
      <c r="C40" s="39">
        <f t="shared" si="0"/>
        <v>136.13999999999999</v>
      </c>
      <c r="D40" s="39">
        <f t="shared" si="1"/>
        <v>18.907719298245595</v>
      </c>
      <c r="E40" s="39">
        <f t="shared" si="2"/>
        <v>15.489649122806995</v>
      </c>
      <c r="F40">
        <f t="shared" si="3"/>
        <v>292.87393764235077</v>
      </c>
      <c r="G40">
        <f t="shared" si="4"/>
        <v>357.50184906124889</v>
      </c>
      <c r="H40">
        <f t="shared" si="5"/>
        <v>239.92922994767551</v>
      </c>
    </row>
    <row r="41" spans="1:8" x14ac:dyDescent="0.25">
      <c r="A41">
        <v>38</v>
      </c>
      <c r="B41" s="6">
        <v>140.09</v>
      </c>
      <c r="C41" s="39">
        <f t="shared" si="0"/>
        <v>140.15</v>
      </c>
      <c r="D41" s="39">
        <f t="shared" si="1"/>
        <v>18.847719298245593</v>
      </c>
      <c r="E41" s="39">
        <f t="shared" si="2"/>
        <v>19.499649122807014</v>
      </c>
      <c r="F41">
        <f t="shared" si="3"/>
        <v>367.52391308094752</v>
      </c>
      <c r="G41">
        <f t="shared" si="4"/>
        <v>355.23652274545935</v>
      </c>
      <c r="H41">
        <f t="shared" si="5"/>
        <v>380.23631591258834</v>
      </c>
    </row>
    <row r="42" spans="1:8" x14ac:dyDescent="0.25">
      <c r="A42">
        <v>39</v>
      </c>
      <c r="B42" s="6">
        <v>139.1</v>
      </c>
      <c r="C42" s="39">
        <f t="shared" si="0"/>
        <v>140.09</v>
      </c>
      <c r="D42" s="39">
        <f t="shared" si="1"/>
        <v>17.857719298245584</v>
      </c>
      <c r="E42" s="39">
        <f t="shared" si="2"/>
        <v>19.439649122807012</v>
      </c>
      <c r="F42">
        <f t="shared" si="3"/>
        <v>347.14779729147364</v>
      </c>
      <c r="G42">
        <f t="shared" si="4"/>
        <v>318.89813853493274</v>
      </c>
      <c r="H42">
        <f t="shared" si="5"/>
        <v>377.89995801785142</v>
      </c>
    </row>
    <row r="43" spans="1:8" x14ac:dyDescent="0.25">
      <c r="A43">
        <v>40</v>
      </c>
      <c r="B43" s="6">
        <v>137.5</v>
      </c>
      <c r="C43" s="39">
        <f t="shared" si="0"/>
        <v>139.1</v>
      </c>
      <c r="D43" s="39">
        <f t="shared" si="1"/>
        <v>16.25771929824559</v>
      </c>
      <c r="E43" s="39">
        <f t="shared" si="2"/>
        <v>18.449649122807003</v>
      </c>
      <c r="F43">
        <f t="shared" si="3"/>
        <v>299.94921658971924</v>
      </c>
      <c r="G43">
        <f t="shared" si="4"/>
        <v>264.31343678054708</v>
      </c>
      <c r="H43">
        <f t="shared" si="5"/>
        <v>340.38955275469323</v>
      </c>
    </row>
    <row r="44" spans="1:8" x14ac:dyDescent="0.25">
      <c r="A44">
        <v>41</v>
      </c>
      <c r="B44" s="6">
        <v>136.12</v>
      </c>
      <c r="C44" s="39">
        <f t="shared" si="0"/>
        <v>137.5</v>
      </c>
      <c r="D44" s="39">
        <f t="shared" si="1"/>
        <v>14.877719298245594</v>
      </c>
      <c r="E44" s="39">
        <f t="shared" si="2"/>
        <v>16.849649122807008</v>
      </c>
      <c r="F44">
        <f t="shared" si="3"/>
        <v>250.68434992305279</v>
      </c>
      <c r="G44">
        <f t="shared" si="4"/>
        <v>221.34653151738939</v>
      </c>
      <c r="H44">
        <f t="shared" si="5"/>
        <v>283.910675561711</v>
      </c>
    </row>
    <row r="45" spans="1:8" x14ac:dyDescent="0.25">
      <c r="A45">
        <v>42</v>
      </c>
      <c r="B45" s="6">
        <v>135.22</v>
      </c>
      <c r="C45" s="39">
        <f t="shared" si="0"/>
        <v>136.12</v>
      </c>
      <c r="D45" s="39">
        <f t="shared" si="1"/>
        <v>13.977719298245589</v>
      </c>
      <c r="E45" s="39">
        <f t="shared" si="2"/>
        <v>15.469649122807013</v>
      </c>
      <c r="F45">
        <f t="shared" si="3"/>
        <v>216.23041308094753</v>
      </c>
      <c r="G45">
        <f t="shared" si="4"/>
        <v>195.37663678054716</v>
      </c>
      <c r="H45">
        <f t="shared" si="5"/>
        <v>239.31004398276377</v>
      </c>
    </row>
    <row r="46" spans="1:8" x14ac:dyDescent="0.25">
      <c r="A46">
        <v>43</v>
      </c>
      <c r="B46" s="6">
        <v>134.72999999999999</v>
      </c>
      <c r="C46" s="39">
        <f t="shared" si="0"/>
        <v>135.22</v>
      </c>
      <c r="D46" s="39">
        <f t="shared" si="1"/>
        <v>13.48771929824558</v>
      </c>
      <c r="E46" s="39">
        <f t="shared" si="2"/>
        <v>14.569649122807007</v>
      </c>
      <c r="F46">
        <f t="shared" si="3"/>
        <v>196.51133764235084</v>
      </c>
      <c r="G46">
        <f t="shared" si="4"/>
        <v>181.91857186826624</v>
      </c>
      <c r="H46">
        <f t="shared" si="5"/>
        <v>212.27467556171101</v>
      </c>
    </row>
    <row r="47" spans="1:8" x14ac:dyDescent="0.25">
      <c r="A47">
        <v>44</v>
      </c>
      <c r="B47" s="6">
        <v>134.38999999999999</v>
      </c>
      <c r="C47" s="39">
        <f t="shared" si="0"/>
        <v>134.72999999999999</v>
      </c>
      <c r="D47" s="39">
        <f t="shared" si="1"/>
        <v>13.147719298245576</v>
      </c>
      <c r="E47" s="39">
        <f t="shared" si="2"/>
        <v>14.079649122806998</v>
      </c>
      <c r="F47">
        <f t="shared" si="3"/>
        <v>185.11527448445597</v>
      </c>
      <c r="G47">
        <f t="shared" si="4"/>
        <v>172.86252274545916</v>
      </c>
      <c r="H47">
        <f t="shared" si="5"/>
        <v>198.23651942135987</v>
      </c>
    </row>
    <row r="48" spans="1:8" x14ac:dyDescent="0.25">
      <c r="A48">
        <v>45</v>
      </c>
      <c r="B48" s="6">
        <v>134.51</v>
      </c>
      <c r="C48" s="39">
        <f t="shared" si="0"/>
        <v>134.38999999999999</v>
      </c>
      <c r="D48" s="39">
        <f t="shared" si="1"/>
        <v>13.267719298245581</v>
      </c>
      <c r="E48" s="39">
        <f t="shared" si="2"/>
        <v>13.739649122806995</v>
      </c>
      <c r="F48">
        <f t="shared" si="3"/>
        <v>182.29380781778934</v>
      </c>
      <c r="G48">
        <f t="shared" si="4"/>
        <v>176.03237537703819</v>
      </c>
      <c r="H48">
        <f t="shared" si="5"/>
        <v>188.77795801785103</v>
      </c>
    </row>
    <row r="49" spans="1:8" x14ac:dyDescent="0.25">
      <c r="A49">
        <v>46</v>
      </c>
      <c r="B49" s="6">
        <v>134.46</v>
      </c>
      <c r="C49" s="39">
        <f t="shared" si="0"/>
        <v>134.51</v>
      </c>
      <c r="D49" s="39">
        <f t="shared" si="1"/>
        <v>13.217719298245598</v>
      </c>
      <c r="E49" s="39">
        <f t="shared" si="2"/>
        <v>13.859649122806999</v>
      </c>
      <c r="F49">
        <f t="shared" si="3"/>
        <v>183.19295167743874</v>
      </c>
      <c r="G49">
        <f t="shared" si="4"/>
        <v>174.70810344721409</v>
      </c>
      <c r="H49">
        <f t="shared" si="5"/>
        <v>192.08987380732484</v>
      </c>
    </row>
    <row r="50" spans="1:8" x14ac:dyDescent="0.25">
      <c r="A50">
        <v>47</v>
      </c>
      <c r="B50" s="6">
        <v>134.27000000000001</v>
      </c>
      <c r="C50" s="39">
        <f t="shared" si="0"/>
        <v>134.46</v>
      </c>
      <c r="D50" s="39">
        <f t="shared" si="1"/>
        <v>13.0277192982456</v>
      </c>
      <c r="E50" s="39">
        <f t="shared" si="2"/>
        <v>13.809649122807016</v>
      </c>
      <c r="F50">
        <f t="shared" si="3"/>
        <v>179.90823237919338</v>
      </c>
      <c r="G50">
        <f t="shared" si="4"/>
        <v>169.72147011388083</v>
      </c>
      <c r="H50">
        <f t="shared" si="5"/>
        <v>190.7064088950446</v>
      </c>
    </row>
    <row r="51" spans="1:8" x14ac:dyDescent="0.25">
      <c r="A51">
        <v>48</v>
      </c>
      <c r="B51" s="6">
        <v>133.72999999999999</v>
      </c>
      <c r="C51" s="39">
        <f t="shared" si="0"/>
        <v>134.27000000000001</v>
      </c>
      <c r="D51" s="39">
        <f t="shared" si="1"/>
        <v>12.48771929824558</v>
      </c>
      <c r="E51" s="39">
        <f t="shared" si="2"/>
        <v>13.619649122807019</v>
      </c>
      <c r="F51">
        <f t="shared" si="3"/>
        <v>170.0783551862107</v>
      </c>
      <c r="G51">
        <f t="shared" si="4"/>
        <v>155.94313327177508</v>
      </c>
      <c r="H51">
        <f t="shared" si="5"/>
        <v>185.49484222837799</v>
      </c>
    </row>
    <row r="52" spans="1:8" x14ac:dyDescent="0.25">
      <c r="A52">
        <v>49</v>
      </c>
      <c r="B52" s="6">
        <v>132.01</v>
      </c>
      <c r="C52" s="39">
        <f t="shared" si="0"/>
        <v>133.72999999999999</v>
      </c>
      <c r="D52" s="39">
        <f t="shared" si="1"/>
        <v>10.767719298245581</v>
      </c>
      <c r="E52" s="39">
        <f t="shared" si="2"/>
        <v>13.079649122806998</v>
      </c>
      <c r="F52">
        <f t="shared" si="3"/>
        <v>140.83799027392979</v>
      </c>
      <c r="G52">
        <f t="shared" si="4"/>
        <v>115.9437788858103</v>
      </c>
      <c r="H52">
        <f t="shared" si="5"/>
        <v>171.07722117574588</v>
      </c>
    </row>
    <row r="53" spans="1:8" x14ac:dyDescent="0.25">
      <c r="A53">
        <v>50</v>
      </c>
      <c r="B53" s="6">
        <v>130.59</v>
      </c>
      <c r="C53" s="39">
        <f t="shared" si="0"/>
        <v>132.01</v>
      </c>
      <c r="D53" s="39">
        <f t="shared" si="1"/>
        <v>9.3477192982455932</v>
      </c>
      <c r="E53" s="39">
        <f t="shared" si="2"/>
        <v>11.359649122806999</v>
      </c>
      <c r="F53">
        <f t="shared" si="3"/>
        <v>106.18681132656161</v>
      </c>
      <c r="G53">
        <f t="shared" si="4"/>
        <v>87.379856078793082</v>
      </c>
      <c r="H53">
        <f t="shared" si="5"/>
        <v>129.04162819328982</v>
      </c>
    </row>
    <row r="54" spans="1:8" x14ac:dyDescent="0.25">
      <c r="A54">
        <v>51</v>
      </c>
      <c r="B54" s="6">
        <v>130.28</v>
      </c>
      <c r="C54" s="39">
        <f t="shared" si="0"/>
        <v>130.59</v>
      </c>
      <c r="D54" s="39">
        <f t="shared" si="1"/>
        <v>9.0377192982455909</v>
      </c>
      <c r="E54" s="39">
        <f t="shared" si="2"/>
        <v>9.9396491228070118</v>
      </c>
      <c r="F54">
        <f t="shared" si="3"/>
        <v>89.831758694982796</v>
      </c>
      <c r="G54">
        <f t="shared" si="4"/>
        <v>81.680370113880784</v>
      </c>
      <c r="H54">
        <f t="shared" si="5"/>
        <v>98.796624684518207</v>
      </c>
    </row>
    <row r="55" spans="1:8" x14ac:dyDescent="0.25">
      <c r="A55">
        <v>52</v>
      </c>
      <c r="B55" s="6">
        <v>129.16</v>
      </c>
      <c r="C55" s="39">
        <f t="shared" si="0"/>
        <v>130.28</v>
      </c>
      <c r="D55" s="39">
        <f t="shared" si="1"/>
        <v>7.9177192982455864</v>
      </c>
      <c r="E55" s="39">
        <f t="shared" si="2"/>
        <v>9.6296491228070096</v>
      </c>
      <c r="F55">
        <f t="shared" si="3"/>
        <v>76.244858694982739</v>
      </c>
      <c r="G55">
        <f t="shared" si="4"/>
        <v>62.690278885810578</v>
      </c>
      <c r="H55">
        <f t="shared" si="5"/>
        <v>92.730142228377815</v>
      </c>
    </row>
    <row r="56" spans="1:8" x14ac:dyDescent="0.25">
      <c r="A56">
        <v>53</v>
      </c>
      <c r="B56" s="6">
        <v>128.94</v>
      </c>
      <c r="C56" s="39">
        <f t="shared" si="0"/>
        <v>129.16</v>
      </c>
      <c r="D56" s="39">
        <f t="shared" si="1"/>
        <v>7.6977192982455875</v>
      </c>
      <c r="E56" s="39">
        <f t="shared" si="2"/>
        <v>8.509649122807005</v>
      </c>
      <c r="F56">
        <f t="shared" si="3"/>
        <v>65.504890273930116</v>
      </c>
      <c r="G56">
        <f t="shared" si="4"/>
        <v>59.254882394582538</v>
      </c>
      <c r="H56">
        <f t="shared" si="5"/>
        <v>72.414128193290026</v>
      </c>
    </row>
    <row r="57" spans="1:8" x14ac:dyDescent="0.25">
      <c r="A57">
        <v>54</v>
      </c>
      <c r="B57" s="6">
        <v>129.30000000000001</v>
      </c>
      <c r="C57" s="39">
        <f t="shared" si="0"/>
        <v>128.94</v>
      </c>
      <c r="D57" s="39">
        <f t="shared" si="1"/>
        <v>8.0577192982456012</v>
      </c>
      <c r="E57" s="39">
        <f t="shared" si="2"/>
        <v>8.2896491228070062</v>
      </c>
      <c r="F57">
        <f t="shared" si="3"/>
        <v>66.795665712526727</v>
      </c>
      <c r="G57">
        <f t="shared" si="4"/>
        <v>64.926840289319586</v>
      </c>
      <c r="H57">
        <f t="shared" si="5"/>
        <v>68.718282579254961</v>
      </c>
    </row>
    <row r="58" spans="1:8" x14ac:dyDescent="0.25">
      <c r="A58">
        <v>55</v>
      </c>
      <c r="B58" s="6">
        <v>131.22</v>
      </c>
      <c r="C58" s="39">
        <f t="shared" si="0"/>
        <v>129.30000000000001</v>
      </c>
      <c r="D58" s="39">
        <f t="shared" si="1"/>
        <v>9.9777192982455887</v>
      </c>
      <c r="E58" s="39">
        <f t="shared" si="2"/>
        <v>8.6496491228070198</v>
      </c>
      <c r="F58">
        <f t="shared" si="3"/>
        <v>86.303770975684628</v>
      </c>
      <c r="G58">
        <f t="shared" si="4"/>
        <v>99.554882394582449</v>
      </c>
      <c r="H58">
        <f t="shared" si="5"/>
        <v>74.816429947676241</v>
      </c>
    </row>
    <row r="59" spans="1:8" x14ac:dyDescent="0.25">
      <c r="A59">
        <v>56</v>
      </c>
      <c r="B59" s="6">
        <v>132.52000000000001</v>
      </c>
      <c r="C59" s="39">
        <f t="shared" si="0"/>
        <v>131.22</v>
      </c>
      <c r="D59" s="39">
        <f t="shared" si="1"/>
        <v>11.2777192982456</v>
      </c>
      <c r="E59" s="39">
        <f t="shared" si="2"/>
        <v>10.569649122807007</v>
      </c>
      <c r="F59">
        <f t="shared" si="3"/>
        <v>119.20153588796526</v>
      </c>
      <c r="G59">
        <f t="shared" si="4"/>
        <v>127.18695257002123</v>
      </c>
      <c r="H59">
        <f t="shared" si="5"/>
        <v>111.71748257925493</v>
      </c>
    </row>
    <row r="60" spans="1:8" x14ac:dyDescent="0.25">
      <c r="A60">
        <v>57</v>
      </c>
      <c r="B60" s="6">
        <v>134.25</v>
      </c>
      <c r="C60" s="39">
        <f t="shared" si="0"/>
        <v>132.52000000000001</v>
      </c>
      <c r="D60" s="39">
        <f t="shared" si="1"/>
        <v>13.00771929824559</v>
      </c>
      <c r="E60" s="39">
        <f t="shared" si="2"/>
        <v>11.869649122807019</v>
      </c>
      <c r="F60">
        <f t="shared" si="3"/>
        <v>154.39706395814071</v>
      </c>
      <c r="G60">
        <f t="shared" si="4"/>
        <v>169.20076134195074</v>
      </c>
      <c r="H60">
        <f t="shared" si="5"/>
        <v>140.88857029855342</v>
      </c>
    </row>
    <row r="61" spans="1:8" x14ac:dyDescent="0.25">
      <c r="A61">
        <v>58</v>
      </c>
      <c r="B61" s="6">
        <v>136.06</v>
      </c>
      <c r="C61" s="39">
        <f t="shared" si="0"/>
        <v>134.25</v>
      </c>
      <c r="D61" s="39">
        <f t="shared" si="1"/>
        <v>14.817719298245592</v>
      </c>
      <c r="E61" s="39">
        <f t="shared" si="2"/>
        <v>13.599649122807008</v>
      </c>
      <c r="F61">
        <f t="shared" si="3"/>
        <v>201.51578325638616</v>
      </c>
      <c r="G61">
        <f t="shared" si="4"/>
        <v>219.56480520159985</v>
      </c>
      <c r="H61">
        <f t="shared" si="5"/>
        <v>184.95045626346544</v>
      </c>
    </row>
    <row r="62" spans="1:8" x14ac:dyDescent="0.25">
      <c r="A62" t="s">
        <v>76</v>
      </c>
      <c r="B62" s="39">
        <f t="shared" ref="B62:H62" si="6">SUM(B4:B61)</f>
        <v>7013.130000000001</v>
      </c>
      <c r="C62" s="39">
        <f t="shared" si="6"/>
        <v>6877.0700000000006</v>
      </c>
      <c r="D62" s="39">
        <f t="shared" si="6"/>
        <v>-1.4921397450962104E-12</v>
      </c>
      <c r="E62" s="39">
        <f t="shared" si="6"/>
        <v>-6.2527760746888816E-13</v>
      </c>
      <c r="F62" s="39">
        <f t="shared" si="6"/>
        <v>9306.2523543859679</v>
      </c>
      <c r="G62" s="39">
        <f t="shared" si="6"/>
        <v>9360.1012035087715</v>
      </c>
      <c r="H62" s="39">
        <f t="shared" si="6"/>
        <v>9478.6173929824581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120.65035087719299</v>
      </c>
    </row>
    <row r="65" spans="1:2" ht="18" x14ac:dyDescent="0.35">
      <c r="A65" t="s">
        <v>78</v>
      </c>
      <c r="B65" s="39">
        <f>SUM(B5:B61)/57</f>
        <v>121.24228070175441</v>
      </c>
    </row>
    <row r="66" spans="1:2" ht="18" x14ac:dyDescent="0.35">
      <c r="A66" t="s">
        <v>79</v>
      </c>
      <c r="B66" s="39">
        <f>SUM(C5:C61)/57</f>
        <v>120.65035087719299</v>
      </c>
    </row>
    <row r="68" spans="1:2" ht="18" x14ac:dyDescent="0.35">
      <c r="A68" t="s">
        <v>80</v>
      </c>
      <c r="B68">
        <f>F62/SQRT(G62*H62)</f>
        <v>0.98801162861510772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6" workbookViewId="0">
      <selection activeCell="B68" sqref="B68"/>
    </sheetView>
  </sheetViews>
  <sheetFormatPr defaultRowHeight="15" x14ac:dyDescent="0.25"/>
  <cols>
    <col min="6" max="6" width="14.42578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81</v>
      </c>
      <c r="D3" s="45" t="s">
        <v>82</v>
      </c>
      <c r="E3" s="45" t="s">
        <v>83</v>
      </c>
      <c r="F3" s="46" t="s">
        <v>84</v>
      </c>
      <c r="G3" s="45" t="s">
        <v>85</v>
      </c>
      <c r="H3" s="45" t="s">
        <v>86</v>
      </c>
    </row>
    <row r="4" spans="1:8" x14ac:dyDescent="0.25">
      <c r="A4">
        <v>1</v>
      </c>
      <c r="B4" s="11">
        <v>102.32</v>
      </c>
      <c r="C4" s="38" t="s">
        <v>75</v>
      </c>
      <c r="D4" s="38" t="s">
        <v>75</v>
      </c>
      <c r="E4" s="38" t="s">
        <v>75</v>
      </c>
      <c r="F4" s="38" t="s">
        <v>75</v>
      </c>
      <c r="G4" s="38" t="s">
        <v>75</v>
      </c>
      <c r="H4" s="38" t="s">
        <v>75</v>
      </c>
    </row>
    <row r="5" spans="1:8" x14ac:dyDescent="0.25">
      <c r="A5">
        <v>2</v>
      </c>
      <c r="B5" s="6">
        <v>102.21</v>
      </c>
      <c r="C5" s="38" t="s">
        <v>75</v>
      </c>
      <c r="D5" s="38" t="s">
        <v>75</v>
      </c>
      <c r="E5" s="38" t="s">
        <v>75</v>
      </c>
      <c r="F5" s="38" t="s">
        <v>75</v>
      </c>
      <c r="G5" s="38" t="s">
        <v>75</v>
      </c>
      <c r="H5" s="38" t="s">
        <v>75</v>
      </c>
    </row>
    <row r="6" spans="1:8" x14ac:dyDescent="0.25">
      <c r="A6">
        <v>3</v>
      </c>
      <c r="B6" s="6">
        <v>102.16</v>
      </c>
      <c r="C6" s="39">
        <f>B4</f>
        <v>102.32</v>
      </c>
      <c r="D6" s="39">
        <f>B6-$B$65</f>
        <v>-19.422142857142887</v>
      </c>
      <c r="E6" s="39">
        <f>C6-$B$66</f>
        <v>-18.08750000000002</v>
      </c>
      <c r="F6">
        <f>D6*E6</f>
        <v>351.29800892857236</v>
      </c>
      <c r="G6">
        <f>D6*D6</f>
        <v>377.21963316326651</v>
      </c>
      <c r="H6">
        <f>E6*E6</f>
        <v>327.15765625000074</v>
      </c>
    </row>
    <row r="7" spans="1:8" x14ac:dyDescent="0.25">
      <c r="A7">
        <v>4</v>
      </c>
      <c r="B7" s="6">
        <v>102.06</v>
      </c>
      <c r="C7" s="39">
        <f t="shared" ref="C7:C61" si="0">B5</f>
        <v>102.21</v>
      </c>
      <c r="D7" s="39">
        <f t="shared" ref="D7:D61" si="1">B7-$B$65</f>
        <v>-19.522142857142882</v>
      </c>
      <c r="E7" s="39">
        <f t="shared" ref="E7:E61" si="2">C7-$B$66</f>
        <v>-18.197500000000019</v>
      </c>
      <c r="F7">
        <f t="shared" ref="F7:F61" si="3">D7*E7</f>
        <v>355.25419464285795</v>
      </c>
      <c r="G7">
        <f t="shared" ref="G7:G61" si="4">D7*D7</f>
        <v>381.11406173469481</v>
      </c>
      <c r="H7">
        <f t="shared" ref="H7:H61" si="5">E7*E7</f>
        <v>331.1490062500007</v>
      </c>
    </row>
    <row r="8" spans="1:8" x14ac:dyDescent="0.25">
      <c r="A8">
        <v>5</v>
      </c>
      <c r="B8" s="6">
        <v>102.55</v>
      </c>
      <c r="C8" s="39">
        <f t="shared" si="0"/>
        <v>102.16</v>
      </c>
      <c r="D8" s="39">
        <f t="shared" si="1"/>
        <v>-19.032142857142887</v>
      </c>
      <c r="E8" s="39">
        <f t="shared" si="2"/>
        <v>-18.247500000000016</v>
      </c>
      <c r="F8">
        <f t="shared" si="3"/>
        <v>347.28902678571512</v>
      </c>
      <c r="G8">
        <f t="shared" si="4"/>
        <v>362.222461734695</v>
      </c>
      <c r="H8">
        <f t="shared" si="5"/>
        <v>332.97125625000058</v>
      </c>
    </row>
    <row r="9" spans="1:8" x14ac:dyDescent="0.25">
      <c r="A9">
        <v>6</v>
      </c>
      <c r="B9" s="6">
        <v>104.35</v>
      </c>
      <c r="C9" s="39">
        <f t="shared" si="0"/>
        <v>102.06</v>
      </c>
      <c r="D9" s="39">
        <f t="shared" si="1"/>
        <v>-17.23214285714289</v>
      </c>
      <c r="E9" s="39">
        <f t="shared" si="2"/>
        <v>-18.347500000000011</v>
      </c>
      <c r="F9">
        <f t="shared" si="3"/>
        <v>316.16674107142933</v>
      </c>
      <c r="G9">
        <f t="shared" si="4"/>
        <v>296.94674744898072</v>
      </c>
      <c r="H9">
        <f t="shared" si="5"/>
        <v>336.63075625000039</v>
      </c>
    </row>
    <row r="10" spans="1:8" x14ac:dyDescent="0.25">
      <c r="A10">
        <v>7</v>
      </c>
      <c r="B10" s="6">
        <v>107.57</v>
      </c>
      <c r="C10" s="39">
        <f t="shared" si="0"/>
        <v>102.55</v>
      </c>
      <c r="D10" s="39">
        <f t="shared" si="1"/>
        <v>-14.012142857142891</v>
      </c>
      <c r="E10" s="39">
        <f t="shared" si="2"/>
        <v>-17.857500000000016</v>
      </c>
      <c r="F10">
        <f t="shared" si="3"/>
        <v>250.2218410714294</v>
      </c>
      <c r="G10">
        <f t="shared" si="4"/>
        <v>196.34014744898053</v>
      </c>
      <c r="H10">
        <f t="shared" si="5"/>
        <v>318.89030625000055</v>
      </c>
    </row>
    <row r="11" spans="1:8" x14ac:dyDescent="0.25">
      <c r="A11">
        <v>8</v>
      </c>
      <c r="B11" s="6">
        <v>111.96</v>
      </c>
      <c r="C11" s="39">
        <f t="shared" si="0"/>
        <v>104.35</v>
      </c>
      <c r="D11" s="39">
        <f t="shared" si="1"/>
        <v>-9.6221428571428902</v>
      </c>
      <c r="E11" s="39">
        <f t="shared" si="2"/>
        <v>-16.057500000000019</v>
      </c>
      <c r="F11">
        <f t="shared" si="3"/>
        <v>154.50755892857214</v>
      </c>
      <c r="G11">
        <f t="shared" si="4"/>
        <v>92.585633163265939</v>
      </c>
      <c r="H11">
        <f t="shared" si="5"/>
        <v>257.84330625000058</v>
      </c>
    </row>
    <row r="12" spans="1:8" x14ac:dyDescent="0.25">
      <c r="A12">
        <v>9</v>
      </c>
      <c r="B12" s="6">
        <v>115.27</v>
      </c>
      <c r="C12" s="39">
        <f t="shared" si="0"/>
        <v>107.57</v>
      </c>
      <c r="D12" s="39">
        <f t="shared" si="1"/>
        <v>-6.3121428571428879</v>
      </c>
      <c r="E12" s="39">
        <f t="shared" si="2"/>
        <v>-12.83750000000002</v>
      </c>
      <c r="F12">
        <f t="shared" si="3"/>
        <v>81.032133928571952</v>
      </c>
      <c r="G12">
        <f t="shared" si="4"/>
        <v>39.843147448979977</v>
      </c>
      <c r="H12">
        <f t="shared" si="5"/>
        <v>164.8014062500005</v>
      </c>
    </row>
    <row r="13" spans="1:8" x14ac:dyDescent="0.25">
      <c r="A13">
        <v>10</v>
      </c>
      <c r="B13" s="6">
        <v>117.17</v>
      </c>
      <c r="C13" s="39">
        <f t="shared" si="0"/>
        <v>111.96</v>
      </c>
      <c r="D13" s="39">
        <f t="shared" si="1"/>
        <v>-4.4121428571428822</v>
      </c>
      <c r="E13" s="39">
        <f t="shared" si="2"/>
        <v>-8.4475000000000193</v>
      </c>
      <c r="F13">
        <f t="shared" si="3"/>
        <v>37.271576785714586</v>
      </c>
      <c r="G13">
        <f t="shared" si="4"/>
        <v>19.467004591836957</v>
      </c>
      <c r="H13">
        <f t="shared" si="5"/>
        <v>71.360256250000333</v>
      </c>
    </row>
    <row r="14" spans="1:8" x14ac:dyDescent="0.25">
      <c r="A14">
        <v>11</v>
      </c>
      <c r="B14" s="6">
        <v>117.61</v>
      </c>
      <c r="C14" s="39">
        <f t="shared" si="0"/>
        <v>115.27</v>
      </c>
      <c r="D14" s="39">
        <f t="shared" si="1"/>
        <v>-3.9721428571428845</v>
      </c>
      <c r="E14" s="39">
        <f t="shared" si="2"/>
        <v>-5.1375000000000171</v>
      </c>
      <c r="F14">
        <f t="shared" si="3"/>
        <v>20.406883928571638</v>
      </c>
      <c r="G14">
        <f t="shared" si="4"/>
        <v>15.777918877551238</v>
      </c>
      <c r="H14">
        <f t="shared" si="5"/>
        <v>26.393906250000175</v>
      </c>
    </row>
    <row r="15" spans="1:8" x14ac:dyDescent="0.25">
      <c r="A15">
        <v>12</v>
      </c>
      <c r="B15" s="6">
        <v>117.26</v>
      </c>
      <c r="C15" s="39">
        <f t="shared" si="0"/>
        <v>117.17</v>
      </c>
      <c r="D15" s="39">
        <f t="shared" si="1"/>
        <v>-4.3221428571428788</v>
      </c>
      <c r="E15" s="39">
        <f t="shared" si="2"/>
        <v>-3.2375000000000114</v>
      </c>
      <c r="F15">
        <f t="shared" si="3"/>
        <v>13.992937500000119</v>
      </c>
      <c r="G15">
        <f t="shared" si="4"/>
        <v>18.680918877551207</v>
      </c>
      <c r="H15">
        <f t="shared" si="5"/>
        <v>10.481406250000074</v>
      </c>
    </row>
    <row r="16" spans="1:8" x14ac:dyDescent="0.25">
      <c r="A16">
        <v>13</v>
      </c>
      <c r="B16" s="6">
        <v>115.88</v>
      </c>
      <c r="C16" s="39">
        <f t="shared" si="0"/>
        <v>117.61</v>
      </c>
      <c r="D16" s="39">
        <f t="shared" si="1"/>
        <v>-5.7021428571428885</v>
      </c>
      <c r="E16" s="39">
        <f t="shared" si="2"/>
        <v>-2.7975000000000136</v>
      </c>
      <c r="F16">
        <f t="shared" si="3"/>
        <v>15.951744642857308</v>
      </c>
      <c r="G16">
        <f t="shared" si="4"/>
        <v>32.514433163265664</v>
      </c>
      <c r="H16">
        <f t="shared" si="5"/>
        <v>7.8260062500000762</v>
      </c>
    </row>
    <row r="17" spans="1:8" x14ac:dyDescent="0.25">
      <c r="A17">
        <v>14</v>
      </c>
      <c r="B17" s="6">
        <v>113.35</v>
      </c>
      <c r="C17" s="39">
        <f t="shared" si="0"/>
        <v>117.26</v>
      </c>
      <c r="D17" s="39">
        <f t="shared" si="1"/>
        <v>-8.2321428571428896</v>
      </c>
      <c r="E17" s="39">
        <f t="shared" si="2"/>
        <v>-3.147500000000008</v>
      </c>
      <c r="F17">
        <f t="shared" si="3"/>
        <v>25.910669642857311</v>
      </c>
      <c r="G17">
        <f t="shared" si="4"/>
        <v>67.768176020408703</v>
      </c>
      <c r="H17">
        <f t="shared" si="5"/>
        <v>9.9067562500000506</v>
      </c>
    </row>
    <row r="18" spans="1:8" x14ac:dyDescent="0.25">
      <c r="A18">
        <v>15</v>
      </c>
      <c r="B18" s="6">
        <v>111.39</v>
      </c>
      <c r="C18" s="39">
        <f t="shared" si="0"/>
        <v>115.88</v>
      </c>
      <c r="D18" s="39">
        <f t="shared" si="1"/>
        <v>-10.192142857142883</v>
      </c>
      <c r="E18" s="39">
        <f t="shared" si="2"/>
        <v>-4.5275000000000176</v>
      </c>
      <c r="F18">
        <f t="shared" si="3"/>
        <v>46.144926785714581</v>
      </c>
      <c r="G18">
        <f t="shared" si="4"/>
        <v>103.8797760204087</v>
      </c>
      <c r="H18">
        <f t="shared" si="5"/>
        <v>20.498256250000161</v>
      </c>
    </row>
    <row r="19" spans="1:8" x14ac:dyDescent="0.25">
      <c r="A19">
        <v>16</v>
      </c>
      <c r="B19" s="6">
        <v>109.76</v>
      </c>
      <c r="C19" s="39">
        <f t="shared" si="0"/>
        <v>113.35</v>
      </c>
      <c r="D19" s="39">
        <f t="shared" si="1"/>
        <v>-11.822142857142879</v>
      </c>
      <c r="E19" s="39">
        <f t="shared" si="2"/>
        <v>-7.0575000000000188</v>
      </c>
      <c r="F19">
        <f t="shared" si="3"/>
        <v>83.434773214286082</v>
      </c>
      <c r="G19">
        <f t="shared" si="4"/>
        <v>139.76306173469439</v>
      </c>
      <c r="H19">
        <f t="shared" si="5"/>
        <v>49.808306250000264</v>
      </c>
    </row>
    <row r="20" spans="1:8" x14ac:dyDescent="0.25">
      <c r="A20">
        <v>17</v>
      </c>
      <c r="B20" s="6">
        <v>109.5</v>
      </c>
      <c r="C20" s="39">
        <f t="shared" si="0"/>
        <v>111.39</v>
      </c>
      <c r="D20" s="39">
        <f t="shared" si="1"/>
        <v>-12.082142857142884</v>
      </c>
      <c r="E20" s="39">
        <f t="shared" si="2"/>
        <v>-9.0175000000000125</v>
      </c>
      <c r="F20">
        <f t="shared" si="3"/>
        <v>108.9507232142861</v>
      </c>
      <c r="G20">
        <f t="shared" si="4"/>
        <v>145.97817602040882</v>
      </c>
      <c r="H20">
        <f t="shared" si="5"/>
        <v>81.315306250000219</v>
      </c>
    </row>
    <row r="21" spans="1:8" x14ac:dyDescent="0.25">
      <c r="A21">
        <v>18</v>
      </c>
      <c r="B21" s="6">
        <v>108.86</v>
      </c>
      <c r="C21" s="39">
        <f t="shared" si="0"/>
        <v>109.76</v>
      </c>
      <c r="D21" s="39">
        <f t="shared" si="1"/>
        <v>-12.722142857142885</v>
      </c>
      <c r="E21" s="39">
        <f t="shared" si="2"/>
        <v>-10.647500000000008</v>
      </c>
      <c r="F21">
        <f t="shared" si="3"/>
        <v>135.45901607142898</v>
      </c>
      <c r="G21">
        <f t="shared" si="4"/>
        <v>161.85291887755173</v>
      </c>
      <c r="H21">
        <f t="shared" si="5"/>
        <v>113.36925625000016</v>
      </c>
    </row>
    <row r="22" spans="1:8" x14ac:dyDescent="0.25">
      <c r="A22">
        <v>19</v>
      </c>
      <c r="B22" s="6">
        <v>108.49</v>
      </c>
      <c r="C22" s="39">
        <f t="shared" si="0"/>
        <v>109.5</v>
      </c>
      <c r="D22" s="39">
        <f t="shared" si="1"/>
        <v>-13.092142857142889</v>
      </c>
      <c r="E22" s="39">
        <f t="shared" si="2"/>
        <v>-10.907500000000013</v>
      </c>
      <c r="F22">
        <f t="shared" si="3"/>
        <v>142.80254821428625</v>
      </c>
      <c r="G22">
        <f t="shared" si="4"/>
        <v>171.40420459183758</v>
      </c>
      <c r="H22">
        <f t="shared" si="5"/>
        <v>118.97355625000029</v>
      </c>
    </row>
    <row r="23" spans="1:8" x14ac:dyDescent="0.25">
      <c r="A23">
        <v>20</v>
      </c>
      <c r="B23" s="6">
        <v>108.36</v>
      </c>
      <c r="C23" s="39">
        <f t="shared" si="0"/>
        <v>108.86</v>
      </c>
      <c r="D23" s="39">
        <f t="shared" si="1"/>
        <v>-13.222142857142885</v>
      </c>
      <c r="E23" s="39">
        <f t="shared" si="2"/>
        <v>-11.547500000000014</v>
      </c>
      <c r="F23">
        <f t="shared" si="3"/>
        <v>152.68269464285763</v>
      </c>
      <c r="G23">
        <f t="shared" si="4"/>
        <v>174.8250617346946</v>
      </c>
      <c r="H23">
        <f t="shared" si="5"/>
        <v>133.3447562500003</v>
      </c>
    </row>
    <row r="24" spans="1:8" x14ac:dyDescent="0.25">
      <c r="A24">
        <v>21</v>
      </c>
      <c r="B24" s="6">
        <v>108.19</v>
      </c>
      <c r="C24" s="39">
        <f t="shared" si="0"/>
        <v>108.49</v>
      </c>
      <c r="D24" s="39">
        <f t="shared" si="1"/>
        <v>-13.392142857142886</v>
      </c>
      <c r="E24" s="39">
        <f t="shared" si="2"/>
        <v>-11.917500000000018</v>
      </c>
      <c r="F24">
        <f t="shared" si="3"/>
        <v>159.6008625000006</v>
      </c>
      <c r="G24">
        <f t="shared" si="4"/>
        <v>179.34949030612322</v>
      </c>
      <c r="H24">
        <f t="shared" si="5"/>
        <v>142.02680625000045</v>
      </c>
    </row>
    <row r="25" spans="1:8" x14ac:dyDescent="0.25">
      <c r="A25">
        <v>22</v>
      </c>
      <c r="B25" s="6">
        <v>107.8</v>
      </c>
      <c r="C25" s="39">
        <f t="shared" si="0"/>
        <v>108.36</v>
      </c>
      <c r="D25" s="39">
        <f t="shared" si="1"/>
        <v>-13.782142857142887</v>
      </c>
      <c r="E25" s="39">
        <f t="shared" si="2"/>
        <v>-12.047500000000014</v>
      </c>
      <c r="F25">
        <f t="shared" si="3"/>
        <v>166.0403660714291</v>
      </c>
      <c r="G25">
        <f t="shared" si="4"/>
        <v>189.94746173469468</v>
      </c>
      <c r="H25">
        <f t="shared" si="5"/>
        <v>145.14225625000032</v>
      </c>
    </row>
    <row r="26" spans="1:8" x14ac:dyDescent="0.25">
      <c r="A26">
        <v>23</v>
      </c>
      <c r="B26" s="6">
        <v>107.47</v>
      </c>
      <c r="C26" s="39">
        <f t="shared" si="0"/>
        <v>108.19</v>
      </c>
      <c r="D26" s="39">
        <f t="shared" si="1"/>
        <v>-14.112142857142885</v>
      </c>
      <c r="E26" s="39">
        <f t="shared" si="2"/>
        <v>-12.217500000000015</v>
      </c>
      <c r="F26">
        <f t="shared" si="3"/>
        <v>172.4151053571434</v>
      </c>
      <c r="G26">
        <f t="shared" si="4"/>
        <v>199.15257602040896</v>
      </c>
      <c r="H26">
        <f t="shared" si="5"/>
        <v>149.26730625000039</v>
      </c>
    </row>
    <row r="27" spans="1:8" x14ac:dyDescent="0.25">
      <c r="A27">
        <v>24</v>
      </c>
      <c r="B27" s="6">
        <v>107.03</v>
      </c>
      <c r="C27" s="39">
        <f t="shared" si="0"/>
        <v>107.8</v>
      </c>
      <c r="D27" s="39">
        <f t="shared" si="1"/>
        <v>-14.552142857142883</v>
      </c>
      <c r="E27" s="39">
        <f t="shared" si="2"/>
        <v>-12.607500000000016</v>
      </c>
      <c r="F27">
        <f t="shared" si="3"/>
        <v>183.46614107142912</v>
      </c>
      <c r="G27">
        <f t="shared" si="4"/>
        <v>211.76486173469462</v>
      </c>
      <c r="H27">
        <f t="shared" si="5"/>
        <v>158.94905625000041</v>
      </c>
    </row>
    <row r="28" spans="1:8" x14ac:dyDescent="0.25">
      <c r="A28">
        <v>25</v>
      </c>
      <c r="B28" s="6">
        <v>106.61</v>
      </c>
      <c r="C28" s="39">
        <f t="shared" si="0"/>
        <v>107.47</v>
      </c>
      <c r="D28" s="39">
        <f t="shared" si="1"/>
        <v>-14.972142857142885</v>
      </c>
      <c r="E28" s="39">
        <f t="shared" si="2"/>
        <v>-12.937500000000014</v>
      </c>
      <c r="F28">
        <f t="shared" si="3"/>
        <v>193.70209821428628</v>
      </c>
      <c r="G28">
        <f t="shared" si="4"/>
        <v>224.16506173469469</v>
      </c>
      <c r="H28">
        <f t="shared" si="5"/>
        <v>167.37890625000037</v>
      </c>
    </row>
    <row r="29" spans="1:8" x14ac:dyDescent="0.25">
      <c r="A29">
        <v>26</v>
      </c>
      <c r="B29" s="6">
        <v>106.57</v>
      </c>
      <c r="C29" s="39">
        <f t="shared" si="0"/>
        <v>107.03</v>
      </c>
      <c r="D29" s="39">
        <f t="shared" si="1"/>
        <v>-15.012142857142891</v>
      </c>
      <c r="E29" s="39">
        <f t="shared" si="2"/>
        <v>-13.377500000000012</v>
      </c>
      <c r="F29">
        <f t="shared" si="3"/>
        <v>200.82494107142921</v>
      </c>
      <c r="G29">
        <f t="shared" si="4"/>
        <v>225.36443316326631</v>
      </c>
      <c r="H29">
        <f t="shared" si="5"/>
        <v>178.95750625000031</v>
      </c>
    </row>
    <row r="30" spans="1:8" x14ac:dyDescent="0.25">
      <c r="A30">
        <v>27</v>
      </c>
      <c r="B30" s="6">
        <v>106.49</v>
      </c>
      <c r="C30" s="39">
        <f t="shared" si="0"/>
        <v>106.61</v>
      </c>
      <c r="D30" s="39">
        <f t="shared" si="1"/>
        <v>-15.092142857142889</v>
      </c>
      <c r="E30" s="39">
        <f t="shared" si="2"/>
        <v>-13.797500000000014</v>
      </c>
      <c r="F30">
        <f t="shared" si="3"/>
        <v>208.23384107142923</v>
      </c>
      <c r="G30">
        <f t="shared" si="4"/>
        <v>227.77277602040914</v>
      </c>
      <c r="H30">
        <f t="shared" si="5"/>
        <v>190.37100625000036</v>
      </c>
    </row>
    <row r="31" spans="1:8" x14ac:dyDescent="0.25">
      <c r="A31">
        <v>28</v>
      </c>
      <c r="B31" s="6">
        <v>107.04</v>
      </c>
      <c r="C31" s="39">
        <f t="shared" si="0"/>
        <v>106.57</v>
      </c>
      <c r="D31" s="39">
        <f t="shared" si="1"/>
        <v>-14.542142857142878</v>
      </c>
      <c r="E31" s="39">
        <f t="shared" si="2"/>
        <v>-13.83750000000002</v>
      </c>
      <c r="F31">
        <f t="shared" si="3"/>
        <v>201.22690178571486</v>
      </c>
      <c r="G31">
        <f t="shared" si="4"/>
        <v>211.47391887755163</v>
      </c>
      <c r="H31">
        <f t="shared" si="5"/>
        <v>191.47640625000054</v>
      </c>
    </row>
    <row r="32" spans="1:8" x14ac:dyDescent="0.25">
      <c r="A32">
        <v>29</v>
      </c>
      <c r="B32" s="6">
        <v>111.35</v>
      </c>
      <c r="C32" s="39">
        <f t="shared" si="0"/>
        <v>106.49</v>
      </c>
      <c r="D32" s="39">
        <f t="shared" si="1"/>
        <v>-10.23214285714289</v>
      </c>
      <c r="E32" s="39">
        <f t="shared" si="2"/>
        <v>-13.917500000000018</v>
      </c>
      <c r="F32">
        <f t="shared" si="3"/>
        <v>142.40584821428635</v>
      </c>
      <c r="G32">
        <f t="shared" si="4"/>
        <v>104.69674744898026</v>
      </c>
      <c r="H32">
        <f t="shared" si="5"/>
        <v>193.69680625000052</v>
      </c>
    </row>
    <row r="33" spans="1:8" x14ac:dyDescent="0.25">
      <c r="A33">
        <v>30</v>
      </c>
      <c r="B33" s="6">
        <v>117.54</v>
      </c>
      <c r="C33" s="39">
        <f t="shared" si="0"/>
        <v>107.04</v>
      </c>
      <c r="D33" s="39">
        <f t="shared" si="1"/>
        <v>-4.0421428571428777</v>
      </c>
      <c r="E33" s="39">
        <f t="shared" si="2"/>
        <v>-13.367500000000007</v>
      </c>
      <c r="F33">
        <f t="shared" si="3"/>
        <v>54.033344642857443</v>
      </c>
      <c r="G33">
        <f t="shared" si="4"/>
        <v>16.338918877551187</v>
      </c>
      <c r="H33">
        <f t="shared" si="5"/>
        <v>178.69005625000017</v>
      </c>
    </row>
    <row r="34" spans="1:8" x14ac:dyDescent="0.25">
      <c r="A34">
        <v>31</v>
      </c>
      <c r="B34" s="6">
        <v>122.58</v>
      </c>
      <c r="C34" s="39">
        <f t="shared" si="0"/>
        <v>111.35</v>
      </c>
      <c r="D34" s="39">
        <f t="shared" si="1"/>
        <v>0.99785714285711435</v>
      </c>
      <c r="E34" s="39">
        <f t="shared" si="2"/>
        <v>-9.0575000000000188</v>
      </c>
      <c r="F34">
        <f t="shared" si="3"/>
        <v>-9.0380910714283313</v>
      </c>
      <c r="G34">
        <f t="shared" si="4"/>
        <v>0.99571887755096355</v>
      </c>
      <c r="H34">
        <f t="shared" si="5"/>
        <v>82.038306250000346</v>
      </c>
    </row>
    <row r="35" spans="1:8" x14ac:dyDescent="0.25">
      <c r="A35">
        <v>32</v>
      </c>
      <c r="B35" s="6">
        <v>128.16</v>
      </c>
      <c r="C35" s="39">
        <f t="shared" si="0"/>
        <v>117.54</v>
      </c>
      <c r="D35" s="39">
        <f t="shared" si="1"/>
        <v>6.5778571428571126</v>
      </c>
      <c r="E35" s="39">
        <f t="shared" si="2"/>
        <v>-2.8675000000000068</v>
      </c>
      <c r="F35">
        <f t="shared" si="3"/>
        <v>-18.862005357142817</v>
      </c>
      <c r="G35">
        <f t="shared" si="4"/>
        <v>43.268204591836337</v>
      </c>
      <c r="H35">
        <f t="shared" si="5"/>
        <v>8.2225562500000393</v>
      </c>
    </row>
    <row r="36" spans="1:8" x14ac:dyDescent="0.25">
      <c r="A36">
        <v>33</v>
      </c>
      <c r="B36" s="6">
        <v>132.86000000000001</v>
      </c>
      <c r="C36" s="39">
        <f t="shared" si="0"/>
        <v>122.58</v>
      </c>
      <c r="D36" s="39">
        <f t="shared" si="1"/>
        <v>11.27785714285713</v>
      </c>
      <c r="E36" s="39">
        <f t="shared" si="2"/>
        <v>2.1724999999999852</v>
      </c>
      <c r="F36">
        <f t="shared" si="3"/>
        <v>24.501144642856946</v>
      </c>
      <c r="G36">
        <f t="shared" si="4"/>
        <v>127.19006173469359</v>
      </c>
      <c r="H36">
        <f t="shared" si="5"/>
        <v>4.7197562499999357</v>
      </c>
    </row>
    <row r="37" spans="1:8" x14ac:dyDescent="0.25">
      <c r="A37">
        <v>34</v>
      </c>
      <c r="B37" s="6">
        <v>134.91999999999999</v>
      </c>
      <c r="C37" s="39">
        <f t="shared" si="0"/>
        <v>128.16</v>
      </c>
      <c r="D37" s="39">
        <f t="shared" si="1"/>
        <v>13.337857142857104</v>
      </c>
      <c r="E37" s="39">
        <f t="shared" si="2"/>
        <v>7.7524999999999835</v>
      </c>
      <c r="F37">
        <f t="shared" si="3"/>
        <v>103.40173749999947</v>
      </c>
      <c r="G37">
        <f t="shared" si="4"/>
        <v>177.89843316326426</v>
      </c>
      <c r="H37">
        <f t="shared" si="5"/>
        <v>60.101256249999743</v>
      </c>
    </row>
    <row r="38" spans="1:8" x14ac:dyDescent="0.25">
      <c r="A38">
        <v>35</v>
      </c>
      <c r="B38" s="6">
        <v>135.69999999999999</v>
      </c>
      <c r="C38" s="39">
        <f t="shared" si="0"/>
        <v>132.86000000000001</v>
      </c>
      <c r="D38" s="39">
        <f t="shared" si="1"/>
        <v>14.117857142857105</v>
      </c>
      <c r="E38" s="39">
        <f t="shared" si="2"/>
        <v>12.452500000000001</v>
      </c>
      <c r="F38">
        <f t="shared" si="3"/>
        <v>175.8026160714281</v>
      </c>
      <c r="G38">
        <f t="shared" si="4"/>
        <v>199.31389030612138</v>
      </c>
      <c r="H38">
        <f t="shared" si="5"/>
        <v>155.06475625000002</v>
      </c>
    </row>
    <row r="39" spans="1:8" x14ac:dyDescent="0.25">
      <c r="A39">
        <v>36</v>
      </c>
      <c r="B39" s="6">
        <v>136.13999999999999</v>
      </c>
      <c r="C39" s="39">
        <f t="shared" si="0"/>
        <v>134.91999999999999</v>
      </c>
      <c r="D39" s="39">
        <f t="shared" si="1"/>
        <v>14.557857142857102</v>
      </c>
      <c r="E39" s="39">
        <f t="shared" si="2"/>
        <v>14.512499999999974</v>
      </c>
      <c r="F39">
        <f t="shared" si="3"/>
        <v>211.27090178571333</v>
      </c>
      <c r="G39">
        <f t="shared" si="4"/>
        <v>211.93120459183555</v>
      </c>
      <c r="H39">
        <f t="shared" si="5"/>
        <v>210.61265624999925</v>
      </c>
    </row>
    <row r="40" spans="1:8" x14ac:dyDescent="0.25">
      <c r="A40">
        <v>37</v>
      </c>
      <c r="B40" s="6">
        <v>140.15</v>
      </c>
      <c r="C40" s="39">
        <f t="shared" si="0"/>
        <v>135.69999999999999</v>
      </c>
      <c r="D40" s="39">
        <f t="shared" si="1"/>
        <v>18.567857142857122</v>
      </c>
      <c r="E40" s="39">
        <f t="shared" si="2"/>
        <v>15.292499999999976</v>
      </c>
      <c r="F40">
        <f t="shared" si="3"/>
        <v>283.9489553571421</v>
      </c>
      <c r="G40">
        <f t="shared" si="4"/>
        <v>344.76531887755021</v>
      </c>
      <c r="H40">
        <f t="shared" si="5"/>
        <v>233.86055624999926</v>
      </c>
    </row>
    <row r="41" spans="1:8" x14ac:dyDescent="0.25">
      <c r="A41">
        <v>38</v>
      </c>
      <c r="B41" s="6">
        <v>140.09</v>
      </c>
      <c r="C41" s="39">
        <f t="shared" si="0"/>
        <v>136.13999999999999</v>
      </c>
      <c r="D41" s="39">
        <f t="shared" si="1"/>
        <v>18.507857142857119</v>
      </c>
      <c r="E41" s="39">
        <f t="shared" si="2"/>
        <v>15.732499999999973</v>
      </c>
      <c r="F41">
        <f t="shared" si="3"/>
        <v>291.17486249999916</v>
      </c>
      <c r="G41">
        <f t="shared" si="4"/>
        <v>342.54077602040729</v>
      </c>
      <c r="H41">
        <f t="shared" si="5"/>
        <v>247.51155624999916</v>
      </c>
    </row>
    <row r="42" spans="1:8" x14ac:dyDescent="0.25">
      <c r="A42">
        <v>39</v>
      </c>
      <c r="B42" s="6">
        <v>139.1</v>
      </c>
      <c r="C42" s="39">
        <f t="shared" si="0"/>
        <v>140.15</v>
      </c>
      <c r="D42" s="39">
        <f t="shared" si="1"/>
        <v>17.51785714285711</v>
      </c>
      <c r="E42" s="39">
        <f t="shared" si="2"/>
        <v>19.742499999999993</v>
      </c>
      <c r="F42">
        <f t="shared" si="3"/>
        <v>345.84629464285638</v>
      </c>
      <c r="G42">
        <f t="shared" si="4"/>
        <v>306.87531887754989</v>
      </c>
      <c r="H42">
        <f t="shared" si="5"/>
        <v>389.76630624999973</v>
      </c>
    </row>
    <row r="43" spans="1:8" x14ac:dyDescent="0.25">
      <c r="A43">
        <v>40</v>
      </c>
      <c r="B43" s="6">
        <v>137.5</v>
      </c>
      <c r="C43" s="39">
        <f t="shared" si="0"/>
        <v>140.09</v>
      </c>
      <c r="D43" s="39">
        <f t="shared" si="1"/>
        <v>15.917857142857116</v>
      </c>
      <c r="E43" s="39">
        <f t="shared" si="2"/>
        <v>19.68249999999999</v>
      </c>
      <c r="F43">
        <f t="shared" si="3"/>
        <v>313.30322321428503</v>
      </c>
      <c r="G43">
        <f t="shared" si="4"/>
        <v>253.37817602040732</v>
      </c>
      <c r="H43">
        <f t="shared" si="5"/>
        <v>387.40080624999962</v>
      </c>
    </row>
    <row r="44" spans="1:8" x14ac:dyDescent="0.25">
      <c r="A44">
        <v>41</v>
      </c>
      <c r="B44" s="6">
        <v>136.12</v>
      </c>
      <c r="C44" s="39">
        <f t="shared" si="0"/>
        <v>139.1</v>
      </c>
      <c r="D44" s="39">
        <f t="shared" si="1"/>
        <v>14.537857142857121</v>
      </c>
      <c r="E44" s="39">
        <f t="shared" si="2"/>
        <v>18.692499999999981</v>
      </c>
      <c r="F44">
        <f t="shared" si="3"/>
        <v>271.74889464285644</v>
      </c>
      <c r="G44">
        <f t="shared" si="4"/>
        <v>211.34929030612182</v>
      </c>
      <c r="H44">
        <f t="shared" si="5"/>
        <v>349.4095562499993</v>
      </c>
    </row>
    <row r="45" spans="1:8" x14ac:dyDescent="0.25">
      <c r="A45">
        <v>42</v>
      </c>
      <c r="B45" s="6">
        <v>135.22</v>
      </c>
      <c r="C45" s="39">
        <f t="shared" si="0"/>
        <v>137.5</v>
      </c>
      <c r="D45" s="39">
        <f t="shared" si="1"/>
        <v>13.637857142857115</v>
      </c>
      <c r="E45" s="39">
        <f t="shared" si="2"/>
        <v>17.092499999999987</v>
      </c>
      <c r="F45">
        <f t="shared" si="3"/>
        <v>233.10507321428506</v>
      </c>
      <c r="G45">
        <f t="shared" si="4"/>
        <v>185.99114744897884</v>
      </c>
      <c r="H45">
        <f t="shared" si="5"/>
        <v>292.15355624999955</v>
      </c>
    </row>
    <row r="46" spans="1:8" x14ac:dyDescent="0.25">
      <c r="A46">
        <v>43</v>
      </c>
      <c r="B46" s="6">
        <v>134.72999999999999</v>
      </c>
      <c r="C46" s="39">
        <f t="shared" si="0"/>
        <v>136.12</v>
      </c>
      <c r="D46" s="39">
        <f t="shared" si="1"/>
        <v>13.147857142857106</v>
      </c>
      <c r="E46" s="39">
        <f t="shared" si="2"/>
        <v>15.712499999999991</v>
      </c>
      <c r="F46">
        <f t="shared" si="3"/>
        <v>206.58570535714216</v>
      </c>
      <c r="G46">
        <f t="shared" si="4"/>
        <v>172.86614744897861</v>
      </c>
      <c r="H46">
        <f t="shared" si="5"/>
        <v>246.88265624999974</v>
      </c>
    </row>
    <row r="47" spans="1:8" x14ac:dyDescent="0.25">
      <c r="A47">
        <v>44</v>
      </c>
      <c r="B47" s="6">
        <v>134.38999999999999</v>
      </c>
      <c r="C47" s="39">
        <f t="shared" si="0"/>
        <v>135.22</v>
      </c>
      <c r="D47" s="39">
        <f t="shared" si="1"/>
        <v>12.807857142857102</v>
      </c>
      <c r="E47" s="39">
        <f t="shared" si="2"/>
        <v>14.812499999999986</v>
      </c>
      <c r="F47">
        <f t="shared" si="3"/>
        <v>189.71638392857065</v>
      </c>
      <c r="G47">
        <f t="shared" si="4"/>
        <v>164.04120459183571</v>
      </c>
      <c r="H47">
        <f t="shared" si="5"/>
        <v>219.41015624999957</v>
      </c>
    </row>
    <row r="48" spans="1:8" x14ac:dyDescent="0.25">
      <c r="A48">
        <v>45</v>
      </c>
      <c r="B48" s="6">
        <v>134.51</v>
      </c>
      <c r="C48" s="39">
        <f t="shared" si="0"/>
        <v>134.72999999999999</v>
      </c>
      <c r="D48" s="39">
        <f t="shared" si="1"/>
        <v>12.927857142857107</v>
      </c>
      <c r="E48" s="39">
        <f t="shared" si="2"/>
        <v>14.322499999999977</v>
      </c>
      <c r="F48">
        <f t="shared" si="3"/>
        <v>185.15923392857061</v>
      </c>
      <c r="G48">
        <f t="shared" si="4"/>
        <v>167.12949030612151</v>
      </c>
      <c r="H48">
        <f t="shared" si="5"/>
        <v>205.13400624999935</v>
      </c>
    </row>
    <row r="49" spans="1:8" x14ac:dyDescent="0.25">
      <c r="A49">
        <v>46</v>
      </c>
      <c r="B49" s="6">
        <v>134.46</v>
      </c>
      <c r="C49" s="39">
        <f t="shared" si="0"/>
        <v>134.38999999999999</v>
      </c>
      <c r="D49" s="39">
        <f t="shared" si="1"/>
        <v>12.877857142857124</v>
      </c>
      <c r="E49" s="39">
        <f t="shared" si="2"/>
        <v>13.982499999999973</v>
      </c>
      <c r="F49">
        <f t="shared" si="3"/>
        <v>180.06463749999941</v>
      </c>
      <c r="G49">
        <f t="shared" si="4"/>
        <v>165.83920459183625</v>
      </c>
      <c r="H49">
        <f t="shared" si="5"/>
        <v>195.51030624999925</v>
      </c>
    </row>
    <row r="50" spans="1:8" x14ac:dyDescent="0.25">
      <c r="A50">
        <v>47</v>
      </c>
      <c r="B50" s="6">
        <v>134.27000000000001</v>
      </c>
      <c r="C50" s="39">
        <f t="shared" si="0"/>
        <v>134.51</v>
      </c>
      <c r="D50" s="39">
        <f t="shared" si="1"/>
        <v>12.687857142857126</v>
      </c>
      <c r="E50" s="39">
        <f t="shared" si="2"/>
        <v>14.102499999999978</v>
      </c>
      <c r="F50">
        <f t="shared" si="3"/>
        <v>178.93050535714235</v>
      </c>
      <c r="G50">
        <f t="shared" si="4"/>
        <v>160.98171887755061</v>
      </c>
      <c r="H50">
        <f t="shared" si="5"/>
        <v>198.88050624999937</v>
      </c>
    </row>
    <row r="51" spans="1:8" x14ac:dyDescent="0.25">
      <c r="A51">
        <v>48</v>
      </c>
      <c r="B51" s="6">
        <v>133.72999999999999</v>
      </c>
      <c r="C51" s="39">
        <f t="shared" si="0"/>
        <v>134.46</v>
      </c>
      <c r="D51" s="39">
        <f t="shared" si="1"/>
        <v>12.147857142857106</v>
      </c>
      <c r="E51" s="39">
        <f t="shared" si="2"/>
        <v>14.052499999999995</v>
      </c>
      <c r="F51">
        <f t="shared" si="3"/>
        <v>170.7077624999994</v>
      </c>
      <c r="G51">
        <f t="shared" si="4"/>
        <v>147.5704331632644</v>
      </c>
      <c r="H51">
        <f t="shared" si="5"/>
        <v>197.47275624999986</v>
      </c>
    </row>
    <row r="52" spans="1:8" x14ac:dyDescent="0.25">
      <c r="A52">
        <v>49</v>
      </c>
      <c r="B52" s="6">
        <v>132.01</v>
      </c>
      <c r="C52" s="39">
        <f t="shared" si="0"/>
        <v>134.27000000000001</v>
      </c>
      <c r="D52" s="39">
        <f t="shared" si="1"/>
        <v>10.427857142857107</v>
      </c>
      <c r="E52" s="39">
        <f t="shared" si="2"/>
        <v>13.862499999999997</v>
      </c>
      <c r="F52">
        <f t="shared" si="3"/>
        <v>144.55616964285662</v>
      </c>
      <c r="G52">
        <f t="shared" si="4"/>
        <v>108.74020459183599</v>
      </c>
      <c r="H52">
        <f t="shared" si="5"/>
        <v>192.16890624999994</v>
      </c>
    </row>
    <row r="53" spans="1:8" x14ac:dyDescent="0.25">
      <c r="A53">
        <v>50</v>
      </c>
      <c r="B53" s="6">
        <v>130.59</v>
      </c>
      <c r="C53" s="39">
        <f t="shared" si="0"/>
        <v>133.72999999999999</v>
      </c>
      <c r="D53" s="39">
        <f t="shared" si="1"/>
        <v>9.0078571428571195</v>
      </c>
      <c r="E53" s="39">
        <f t="shared" si="2"/>
        <v>13.322499999999977</v>
      </c>
      <c r="F53">
        <f t="shared" si="3"/>
        <v>120.00717678571377</v>
      </c>
      <c r="G53">
        <f t="shared" si="4"/>
        <v>81.141490306122023</v>
      </c>
      <c r="H53">
        <f t="shared" si="5"/>
        <v>177.48900624999939</v>
      </c>
    </row>
    <row r="54" spans="1:8" x14ac:dyDescent="0.25">
      <c r="A54">
        <v>51</v>
      </c>
      <c r="B54" s="6">
        <v>130.28</v>
      </c>
      <c r="C54" s="39">
        <f t="shared" si="0"/>
        <v>132.01</v>
      </c>
      <c r="D54" s="39">
        <f t="shared" si="1"/>
        <v>8.6978571428571172</v>
      </c>
      <c r="E54" s="39">
        <f t="shared" si="2"/>
        <v>11.602499999999978</v>
      </c>
      <c r="F54">
        <f t="shared" si="3"/>
        <v>100.9168874999995</v>
      </c>
      <c r="G54">
        <f t="shared" si="4"/>
        <v>75.652718877550569</v>
      </c>
      <c r="H54">
        <f t="shared" si="5"/>
        <v>134.6180062499995</v>
      </c>
    </row>
    <row r="55" spans="1:8" x14ac:dyDescent="0.25">
      <c r="A55">
        <v>52</v>
      </c>
      <c r="B55" s="6">
        <v>129.16</v>
      </c>
      <c r="C55" s="39">
        <f t="shared" si="0"/>
        <v>130.59</v>
      </c>
      <c r="D55" s="39">
        <f t="shared" si="1"/>
        <v>7.5778571428571126</v>
      </c>
      <c r="E55" s="39">
        <f t="shared" si="2"/>
        <v>10.18249999999999</v>
      </c>
      <c r="F55">
        <f t="shared" si="3"/>
        <v>77.161530357142482</v>
      </c>
      <c r="G55">
        <f t="shared" si="4"/>
        <v>57.423918877550562</v>
      </c>
      <c r="H55">
        <f t="shared" si="5"/>
        <v>103.6833062499998</v>
      </c>
    </row>
    <row r="56" spans="1:8" x14ac:dyDescent="0.25">
      <c r="A56">
        <v>53</v>
      </c>
      <c r="B56" s="6">
        <v>128.94</v>
      </c>
      <c r="C56" s="39">
        <f t="shared" si="0"/>
        <v>130.28</v>
      </c>
      <c r="D56" s="39">
        <f t="shared" si="1"/>
        <v>7.3578571428571138</v>
      </c>
      <c r="E56" s="39">
        <f t="shared" si="2"/>
        <v>9.8724999999999881</v>
      </c>
      <c r="F56">
        <f t="shared" si="3"/>
        <v>72.640444642856764</v>
      </c>
      <c r="G56">
        <f t="shared" si="4"/>
        <v>54.138061734693451</v>
      </c>
      <c r="H56">
        <f t="shared" si="5"/>
        <v>97.466256249999759</v>
      </c>
    </row>
    <row r="57" spans="1:8" x14ac:dyDescent="0.25">
      <c r="A57">
        <v>54</v>
      </c>
      <c r="B57" s="6">
        <v>129.30000000000001</v>
      </c>
      <c r="C57" s="39">
        <f t="shared" si="0"/>
        <v>129.16</v>
      </c>
      <c r="D57" s="39">
        <f t="shared" si="1"/>
        <v>7.7178571428571274</v>
      </c>
      <c r="E57" s="39">
        <f t="shared" si="2"/>
        <v>8.7524999999999835</v>
      </c>
      <c r="F57">
        <f t="shared" si="3"/>
        <v>67.550544642856877</v>
      </c>
      <c r="G57">
        <f t="shared" si="4"/>
        <v>59.56531887755078</v>
      </c>
      <c r="H57">
        <f t="shared" si="5"/>
        <v>76.606256249999717</v>
      </c>
    </row>
    <row r="58" spans="1:8" x14ac:dyDescent="0.25">
      <c r="A58">
        <v>55</v>
      </c>
      <c r="B58" s="6">
        <v>131.22</v>
      </c>
      <c r="C58" s="39">
        <f t="shared" si="0"/>
        <v>128.94</v>
      </c>
      <c r="D58" s="39">
        <f t="shared" si="1"/>
        <v>9.6378571428571149</v>
      </c>
      <c r="E58" s="39">
        <f t="shared" si="2"/>
        <v>8.5324999999999847</v>
      </c>
      <c r="F58">
        <f t="shared" si="3"/>
        <v>82.235016071428191</v>
      </c>
      <c r="G58">
        <f t="shared" si="4"/>
        <v>92.888290306121917</v>
      </c>
      <c r="H58">
        <f t="shared" si="5"/>
        <v>72.803556249999744</v>
      </c>
    </row>
    <row r="59" spans="1:8" x14ac:dyDescent="0.25">
      <c r="A59">
        <v>56</v>
      </c>
      <c r="B59" s="6">
        <v>132.52000000000001</v>
      </c>
      <c r="C59" s="39">
        <f t="shared" si="0"/>
        <v>129.30000000000001</v>
      </c>
      <c r="D59" s="39">
        <f t="shared" si="1"/>
        <v>10.937857142857126</v>
      </c>
      <c r="E59" s="39">
        <f t="shared" si="2"/>
        <v>8.8924999999999983</v>
      </c>
      <c r="F59">
        <f t="shared" si="3"/>
        <v>97.264894642856973</v>
      </c>
      <c r="G59">
        <f t="shared" si="4"/>
        <v>119.63671887755066</v>
      </c>
      <c r="H59">
        <f t="shared" si="5"/>
        <v>79.076556249999967</v>
      </c>
    </row>
    <row r="60" spans="1:8" x14ac:dyDescent="0.25">
      <c r="A60">
        <v>57</v>
      </c>
      <c r="B60" s="6">
        <v>134.25</v>
      </c>
      <c r="C60" s="39">
        <f t="shared" si="0"/>
        <v>131.22</v>
      </c>
      <c r="D60" s="39">
        <f t="shared" si="1"/>
        <v>12.667857142857116</v>
      </c>
      <c r="E60" s="39">
        <f t="shared" si="2"/>
        <v>10.812499999999986</v>
      </c>
      <c r="F60">
        <f t="shared" si="3"/>
        <v>136.9712053571424</v>
      </c>
      <c r="G60">
        <f t="shared" si="4"/>
        <v>160.47460459183606</v>
      </c>
      <c r="H60">
        <f t="shared" si="5"/>
        <v>116.91015624999969</v>
      </c>
    </row>
    <row r="61" spans="1:8" x14ac:dyDescent="0.25">
      <c r="A61">
        <v>58</v>
      </c>
      <c r="B61" s="6">
        <v>136.06</v>
      </c>
      <c r="C61" s="39">
        <f t="shared" si="0"/>
        <v>132.52000000000001</v>
      </c>
      <c r="D61" s="39">
        <f t="shared" si="1"/>
        <v>14.477857142857118</v>
      </c>
      <c r="E61" s="39">
        <f t="shared" si="2"/>
        <v>12.112499999999997</v>
      </c>
      <c r="F61">
        <f t="shared" si="3"/>
        <v>175.36304464285681</v>
      </c>
      <c r="G61">
        <f t="shared" si="4"/>
        <v>209.60834744897889</v>
      </c>
      <c r="H61">
        <f t="shared" si="5"/>
        <v>146.71265624999992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6742.8200000000006</v>
      </c>
      <c r="D62" s="39">
        <f t="shared" si="6"/>
        <v>-1.6768808563938364E-12</v>
      </c>
      <c r="E62" s="39">
        <f t="shared" si="6"/>
        <v>-8.5265128291212022E-13</v>
      </c>
      <c r="F62" s="39">
        <f t="shared" si="6"/>
        <v>8732.7621999999974</v>
      </c>
      <c r="G62" s="39">
        <f t="shared" si="6"/>
        <v>8991.405142857142</v>
      </c>
      <c r="H62" s="39">
        <f t="shared" si="6"/>
        <v>9290.3642500000005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120.40750000000001</v>
      </c>
    </row>
    <row r="65" spans="1:2" ht="18" x14ac:dyDescent="0.35">
      <c r="A65" t="s">
        <v>87</v>
      </c>
      <c r="B65" s="39">
        <f>SUM(B6:B61)/56</f>
        <v>121.58214285714288</v>
      </c>
    </row>
    <row r="66" spans="1:2" ht="18" x14ac:dyDescent="0.35">
      <c r="A66" t="s">
        <v>88</v>
      </c>
      <c r="B66" s="39">
        <f>SUM(C6:C61)/56</f>
        <v>120.40750000000001</v>
      </c>
    </row>
    <row r="68" spans="1:2" ht="18" x14ac:dyDescent="0.35">
      <c r="A68" t="s">
        <v>89</v>
      </c>
      <c r="B68">
        <f>F62/SQRT(G62*H62)</f>
        <v>0.95547973349917636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B68" sqref="B68"/>
    </sheetView>
  </sheetViews>
  <sheetFormatPr defaultRowHeight="15" x14ac:dyDescent="0.25"/>
  <cols>
    <col min="6" max="6" width="13.5703125" customWidth="1"/>
  </cols>
  <sheetData>
    <row r="2" spans="1:8" x14ac:dyDescent="0.25">
      <c r="A2" s="34">
        <v>1</v>
      </c>
      <c r="B2" s="34">
        <v>2</v>
      </c>
      <c r="C2" s="19">
        <v>3</v>
      </c>
      <c r="D2" s="19">
        <v>4</v>
      </c>
      <c r="E2" s="19">
        <v>5</v>
      </c>
      <c r="F2" s="19">
        <v>6</v>
      </c>
      <c r="G2" s="19">
        <v>7</v>
      </c>
      <c r="H2" s="19">
        <v>8</v>
      </c>
    </row>
    <row r="3" spans="1:8" ht="36" x14ac:dyDescent="0.25">
      <c r="A3" s="44" t="s">
        <v>67</v>
      </c>
      <c r="B3" s="44" t="s">
        <v>68</v>
      </c>
      <c r="C3" s="45" t="s">
        <v>90</v>
      </c>
      <c r="D3" s="45" t="s">
        <v>91</v>
      </c>
      <c r="E3" s="45" t="s">
        <v>92</v>
      </c>
      <c r="F3" s="46" t="s">
        <v>93</v>
      </c>
      <c r="G3" s="45" t="s">
        <v>94</v>
      </c>
      <c r="H3" s="45" t="s">
        <v>95</v>
      </c>
    </row>
    <row r="4" spans="1:8" x14ac:dyDescent="0.25">
      <c r="A4">
        <v>1</v>
      </c>
      <c r="B4" s="11">
        <v>102.32</v>
      </c>
      <c r="C4" s="38" t="s">
        <v>75</v>
      </c>
      <c r="D4" s="38" t="s">
        <v>75</v>
      </c>
      <c r="E4" s="38" t="s">
        <v>75</v>
      </c>
      <c r="F4" s="38" t="s">
        <v>75</v>
      </c>
      <c r="G4" s="38" t="s">
        <v>75</v>
      </c>
      <c r="H4" s="38" t="s">
        <v>75</v>
      </c>
    </row>
    <row r="5" spans="1:8" x14ac:dyDescent="0.25">
      <c r="A5">
        <v>2</v>
      </c>
      <c r="B5" s="6">
        <v>102.21</v>
      </c>
      <c r="C5" s="38" t="s">
        <v>75</v>
      </c>
      <c r="D5" s="38" t="s">
        <v>75</v>
      </c>
      <c r="E5" s="38" t="s">
        <v>75</v>
      </c>
      <c r="F5" s="38" t="s">
        <v>75</v>
      </c>
      <c r="G5" s="38" t="s">
        <v>75</v>
      </c>
      <c r="H5" s="38" t="s">
        <v>75</v>
      </c>
    </row>
    <row r="6" spans="1:8" x14ac:dyDescent="0.25">
      <c r="A6">
        <v>3</v>
      </c>
      <c r="B6" s="6">
        <v>102.16</v>
      </c>
      <c r="C6" s="38" t="s">
        <v>75</v>
      </c>
      <c r="D6" s="38" t="s">
        <v>75</v>
      </c>
      <c r="E6" s="38" t="s">
        <v>75</v>
      </c>
      <c r="F6" s="38" t="s">
        <v>75</v>
      </c>
      <c r="G6" s="38" t="s">
        <v>75</v>
      </c>
      <c r="H6" s="38" t="s">
        <v>75</v>
      </c>
    </row>
    <row r="7" spans="1:8" x14ac:dyDescent="0.25">
      <c r="A7">
        <v>4</v>
      </c>
      <c r="B7" s="6">
        <v>102.06</v>
      </c>
      <c r="C7" s="39">
        <f>B4</f>
        <v>102.32</v>
      </c>
      <c r="D7" s="39">
        <f>B7-$B$65</f>
        <v>-19.87527272727273</v>
      </c>
      <c r="E7" s="39">
        <f>C7-$B$66</f>
        <v>-17.867272727272734</v>
      </c>
      <c r="F7">
        <f>D7*E7</f>
        <v>355.11691834710763</v>
      </c>
      <c r="G7">
        <f>D7*D7</f>
        <v>395.02646598347116</v>
      </c>
      <c r="H7">
        <f>E7*E7</f>
        <v>319.23943471074404</v>
      </c>
    </row>
    <row r="8" spans="1:8" x14ac:dyDescent="0.25">
      <c r="A8">
        <v>5</v>
      </c>
      <c r="B8" s="6">
        <v>102.55</v>
      </c>
      <c r="C8" s="39">
        <f t="shared" ref="C8:C61" si="0">B5</f>
        <v>102.21</v>
      </c>
      <c r="D8" s="39">
        <f t="shared" ref="D8:D61" si="1">B8-$B$65</f>
        <v>-19.385272727272735</v>
      </c>
      <c r="E8" s="39">
        <f t="shared" ref="E8:E61" si="2">C8-$B$66</f>
        <v>-17.977272727272734</v>
      </c>
      <c r="F8">
        <f t="shared" ref="F8:F61" si="3">D8*E8</f>
        <v>348.49433471074406</v>
      </c>
      <c r="G8">
        <f t="shared" ref="G8:G61" si="4">D8*D8</f>
        <v>375.78879871074412</v>
      </c>
      <c r="H8">
        <f t="shared" ref="H8:H61" si="5">E8*E8</f>
        <v>323.18233471074404</v>
      </c>
    </row>
    <row r="9" spans="1:8" x14ac:dyDescent="0.25">
      <c r="A9">
        <v>6</v>
      </c>
      <c r="B9" s="6">
        <v>104.35</v>
      </c>
      <c r="C9" s="39">
        <f t="shared" si="0"/>
        <v>102.16</v>
      </c>
      <c r="D9" s="39">
        <f t="shared" si="1"/>
        <v>-17.585272727272738</v>
      </c>
      <c r="E9" s="39">
        <f t="shared" si="2"/>
        <v>-18.027272727272731</v>
      </c>
      <c r="F9">
        <f t="shared" si="3"/>
        <v>317.01450743801678</v>
      </c>
      <c r="G9">
        <f t="shared" si="4"/>
        <v>309.24181689256233</v>
      </c>
      <c r="H9">
        <f t="shared" si="5"/>
        <v>324.98256198347121</v>
      </c>
    </row>
    <row r="10" spans="1:8" x14ac:dyDescent="0.25">
      <c r="A10">
        <v>7</v>
      </c>
      <c r="B10" s="6">
        <v>107.57</v>
      </c>
      <c r="C10" s="39">
        <f t="shared" si="0"/>
        <v>102.06</v>
      </c>
      <c r="D10" s="39">
        <f t="shared" si="1"/>
        <v>-14.365272727272739</v>
      </c>
      <c r="E10" s="39">
        <f t="shared" si="2"/>
        <v>-18.127272727272725</v>
      </c>
      <c r="F10">
        <f t="shared" si="3"/>
        <v>260.40321652892578</v>
      </c>
      <c r="G10">
        <f t="shared" si="4"/>
        <v>206.36106052892595</v>
      </c>
      <c r="H10">
        <f t="shared" si="5"/>
        <v>328.59801652892554</v>
      </c>
    </row>
    <row r="11" spans="1:8" x14ac:dyDescent="0.25">
      <c r="A11">
        <v>8</v>
      </c>
      <c r="B11" s="6">
        <v>111.96</v>
      </c>
      <c r="C11" s="39">
        <f t="shared" si="0"/>
        <v>102.55</v>
      </c>
      <c r="D11" s="39">
        <f t="shared" si="1"/>
        <v>-9.9752727272727384</v>
      </c>
      <c r="E11" s="39">
        <f t="shared" si="2"/>
        <v>-17.63727272727273</v>
      </c>
      <c r="F11">
        <f t="shared" si="3"/>
        <v>175.93660561983495</v>
      </c>
      <c r="G11">
        <f t="shared" si="4"/>
        <v>99.506065983471302</v>
      </c>
      <c r="H11">
        <f t="shared" si="5"/>
        <v>311.07338925619848</v>
      </c>
    </row>
    <row r="12" spans="1:8" x14ac:dyDescent="0.25">
      <c r="A12">
        <v>9</v>
      </c>
      <c r="B12" s="6">
        <v>115.27</v>
      </c>
      <c r="C12" s="39">
        <f t="shared" si="0"/>
        <v>104.35</v>
      </c>
      <c r="D12" s="39">
        <f t="shared" si="1"/>
        <v>-6.6652727272727361</v>
      </c>
      <c r="E12" s="39">
        <f t="shared" si="2"/>
        <v>-15.837272727272733</v>
      </c>
      <c r="F12">
        <f t="shared" si="3"/>
        <v>105.55974198347126</v>
      </c>
      <c r="G12">
        <f t="shared" si="4"/>
        <v>44.425860528925739</v>
      </c>
      <c r="H12">
        <f t="shared" si="5"/>
        <v>250.81920743801672</v>
      </c>
    </row>
    <row r="13" spans="1:8" x14ac:dyDescent="0.25">
      <c r="A13">
        <v>10</v>
      </c>
      <c r="B13" s="6">
        <v>117.17</v>
      </c>
      <c r="C13" s="39">
        <f t="shared" si="0"/>
        <v>107.57</v>
      </c>
      <c r="D13" s="39">
        <f t="shared" si="1"/>
        <v>-4.7652727272727304</v>
      </c>
      <c r="E13" s="39">
        <f t="shared" si="2"/>
        <v>-12.617272727272734</v>
      </c>
      <c r="F13">
        <f t="shared" si="3"/>
        <v>60.124745619834783</v>
      </c>
      <c r="G13">
        <f t="shared" si="4"/>
        <v>22.707824165289285</v>
      </c>
      <c r="H13">
        <f t="shared" si="5"/>
        <v>159.19557107438035</v>
      </c>
    </row>
    <row r="14" spans="1:8" x14ac:dyDescent="0.25">
      <c r="A14">
        <v>11</v>
      </c>
      <c r="B14" s="6">
        <v>117.61</v>
      </c>
      <c r="C14" s="39">
        <f t="shared" si="0"/>
        <v>111.96</v>
      </c>
      <c r="D14" s="39">
        <f t="shared" si="1"/>
        <v>-4.3252727272727327</v>
      </c>
      <c r="E14" s="39">
        <f t="shared" si="2"/>
        <v>-8.2272727272727337</v>
      </c>
      <c r="F14">
        <f t="shared" si="3"/>
        <v>35.585198347107507</v>
      </c>
      <c r="G14">
        <f t="shared" si="4"/>
        <v>18.707984165289304</v>
      </c>
      <c r="H14">
        <f t="shared" si="5"/>
        <v>67.688016528925729</v>
      </c>
    </row>
    <row r="15" spans="1:8" x14ac:dyDescent="0.25">
      <c r="A15">
        <v>12</v>
      </c>
      <c r="B15" s="6">
        <v>117.26</v>
      </c>
      <c r="C15" s="39">
        <f t="shared" si="0"/>
        <v>115.27</v>
      </c>
      <c r="D15" s="39">
        <f t="shared" si="1"/>
        <v>-4.675272727272727</v>
      </c>
      <c r="E15" s="39">
        <f t="shared" si="2"/>
        <v>-4.9172727272727315</v>
      </c>
      <c r="F15">
        <f t="shared" si="3"/>
        <v>22.989591074380183</v>
      </c>
      <c r="G15">
        <f t="shared" si="4"/>
        <v>21.858175074380163</v>
      </c>
      <c r="H15">
        <f t="shared" si="5"/>
        <v>24.179571074380206</v>
      </c>
    </row>
    <row r="16" spans="1:8" x14ac:dyDescent="0.25">
      <c r="A16">
        <v>13</v>
      </c>
      <c r="B16" s="6">
        <v>115.88</v>
      </c>
      <c r="C16" s="39">
        <f t="shared" si="0"/>
        <v>117.17</v>
      </c>
      <c r="D16" s="39">
        <f t="shared" si="1"/>
        <v>-6.0552727272727367</v>
      </c>
      <c r="E16" s="39">
        <f t="shared" si="2"/>
        <v>-3.0172727272727258</v>
      </c>
      <c r="F16">
        <f t="shared" si="3"/>
        <v>18.270409256198366</v>
      </c>
      <c r="G16">
        <f t="shared" si="4"/>
        <v>36.666327801653004</v>
      </c>
      <c r="H16">
        <f t="shared" si="5"/>
        <v>9.1039347107437933</v>
      </c>
    </row>
    <row r="17" spans="1:8" x14ac:dyDescent="0.25">
      <c r="A17">
        <v>14</v>
      </c>
      <c r="B17" s="6">
        <v>113.35</v>
      </c>
      <c r="C17" s="39">
        <f t="shared" si="0"/>
        <v>117.61</v>
      </c>
      <c r="D17" s="39">
        <f t="shared" si="1"/>
        <v>-8.5852727272727378</v>
      </c>
      <c r="E17" s="39">
        <f t="shared" si="2"/>
        <v>-2.577272727272728</v>
      </c>
      <c r="F17">
        <f t="shared" si="3"/>
        <v>22.126589256198383</v>
      </c>
      <c r="G17">
        <f t="shared" si="4"/>
        <v>73.706907801653074</v>
      </c>
      <c r="H17">
        <f t="shared" si="5"/>
        <v>6.642334710743806</v>
      </c>
    </row>
    <row r="18" spans="1:8" x14ac:dyDescent="0.25">
      <c r="A18">
        <v>15</v>
      </c>
      <c r="B18" s="6">
        <v>111.39</v>
      </c>
      <c r="C18" s="39">
        <f t="shared" si="0"/>
        <v>117.26</v>
      </c>
      <c r="D18" s="39">
        <f t="shared" si="1"/>
        <v>-10.545272727272732</v>
      </c>
      <c r="E18" s="39">
        <f t="shared" si="2"/>
        <v>-2.9272727272727224</v>
      </c>
      <c r="F18">
        <f t="shared" si="3"/>
        <v>30.868889256198308</v>
      </c>
      <c r="G18">
        <f t="shared" si="4"/>
        <v>111.20277689256207</v>
      </c>
      <c r="H18">
        <f t="shared" si="5"/>
        <v>8.5689256198346815</v>
      </c>
    </row>
    <row r="19" spans="1:8" x14ac:dyDescent="0.25">
      <c r="A19">
        <v>16</v>
      </c>
      <c r="B19" s="6">
        <v>109.76</v>
      </c>
      <c r="C19" s="39">
        <f t="shared" si="0"/>
        <v>115.88</v>
      </c>
      <c r="D19" s="39">
        <f t="shared" si="1"/>
        <v>-12.175272727272727</v>
      </c>
      <c r="E19" s="39">
        <f t="shared" si="2"/>
        <v>-4.307272727272732</v>
      </c>
      <c r="F19">
        <f t="shared" si="3"/>
        <v>52.442220165289314</v>
      </c>
      <c r="G19">
        <f t="shared" si="4"/>
        <v>148.23726598347108</v>
      </c>
      <c r="H19">
        <f t="shared" si="5"/>
        <v>18.55259834710748</v>
      </c>
    </row>
    <row r="20" spans="1:8" x14ac:dyDescent="0.25">
      <c r="A20">
        <v>17</v>
      </c>
      <c r="B20" s="6">
        <v>109.5</v>
      </c>
      <c r="C20" s="39">
        <f t="shared" si="0"/>
        <v>113.35</v>
      </c>
      <c r="D20" s="39">
        <f t="shared" si="1"/>
        <v>-12.435272727272732</v>
      </c>
      <c r="E20" s="39">
        <f t="shared" si="2"/>
        <v>-6.8372727272727332</v>
      </c>
      <c r="F20">
        <f t="shared" si="3"/>
        <v>85.023351074380273</v>
      </c>
      <c r="G20">
        <f t="shared" si="4"/>
        <v>154.63600780165302</v>
      </c>
      <c r="H20">
        <f t="shared" si="5"/>
        <v>46.748298347107522</v>
      </c>
    </row>
    <row r="21" spans="1:8" x14ac:dyDescent="0.25">
      <c r="A21">
        <v>18</v>
      </c>
      <c r="B21" s="6">
        <v>108.86</v>
      </c>
      <c r="C21" s="39">
        <f t="shared" si="0"/>
        <v>111.39</v>
      </c>
      <c r="D21" s="39">
        <f t="shared" si="1"/>
        <v>-13.075272727272733</v>
      </c>
      <c r="E21" s="39">
        <f t="shared" si="2"/>
        <v>-8.7972727272727269</v>
      </c>
      <c r="F21">
        <f t="shared" si="3"/>
        <v>115.0267401652893</v>
      </c>
      <c r="G21">
        <f t="shared" si="4"/>
        <v>170.96275689256211</v>
      </c>
      <c r="H21">
        <f t="shared" si="5"/>
        <v>77.39200743801652</v>
      </c>
    </row>
    <row r="22" spans="1:8" x14ac:dyDescent="0.25">
      <c r="A22">
        <v>19</v>
      </c>
      <c r="B22" s="6">
        <v>108.49</v>
      </c>
      <c r="C22" s="39">
        <f t="shared" si="0"/>
        <v>109.76</v>
      </c>
      <c r="D22" s="39">
        <f t="shared" si="1"/>
        <v>-13.445272727272737</v>
      </c>
      <c r="E22" s="39">
        <f t="shared" si="2"/>
        <v>-10.427272727272722</v>
      </c>
      <c r="F22">
        <f t="shared" si="3"/>
        <v>140.19752561983475</v>
      </c>
      <c r="G22">
        <f t="shared" si="4"/>
        <v>180.77535871074406</v>
      </c>
      <c r="H22">
        <f t="shared" si="5"/>
        <v>108.72801652892552</v>
      </c>
    </row>
    <row r="23" spans="1:8" x14ac:dyDescent="0.25">
      <c r="A23">
        <v>20</v>
      </c>
      <c r="B23" s="6">
        <v>108.36</v>
      </c>
      <c r="C23" s="39">
        <f t="shared" si="0"/>
        <v>109.5</v>
      </c>
      <c r="D23" s="39">
        <f t="shared" si="1"/>
        <v>-13.575272727272733</v>
      </c>
      <c r="E23" s="39">
        <f t="shared" si="2"/>
        <v>-10.687272727272727</v>
      </c>
      <c r="F23">
        <f t="shared" si="3"/>
        <v>145.08264198347115</v>
      </c>
      <c r="G23">
        <f t="shared" si="4"/>
        <v>184.28802961983484</v>
      </c>
      <c r="H23">
        <f t="shared" si="5"/>
        <v>114.21779834710745</v>
      </c>
    </row>
    <row r="24" spans="1:8" x14ac:dyDescent="0.25">
      <c r="A24">
        <v>21</v>
      </c>
      <c r="B24" s="6">
        <v>108.19</v>
      </c>
      <c r="C24" s="39">
        <f t="shared" si="0"/>
        <v>108.86</v>
      </c>
      <c r="D24" s="39">
        <f t="shared" si="1"/>
        <v>-13.745272727272734</v>
      </c>
      <c r="E24" s="39">
        <f t="shared" si="2"/>
        <v>-11.327272727272728</v>
      </c>
      <c r="F24">
        <f t="shared" si="3"/>
        <v>155.69645289256206</v>
      </c>
      <c r="G24">
        <f t="shared" si="4"/>
        <v>188.93252234710764</v>
      </c>
      <c r="H24">
        <f t="shared" si="5"/>
        <v>128.30710743801654</v>
      </c>
    </row>
    <row r="25" spans="1:8" x14ac:dyDescent="0.25">
      <c r="A25">
        <v>22</v>
      </c>
      <c r="B25" s="6">
        <v>107.8</v>
      </c>
      <c r="C25" s="39">
        <f t="shared" si="0"/>
        <v>108.49</v>
      </c>
      <c r="D25" s="39">
        <f t="shared" si="1"/>
        <v>-14.135272727272735</v>
      </c>
      <c r="E25" s="39">
        <f t="shared" si="2"/>
        <v>-11.697272727272733</v>
      </c>
      <c r="F25">
        <f t="shared" si="3"/>
        <v>165.34414016528942</v>
      </c>
      <c r="G25">
        <f t="shared" si="4"/>
        <v>199.80593507438039</v>
      </c>
      <c r="H25">
        <f t="shared" si="5"/>
        <v>136.82618925619846</v>
      </c>
    </row>
    <row r="26" spans="1:8" x14ac:dyDescent="0.25">
      <c r="A26">
        <v>23</v>
      </c>
      <c r="B26" s="6">
        <v>107.47</v>
      </c>
      <c r="C26" s="39">
        <f t="shared" si="0"/>
        <v>108.36</v>
      </c>
      <c r="D26" s="39">
        <f t="shared" si="1"/>
        <v>-14.465272727272733</v>
      </c>
      <c r="E26" s="39">
        <f t="shared" si="2"/>
        <v>-11.827272727272728</v>
      </c>
      <c r="F26">
        <f t="shared" si="3"/>
        <v>171.08472561983478</v>
      </c>
      <c r="G26">
        <f t="shared" si="4"/>
        <v>209.24411507438035</v>
      </c>
      <c r="H26">
        <f t="shared" si="5"/>
        <v>139.88438016528929</v>
      </c>
    </row>
    <row r="27" spans="1:8" x14ac:dyDescent="0.25">
      <c r="A27">
        <v>24</v>
      </c>
      <c r="B27" s="6">
        <v>107.03</v>
      </c>
      <c r="C27" s="39">
        <f t="shared" si="0"/>
        <v>108.19</v>
      </c>
      <c r="D27" s="39">
        <f t="shared" si="1"/>
        <v>-14.905272727272731</v>
      </c>
      <c r="E27" s="39">
        <f t="shared" si="2"/>
        <v>-11.99727272727273</v>
      </c>
      <c r="F27">
        <f t="shared" si="3"/>
        <v>178.82262198347115</v>
      </c>
      <c r="G27">
        <f t="shared" si="4"/>
        <v>222.16715507438028</v>
      </c>
      <c r="H27">
        <f t="shared" si="5"/>
        <v>143.93455289256204</v>
      </c>
    </row>
    <row r="28" spans="1:8" x14ac:dyDescent="0.25">
      <c r="A28">
        <v>25</v>
      </c>
      <c r="B28" s="6">
        <v>106.61</v>
      </c>
      <c r="C28" s="39">
        <f t="shared" si="0"/>
        <v>107.8</v>
      </c>
      <c r="D28" s="39">
        <f t="shared" si="1"/>
        <v>-15.325272727272733</v>
      </c>
      <c r="E28" s="39">
        <f t="shared" si="2"/>
        <v>-12.38727272727273</v>
      </c>
      <c r="F28">
        <f t="shared" si="3"/>
        <v>189.83833289256211</v>
      </c>
      <c r="G28">
        <f t="shared" si="4"/>
        <v>234.86398416528942</v>
      </c>
      <c r="H28">
        <f t="shared" si="5"/>
        <v>153.44452561983479</v>
      </c>
    </row>
    <row r="29" spans="1:8" x14ac:dyDescent="0.25">
      <c r="A29">
        <v>26</v>
      </c>
      <c r="B29" s="6">
        <v>106.57</v>
      </c>
      <c r="C29" s="39">
        <f t="shared" si="0"/>
        <v>107.47</v>
      </c>
      <c r="D29" s="39">
        <f t="shared" si="1"/>
        <v>-15.365272727272739</v>
      </c>
      <c r="E29" s="39">
        <f t="shared" si="2"/>
        <v>-12.717272727272729</v>
      </c>
      <c r="F29">
        <f t="shared" si="3"/>
        <v>195.40436380165306</v>
      </c>
      <c r="G29">
        <f t="shared" si="4"/>
        <v>236.09160598347142</v>
      </c>
      <c r="H29">
        <f t="shared" si="5"/>
        <v>161.72902561983474</v>
      </c>
    </row>
    <row r="30" spans="1:8" x14ac:dyDescent="0.25">
      <c r="A30">
        <v>27</v>
      </c>
      <c r="B30" s="6">
        <v>106.49</v>
      </c>
      <c r="C30" s="39">
        <f t="shared" si="0"/>
        <v>107.03</v>
      </c>
      <c r="D30" s="39">
        <f t="shared" si="1"/>
        <v>-15.445272727272737</v>
      </c>
      <c r="E30" s="39">
        <f t="shared" si="2"/>
        <v>-13.157272727272726</v>
      </c>
      <c r="F30">
        <f t="shared" si="3"/>
        <v>203.21766561983483</v>
      </c>
      <c r="G30">
        <f t="shared" si="4"/>
        <v>238.55644961983501</v>
      </c>
      <c r="H30">
        <f t="shared" si="5"/>
        <v>173.1138256198347</v>
      </c>
    </row>
    <row r="31" spans="1:8" x14ac:dyDescent="0.25">
      <c r="A31">
        <v>28</v>
      </c>
      <c r="B31" s="6">
        <v>107.04</v>
      </c>
      <c r="C31" s="39">
        <f t="shared" si="0"/>
        <v>106.61</v>
      </c>
      <c r="D31" s="39">
        <f t="shared" si="1"/>
        <v>-14.895272727272726</v>
      </c>
      <c r="E31" s="39">
        <f t="shared" si="2"/>
        <v>-13.577272727272728</v>
      </c>
      <c r="F31">
        <f t="shared" si="3"/>
        <v>202.23718016528926</v>
      </c>
      <c r="G31">
        <f t="shared" si="4"/>
        <v>221.86914961983467</v>
      </c>
      <c r="H31">
        <f t="shared" si="5"/>
        <v>184.34233471074381</v>
      </c>
    </row>
    <row r="32" spans="1:8" x14ac:dyDescent="0.25">
      <c r="A32">
        <v>29</v>
      </c>
      <c r="B32" s="6">
        <v>111.35</v>
      </c>
      <c r="C32" s="39">
        <f t="shared" si="0"/>
        <v>106.57</v>
      </c>
      <c r="D32" s="39">
        <f t="shared" si="1"/>
        <v>-10.585272727272738</v>
      </c>
      <c r="E32" s="39">
        <f t="shared" si="2"/>
        <v>-13.617272727272734</v>
      </c>
      <c r="F32">
        <f t="shared" si="3"/>
        <v>144.14254561983492</v>
      </c>
      <c r="G32">
        <f t="shared" si="4"/>
        <v>112.04799871074403</v>
      </c>
      <c r="H32">
        <f t="shared" si="5"/>
        <v>185.43011652892582</v>
      </c>
    </row>
    <row r="33" spans="1:8" x14ac:dyDescent="0.25">
      <c r="A33">
        <v>30</v>
      </c>
      <c r="B33" s="6">
        <v>117.54</v>
      </c>
      <c r="C33" s="39">
        <f t="shared" si="0"/>
        <v>106.49</v>
      </c>
      <c r="D33" s="39">
        <f t="shared" si="1"/>
        <v>-4.3952727272727259</v>
      </c>
      <c r="E33" s="39">
        <f t="shared" si="2"/>
        <v>-13.697272727272733</v>
      </c>
      <c r="F33">
        <f t="shared" si="3"/>
        <v>60.203249256198355</v>
      </c>
      <c r="G33">
        <f t="shared" si="4"/>
        <v>19.318422347107425</v>
      </c>
      <c r="H33">
        <f t="shared" si="5"/>
        <v>187.61528016528939</v>
      </c>
    </row>
    <row r="34" spans="1:8" x14ac:dyDescent="0.25">
      <c r="A34">
        <v>31</v>
      </c>
      <c r="B34" s="6">
        <v>122.58</v>
      </c>
      <c r="C34" s="39">
        <f t="shared" si="0"/>
        <v>107.04</v>
      </c>
      <c r="D34" s="39">
        <f t="shared" si="1"/>
        <v>0.64472727272726615</v>
      </c>
      <c r="E34" s="39">
        <f t="shared" si="2"/>
        <v>-13.147272727272721</v>
      </c>
      <c r="F34">
        <f t="shared" si="3"/>
        <v>-8.4764052892561086</v>
      </c>
      <c r="G34">
        <f t="shared" si="4"/>
        <v>0.41567325619833861</v>
      </c>
      <c r="H34">
        <f t="shared" si="5"/>
        <v>172.85078016528911</v>
      </c>
    </row>
    <row r="35" spans="1:8" x14ac:dyDescent="0.25">
      <c r="A35">
        <v>32</v>
      </c>
      <c r="B35" s="6">
        <v>128.16</v>
      </c>
      <c r="C35" s="39">
        <f t="shared" si="0"/>
        <v>111.35</v>
      </c>
      <c r="D35" s="39">
        <f t="shared" si="1"/>
        <v>6.2247272727272644</v>
      </c>
      <c r="E35" s="39">
        <f t="shared" si="2"/>
        <v>-8.8372727272727332</v>
      </c>
      <c r="F35">
        <f t="shared" si="3"/>
        <v>-55.009612561983431</v>
      </c>
      <c r="G35">
        <f t="shared" si="4"/>
        <v>38.747229619834606</v>
      </c>
      <c r="H35">
        <f t="shared" si="5"/>
        <v>78.097389256198454</v>
      </c>
    </row>
    <row r="36" spans="1:8" x14ac:dyDescent="0.25">
      <c r="A36">
        <v>33</v>
      </c>
      <c r="B36" s="6">
        <v>132.86000000000001</v>
      </c>
      <c r="C36" s="39">
        <f t="shared" si="0"/>
        <v>117.54</v>
      </c>
      <c r="D36" s="39">
        <f t="shared" si="1"/>
        <v>10.924727272727282</v>
      </c>
      <c r="E36" s="39">
        <f t="shared" si="2"/>
        <v>-2.6472727272727212</v>
      </c>
      <c r="F36">
        <f t="shared" si="3"/>
        <v>-28.920732561983428</v>
      </c>
      <c r="G36">
        <f t="shared" si="4"/>
        <v>119.34966598347127</v>
      </c>
      <c r="H36">
        <f t="shared" si="5"/>
        <v>7.0080528925619516</v>
      </c>
    </row>
    <row r="37" spans="1:8" x14ac:dyDescent="0.25">
      <c r="A37">
        <v>34</v>
      </c>
      <c r="B37" s="6">
        <v>134.91999999999999</v>
      </c>
      <c r="C37" s="39">
        <f t="shared" si="0"/>
        <v>122.58</v>
      </c>
      <c r="D37" s="39">
        <f t="shared" si="1"/>
        <v>12.984727272727255</v>
      </c>
      <c r="E37" s="39">
        <f t="shared" si="2"/>
        <v>2.3927272727272708</v>
      </c>
      <c r="F37">
        <f t="shared" si="3"/>
        <v>31.0689110743801</v>
      </c>
      <c r="G37">
        <f t="shared" si="4"/>
        <v>168.603142347107</v>
      </c>
      <c r="H37">
        <f t="shared" si="5"/>
        <v>5.7251438016528837</v>
      </c>
    </row>
    <row r="38" spans="1:8" x14ac:dyDescent="0.25">
      <c r="A38">
        <v>35</v>
      </c>
      <c r="B38" s="6">
        <v>135.69999999999999</v>
      </c>
      <c r="C38" s="39">
        <f t="shared" si="0"/>
        <v>128.16</v>
      </c>
      <c r="D38" s="39">
        <f t="shared" si="1"/>
        <v>13.764727272727256</v>
      </c>
      <c r="E38" s="39">
        <f t="shared" si="2"/>
        <v>7.9727272727272691</v>
      </c>
      <c r="F38">
        <f t="shared" si="3"/>
        <v>109.74241652892545</v>
      </c>
      <c r="G38">
        <f t="shared" si="4"/>
        <v>189.46771689256153</v>
      </c>
      <c r="H38">
        <f t="shared" si="5"/>
        <v>63.564380165289201</v>
      </c>
    </row>
    <row r="39" spans="1:8" x14ac:dyDescent="0.25">
      <c r="A39">
        <v>36</v>
      </c>
      <c r="B39" s="6">
        <v>136.13999999999999</v>
      </c>
      <c r="C39" s="39">
        <f t="shared" si="0"/>
        <v>132.86000000000001</v>
      </c>
      <c r="D39" s="39">
        <f t="shared" si="1"/>
        <v>14.204727272727254</v>
      </c>
      <c r="E39" s="39">
        <f t="shared" si="2"/>
        <v>12.672727272727286</v>
      </c>
      <c r="F39">
        <f t="shared" si="3"/>
        <v>180.01263471074375</v>
      </c>
      <c r="G39">
        <f t="shared" si="4"/>
        <v>201.77427689256146</v>
      </c>
      <c r="H39">
        <f t="shared" si="5"/>
        <v>160.59801652892597</v>
      </c>
    </row>
    <row r="40" spans="1:8" x14ac:dyDescent="0.25">
      <c r="A40">
        <v>37</v>
      </c>
      <c r="B40" s="6">
        <v>140.15</v>
      </c>
      <c r="C40" s="39">
        <f t="shared" si="0"/>
        <v>134.91999999999999</v>
      </c>
      <c r="D40" s="39">
        <f t="shared" si="1"/>
        <v>18.214727272727274</v>
      </c>
      <c r="E40" s="39">
        <f t="shared" si="2"/>
        <v>14.73272727272726</v>
      </c>
      <c r="F40">
        <f t="shared" si="3"/>
        <v>268.35260925619815</v>
      </c>
      <c r="G40">
        <f t="shared" si="4"/>
        <v>331.77628961983476</v>
      </c>
      <c r="H40">
        <f t="shared" si="5"/>
        <v>217.0532528925616</v>
      </c>
    </row>
    <row r="41" spans="1:8" x14ac:dyDescent="0.25">
      <c r="A41">
        <v>38</v>
      </c>
      <c r="B41" s="6">
        <v>140.09</v>
      </c>
      <c r="C41" s="39">
        <f t="shared" si="0"/>
        <v>135.69999999999999</v>
      </c>
      <c r="D41" s="39">
        <f t="shared" si="1"/>
        <v>18.154727272727271</v>
      </c>
      <c r="E41" s="39">
        <f t="shared" si="2"/>
        <v>15.512727272727261</v>
      </c>
      <c r="F41">
        <f t="shared" si="3"/>
        <v>281.62933289256176</v>
      </c>
      <c r="G41">
        <f t="shared" si="4"/>
        <v>329.59412234710737</v>
      </c>
      <c r="H41">
        <f t="shared" si="5"/>
        <v>240.64470743801618</v>
      </c>
    </row>
    <row r="42" spans="1:8" x14ac:dyDescent="0.25">
      <c r="A42">
        <v>39</v>
      </c>
      <c r="B42" s="6">
        <v>139.1</v>
      </c>
      <c r="C42" s="39">
        <f t="shared" si="0"/>
        <v>136.13999999999999</v>
      </c>
      <c r="D42" s="39">
        <f t="shared" si="1"/>
        <v>17.164727272727262</v>
      </c>
      <c r="E42" s="39">
        <f t="shared" si="2"/>
        <v>15.952727272727259</v>
      </c>
      <c r="F42">
        <f t="shared" si="3"/>
        <v>273.8242128925616</v>
      </c>
      <c r="G42">
        <f t="shared" si="4"/>
        <v>294.62786234710705</v>
      </c>
      <c r="H42">
        <f t="shared" si="5"/>
        <v>254.48950743801609</v>
      </c>
    </row>
    <row r="43" spans="1:8" x14ac:dyDescent="0.25">
      <c r="A43">
        <v>40</v>
      </c>
      <c r="B43" s="6">
        <v>137.5</v>
      </c>
      <c r="C43" s="39">
        <f t="shared" si="0"/>
        <v>140.15</v>
      </c>
      <c r="D43" s="39">
        <f t="shared" si="1"/>
        <v>15.564727272727268</v>
      </c>
      <c r="E43" s="39">
        <f t="shared" si="2"/>
        <v>19.962727272727278</v>
      </c>
      <c r="F43">
        <f t="shared" si="3"/>
        <v>310.71440561983468</v>
      </c>
      <c r="G43">
        <f t="shared" si="4"/>
        <v>242.26073507438002</v>
      </c>
      <c r="H43">
        <f t="shared" si="5"/>
        <v>398.51048016528949</v>
      </c>
    </row>
    <row r="44" spans="1:8" x14ac:dyDescent="0.25">
      <c r="A44">
        <v>41</v>
      </c>
      <c r="B44" s="6">
        <v>136.12</v>
      </c>
      <c r="C44" s="39">
        <f t="shared" si="0"/>
        <v>140.09</v>
      </c>
      <c r="D44" s="39">
        <f t="shared" si="1"/>
        <v>14.184727272727272</v>
      </c>
      <c r="E44" s="39">
        <f t="shared" si="2"/>
        <v>19.902727272727276</v>
      </c>
      <c r="F44">
        <f t="shared" si="3"/>
        <v>282.3147583471075</v>
      </c>
      <c r="G44">
        <f t="shared" si="4"/>
        <v>201.20648780165288</v>
      </c>
      <c r="H44">
        <f t="shared" si="5"/>
        <v>396.11855289256209</v>
      </c>
    </row>
    <row r="45" spans="1:8" x14ac:dyDescent="0.25">
      <c r="A45">
        <v>42</v>
      </c>
      <c r="B45" s="6">
        <v>135.22</v>
      </c>
      <c r="C45" s="39">
        <f t="shared" si="0"/>
        <v>139.1</v>
      </c>
      <c r="D45" s="39">
        <f t="shared" si="1"/>
        <v>13.284727272727267</v>
      </c>
      <c r="E45" s="39">
        <f t="shared" si="2"/>
        <v>18.912727272727267</v>
      </c>
      <c r="F45">
        <f t="shared" si="3"/>
        <v>251.25042380165269</v>
      </c>
      <c r="G45">
        <f t="shared" si="4"/>
        <v>176.48397871074363</v>
      </c>
      <c r="H45">
        <f t="shared" si="5"/>
        <v>357.69125289256175</v>
      </c>
    </row>
    <row r="46" spans="1:8" x14ac:dyDescent="0.25">
      <c r="A46">
        <v>43</v>
      </c>
      <c r="B46" s="6">
        <v>134.72999999999999</v>
      </c>
      <c r="C46" s="39">
        <f t="shared" si="0"/>
        <v>137.5</v>
      </c>
      <c r="D46" s="39">
        <f t="shared" si="1"/>
        <v>12.794727272727258</v>
      </c>
      <c r="E46" s="39">
        <f t="shared" si="2"/>
        <v>17.312727272727273</v>
      </c>
      <c r="F46">
        <f t="shared" si="3"/>
        <v>221.51162380165263</v>
      </c>
      <c r="G46">
        <f t="shared" si="4"/>
        <v>163.70504598347068</v>
      </c>
      <c r="H46">
        <f t="shared" si="5"/>
        <v>299.73052561983468</v>
      </c>
    </row>
    <row r="47" spans="1:8" x14ac:dyDescent="0.25">
      <c r="A47">
        <v>44</v>
      </c>
      <c r="B47" s="6">
        <v>134.38999999999999</v>
      </c>
      <c r="C47" s="39">
        <f t="shared" si="0"/>
        <v>136.12</v>
      </c>
      <c r="D47" s="39">
        <f t="shared" si="1"/>
        <v>12.454727272727254</v>
      </c>
      <c r="E47" s="39">
        <f t="shared" si="2"/>
        <v>15.932727272727277</v>
      </c>
      <c r="F47">
        <f t="shared" si="3"/>
        <v>198.43777289256175</v>
      </c>
      <c r="G47">
        <f t="shared" si="4"/>
        <v>155.12023143801608</v>
      </c>
      <c r="H47">
        <f t="shared" si="5"/>
        <v>253.85179834710758</v>
      </c>
    </row>
    <row r="48" spans="1:8" x14ac:dyDescent="0.25">
      <c r="A48">
        <v>45</v>
      </c>
      <c r="B48" s="6">
        <v>134.51</v>
      </c>
      <c r="C48" s="39">
        <f t="shared" si="0"/>
        <v>135.22</v>
      </c>
      <c r="D48" s="39">
        <f t="shared" si="1"/>
        <v>12.574727272727259</v>
      </c>
      <c r="E48" s="39">
        <f t="shared" si="2"/>
        <v>15.032727272727271</v>
      </c>
      <c r="F48">
        <f t="shared" si="3"/>
        <v>189.03244561983448</v>
      </c>
      <c r="G48">
        <f t="shared" si="4"/>
        <v>158.12376598347072</v>
      </c>
      <c r="H48">
        <f t="shared" si="5"/>
        <v>225.98288925619832</v>
      </c>
    </row>
    <row r="49" spans="1:8" x14ac:dyDescent="0.25">
      <c r="A49">
        <v>46</v>
      </c>
      <c r="B49" s="6">
        <v>134.46</v>
      </c>
      <c r="C49" s="39">
        <f t="shared" si="0"/>
        <v>134.72999999999999</v>
      </c>
      <c r="D49" s="39">
        <f t="shared" si="1"/>
        <v>12.524727272727276</v>
      </c>
      <c r="E49" s="39">
        <f t="shared" si="2"/>
        <v>14.542727272727262</v>
      </c>
      <c r="F49">
        <f t="shared" si="3"/>
        <v>182.14369289256189</v>
      </c>
      <c r="G49">
        <f t="shared" si="4"/>
        <v>156.86879325619842</v>
      </c>
      <c r="H49">
        <f t="shared" si="5"/>
        <v>211.49091652892531</v>
      </c>
    </row>
    <row r="50" spans="1:8" x14ac:dyDescent="0.25">
      <c r="A50">
        <v>47</v>
      </c>
      <c r="B50" s="6">
        <v>134.27000000000001</v>
      </c>
      <c r="C50" s="39">
        <f t="shared" si="0"/>
        <v>134.38999999999999</v>
      </c>
      <c r="D50" s="39">
        <f t="shared" si="1"/>
        <v>12.334727272727278</v>
      </c>
      <c r="E50" s="39">
        <f t="shared" si="2"/>
        <v>14.202727272727259</v>
      </c>
      <c r="F50">
        <f t="shared" si="3"/>
        <v>175.18676743801643</v>
      </c>
      <c r="G50">
        <f t="shared" si="4"/>
        <v>152.14549689256211</v>
      </c>
      <c r="H50">
        <f t="shared" si="5"/>
        <v>201.71746198347068</v>
      </c>
    </row>
    <row r="51" spans="1:8" x14ac:dyDescent="0.25">
      <c r="A51">
        <v>48</v>
      </c>
      <c r="B51" s="6">
        <v>133.72999999999999</v>
      </c>
      <c r="C51" s="39">
        <f t="shared" si="0"/>
        <v>134.51</v>
      </c>
      <c r="D51" s="39">
        <f t="shared" si="1"/>
        <v>11.794727272727258</v>
      </c>
      <c r="E51" s="39">
        <f t="shared" si="2"/>
        <v>14.322727272727263</v>
      </c>
      <c r="F51">
        <f t="shared" si="3"/>
        <v>168.93266198347075</v>
      </c>
      <c r="G51">
        <f t="shared" si="4"/>
        <v>139.11559143801617</v>
      </c>
      <c r="H51">
        <f t="shared" si="5"/>
        <v>205.14051652892536</v>
      </c>
    </row>
    <row r="52" spans="1:8" x14ac:dyDescent="0.25">
      <c r="A52">
        <v>49</v>
      </c>
      <c r="B52" s="6">
        <v>132.01</v>
      </c>
      <c r="C52" s="39">
        <f t="shared" si="0"/>
        <v>134.46</v>
      </c>
      <c r="D52" s="39">
        <f t="shared" si="1"/>
        <v>10.074727272727259</v>
      </c>
      <c r="E52" s="39">
        <f t="shared" si="2"/>
        <v>14.27272727272728</v>
      </c>
      <c r="F52">
        <f t="shared" si="3"/>
        <v>143.79383471074368</v>
      </c>
      <c r="G52">
        <f t="shared" si="4"/>
        <v>101.50012961983442</v>
      </c>
      <c r="H52">
        <f t="shared" si="5"/>
        <v>203.71074380165311</v>
      </c>
    </row>
    <row r="53" spans="1:8" x14ac:dyDescent="0.25">
      <c r="A53">
        <v>50</v>
      </c>
      <c r="B53" s="6">
        <v>130.59</v>
      </c>
      <c r="C53" s="39">
        <f t="shared" si="0"/>
        <v>134.27000000000001</v>
      </c>
      <c r="D53" s="39">
        <f t="shared" si="1"/>
        <v>8.6547272727272713</v>
      </c>
      <c r="E53" s="39">
        <f t="shared" si="2"/>
        <v>14.082727272727283</v>
      </c>
      <c r="F53">
        <f t="shared" si="3"/>
        <v>121.88216380165296</v>
      </c>
      <c r="G53">
        <f t="shared" si="4"/>
        <v>74.904304165289233</v>
      </c>
      <c r="H53">
        <f t="shared" si="5"/>
        <v>198.32320743801682</v>
      </c>
    </row>
    <row r="54" spans="1:8" x14ac:dyDescent="0.25">
      <c r="A54">
        <v>51</v>
      </c>
      <c r="B54" s="6">
        <v>130.28</v>
      </c>
      <c r="C54" s="39">
        <f t="shared" si="0"/>
        <v>133.72999999999999</v>
      </c>
      <c r="D54" s="39">
        <f t="shared" si="1"/>
        <v>8.344727272727269</v>
      </c>
      <c r="E54" s="39">
        <f t="shared" si="2"/>
        <v>13.542727272727262</v>
      </c>
      <c r="F54">
        <f t="shared" si="3"/>
        <v>113.01036561983457</v>
      </c>
      <c r="G54">
        <f t="shared" si="4"/>
        <v>69.634473256198291</v>
      </c>
      <c r="H54">
        <f t="shared" si="5"/>
        <v>183.40546198347079</v>
      </c>
    </row>
    <row r="55" spans="1:8" x14ac:dyDescent="0.25">
      <c r="A55">
        <v>52</v>
      </c>
      <c r="B55" s="6">
        <v>129.16</v>
      </c>
      <c r="C55" s="39">
        <f t="shared" si="0"/>
        <v>132.01</v>
      </c>
      <c r="D55" s="39">
        <f t="shared" si="1"/>
        <v>7.2247272727272644</v>
      </c>
      <c r="E55" s="39">
        <f t="shared" si="2"/>
        <v>11.822727272727263</v>
      </c>
      <c r="F55">
        <f t="shared" si="3"/>
        <v>85.415980165289085</v>
      </c>
      <c r="G55">
        <f t="shared" si="4"/>
        <v>52.196684165289135</v>
      </c>
      <c r="H55">
        <f t="shared" si="5"/>
        <v>139.77688016528904</v>
      </c>
    </row>
    <row r="56" spans="1:8" x14ac:dyDescent="0.25">
      <c r="A56">
        <v>53</v>
      </c>
      <c r="B56" s="6">
        <v>128.94</v>
      </c>
      <c r="C56" s="39">
        <f t="shared" si="0"/>
        <v>130.59</v>
      </c>
      <c r="D56" s="39">
        <f t="shared" si="1"/>
        <v>7.0047272727272656</v>
      </c>
      <c r="E56" s="39">
        <f t="shared" si="2"/>
        <v>10.402727272727276</v>
      </c>
      <c r="F56">
        <f t="shared" si="3"/>
        <v>72.868267438016474</v>
      </c>
      <c r="G56">
        <f t="shared" si="4"/>
        <v>49.066204165289157</v>
      </c>
      <c r="H56">
        <f t="shared" si="5"/>
        <v>108.21673471074386</v>
      </c>
    </row>
    <row r="57" spans="1:8" x14ac:dyDescent="0.25">
      <c r="A57">
        <v>54</v>
      </c>
      <c r="B57" s="6">
        <v>129.30000000000001</v>
      </c>
      <c r="C57" s="39">
        <f t="shared" si="0"/>
        <v>130.28</v>
      </c>
      <c r="D57" s="39">
        <f t="shared" si="1"/>
        <v>7.3647272727272792</v>
      </c>
      <c r="E57" s="39">
        <f t="shared" si="2"/>
        <v>10.092727272727274</v>
      </c>
      <c r="F57">
        <f t="shared" si="3"/>
        <v>74.330183801652964</v>
      </c>
      <c r="G57">
        <f t="shared" si="4"/>
        <v>54.239207801652988</v>
      </c>
      <c r="H57">
        <f t="shared" si="5"/>
        <v>101.86314380165291</v>
      </c>
    </row>
    <row r="58" spans="1:8" x14ac:dyDescent="0.25">
      <c r="A58">
        <v>55</v>
      </c>
      <c r="B58" s="6">
        <v>131.22</v>
      </c>
      <c r="C58" s="39">
        <f t="shared" si="0"/>
        <v>129.16</v>
      </c>
      <c r="D58" s="39">
        <f t="shared" si="1"/>
        <v>9.2847272727272667</v>
      </c>
      <c r="E58" s="39">
        <f t="shared" si="2"/>
        <v>8.9727272727272691</v>
      </c>
      <c r="F58">
        <f t="shared" si="3"/>
        <v>83.309325619834624</v>
      </c>
      <c r="G58">
        <f t="shared" si="4"/>
        <v>86.206160528925508</v>
      </c>
      <c r="H58">
        <f t="shared" si="5"/>
        <v>80.509834710743732</v>
      </c>
    </row>
    <row r="59" spans="1:8" x14ac:dyDescent="0.25">
      <c r="A59">
        <v>56</v>
      </c>
      <c r="B59" s="6">
        <v>132.52000000000001</v>
      </c>
      <c r="C59" s="39">
        <f t="shared" si="0"/>
        <v>128.94</v>
      </c>
      <c r="D59" s="39">
        <f t="shared" si="1"/>
        <v>10.584727272727278</v>
      </c>
      <c r="E59" s="39">
        <f t="shared" si="2"/>
        <v>8.7527272727272702</v>
      </c>
      <c r="F59">
        <f t="shared" si="3"/>
        <v>92.645231074380192</v>
      </c>
      <c r="G59">
        <f t="shared" si="4"/>
        <v>112.03645143801664</v>
      </c>
      <c r="H59">
        <f t="shared" si="5"/>
        <v>76.610234710743754</v>
      </c>
    </row>
    <row r="60" spans="1:8" x14ac:dyDescent="0.25">
      <c r="A60">
        <v>57</v>
      </c>
      <c r="B60" s="6">
        <v>134.25</v>
      </c>
      <c r="C60" s="39">
        <f t="shared" si="0"/>
        <v>129.30000000000001</v>
      </c>
      <c r="D60" s="39">
        <f t="shared" si="1"/>
        <v>12.314727272727268</v>
      </c>
      <c r="E60" s="39">
        <f t="shared" si="2"/>
        <v>9.1127272727272839</v>
      </c>
      <c r="F60">
        <f t="shared" si="3"/>
        <v>112.22075107438026</v>
      </c>
      <c r="G60">
        <f t="shared" si="4"/>
        <v>151.65250780165277</v>
      </c>
      <c r="H60">
        <f t="shared" si="5"/>
        <v>83.041798347107644</v>
      </c>
    </row>
    <row r="61" spans="1:8" x14ac:dyDescent="0.25">
      <c r="A61">
        <v>58</v>
      </c>
      <c r="B61" s="6">
        <v>136.06</v>
      </c>
      <c r="C61" s="39">
        <f t="shared" si="0"/>
        <v>131.22</v>
      </c>
      <c r="D61" s="39">
        <f t="shared" si="1"/>
        <v>14.12472727272727</v>
      </c>
      <c r="E61" s="39">
        <f t="shared" si="2"/>
        <v>11.032727272727271</v>
      </c>
      <c r="F61">
        <f t="shared" si="3"/>
        <v>155.83426380165284</v>
      </c>
      <c r="G61">
        <f t="shared" si="4"/>
        <v>199.50792052892555</v>
      </c>
      <c r="H61">
        <f t="shared" si="5"/>
        <v>121.72107107438013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6610.3</v>
      </c>
      <c r="D62" s="39">
        <f t="shared" si="6"/>
        <v>-3.5527136788005009E-13</v>
      </c>
      <c r="E62" s="39">
        <f t="shared" si="6"/>
        <v>0</v>
      </c>
      <c r="F62" s="39">
        <f t="shared" si="6"/>
        <v>8043.3127909090908</v>
      </c>
      <c r="G62" s="39">
        <f t="shared" si="6"/>
        <v>8607.3269709090928</v>
      </c>
      <c r="H62" s="39">
        <f t="shared" si="6"/>
        <v>9140.9840909090926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120.18727272727273</v>
      </c>
    </row>
    <row r="65" spans="1:2" ht="18" x14ac:dyDescent="0.35">
      <c r="A65" t="s">
        <v>96</v>
      </c>
      <c r="B65" s="39">
        <f>SUM(B7:B61)/55</f>
        <v>121.93527272727273</v>
      </c>
    </row>
    <row r="66" spans="1:2" ht="18" x14ac:dyDescent="0.35">
      <c r="A66" t="s">
        <v>97</v>
      </c>
      <c r="B66" s="39">
        <f>SUM(C7:C61)/55</f>
        <v>120.18727272727273</v>
      </c>
    </row>
    <row r="68" spans="1:2" ht="18" x14ac:dyDescent="0.35">
      <c r="A68" t="s">
        <v>98</v>
      </c>
      <c r="B68">
        <f>F62/SQRT(G62*H62)</f>
        <v>0.90678500733444478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2" workbookViewId="0">
      <selection activeCell="G68" sqref="G68"/>
    </sheetView>
  </sheetViews>
  <sheetFormatPr defaultRowHeight="15" x14ac:dyDescent="0.25"/>
  <cols>
    <col min="6" max="6" width="14.5703125" customWidth="1"/>
  </cols>
  <sheetData>
    <row r="2" spans="1:8" x14ac:dyDescent="0.25">
      <c r="A2" s="43">
        <v>1</v>
      </c>
      <c r="B2" s="43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H2" s="40">
        <v>8</v>
      </c>
    </row>
    <row r="3" spans="1:8" ht="18" x14ac:dyDescent="0.35">
      <c r="A3" s="44" t="s">
        <v>67</v>
      </c>
      <c r="B3" s="44" t="s">
        <v>68</v>
      </c>
      <c r="C3" s="41" t="s">
        <v>99</v>
      </c>
      <c r="D3" s="41" t="s">
        <v>100</v>
      </c>
      <c r="E3" s="41" t="s">
        <v>101</v>
      </c>
      <c r="F3" s="42" t="s">
        <v>102</v>
      </c>
      <c r="G3" s="41" t="s">
        <v>103</v>
      </c>
      <c r="H3" s="41" t="s">
        <v>104</v>
      </c>
    </row>
    <row r="4" spans="1:8" x14ac:dyDescent="0.25">
      <c r="A4">
        <v>1</v>
      </c>
      <c r="B4" s="11">
        <v>102.32</v>
      </c>
      <c r="C4" s="38" t="s">
        <v>75</v>
      </c>
      <c r="D4" s="38" t="s">
        <v>75</v>
      </c>
      <c r="E4" s="38" t="s">
        <v>75</v>
      </c>
      <c r="F4" s="38" t="s">
        <v>75</v>
      </c>
      <c r="G4" s="38" t="s">
        <v>75</v>
      </c>
      <c r="H4" s="38" t="s">
        <v>75</v>
      </c>
    </row>
    <row r="5" spans="1:8" x14ac:dyDescent="0.25">
      <c r="A5">
        <v>2</v>
      </c>
      <c r="B5" s="6">
        <v>102.21</v>
      </c>
      <c r="C5" s="38" t="s">
        <v>75</v>
      </c>
      <c r="D5" s="38" t="s">
        <v>75</v>
      </c>
      <c r="E5" s="38" t="s">
        <v>75</v>
      </c>
      <c r="F5" s="38" t="s">
        <v>75</v>
      </c>
      <c r="G5" s="38" t="s">
        <v>75</v>
      </c>
      <c r="H5" s="38" t="s">
        <v>75</v>
      </c>
    </row>
    <row r="6" spans="1:8" x14ac:dyDescent="0.25">
      <c r="A6">
        <v>3</v>
      </c>
      <c r="B6" s="6">
        <v>102.16</v>
      </c>
      <c r="C6" s="38" t="s">
        <v>75</v>
      </c>
      <c r="D6" s="38" t="s">
        <v>75</v>
      </c>
      <c r="E6" s="38" t="s">
        <v>75</v>
      </c>
      <c r="F6" s="38" t="s">
        <v>75</v>
      </c>
      <c r="G6" s="38" t="s">
        <v>75</v>
      </c>
      <c r="H6" s="38" t="s">
        <v>75</v>
      </c>
    </row>
    <row r="7" spans="1:8" x14ac:dyDescent="0.25">
      <c r="A7">
        <v>4</v>
      </c>
      <c r="B7" s="6">
        <v>102.06</v>
      </c>
      <c r="C7" s="38" t="s">
        <v>75</v>
      </c>
      <c r="D7" s="38" t="s">
        <v>75</v>
      </c>
      <c r="E7" s="38" t="s">
        <v>75</v>
      </c>
      <c r="F7" s="38" t="s">
        <v>75</v>
      </c>
      <c r="G7" s="38" t="s">
        <v>75</v>
      </c>
      <c r="H7" s="38" t="s">
        <v>75</v>
      </c>
    </row>
    <row r="8" spans="1:8" x14ac:dyDescent="0.25">
      <c r="A8">
        <v>5</v>
      </c>
      <c r="B8" s="6">
        <v>102.55</v>
      </c>
      <c r="C8" s="39">
        <f>B4</f>
        <v>102.32</v>
      </c>
      <c r="D8" s="39">
        <f>B8-$B$65</f>
        <v>-19.753333333333345</v>
      </c>
      <c r="E8" s="39">
        <f>C8-$B$66</f>
        <v>-17.662962962962965</v>
      </c>
      <c r="F8">
        <f>D8*E8</f>
        <v>348.90239506172861</v>
      </c>
      <c r="G8">
        <f>D8*D8</f>
        <v>390.19417777777824</v>
      </c>
      <c r="H8">
        <f>E8*E8</f>
        <v>311.98026063100144</v>
      </c>
    </row>
    <row r="9" spans="1:8" x14ac:dyDescent="0.25">
      <c r="A9">
        <v>6</v>
      </c>
      <c r="B9" s="6">
        <v>104.35</v>
      </c>
      <c r="C9" s="39">
        <f t="shared" ref="C9:C61" si="0">B5</f>
        <v>102.21</v>
      </c>
      <c r="D9" s="39">
        <f t="shared" ref="D9:D61" si="1">B9-$B$65</f>
        <v>-17.953333333333347</v>
      </c>
      <c r="E9" s="39">
        <f t="shared" ref="E9:E61" si="2">C9-$B$66</f>
        <v>-17.772962962962964</v>
      </c>
      <c r="F9">
        <f t="shared" ref="F9:F61" si="3">D9*E9</f>
        <v>319.083928395062</v>
      </c>
      <c r="G9">
        <f t="shared" ref="G9:G61" si="4">D9*D9</f>
        <v>322.32217777777828</v>
      </c>
      <c r="H9">
        <f t="shared" ref="H9:H61" si="5">E9*E9</f>
        <v>315.87821248285326</v>
      </c>
    </row>
    <row r="10" spans="1:8" x14ac:dyDescent="0.25">
      <c r="A10">
        <v>7</v>
      </c>
      <c r="B10" s="6">
        <v>107.57</v>
      </c>
      <c r="C10" s="39">
        <f t="shared" si="0"/>
        <v>102.16</v>
      </c>
      <c r="D10" s="39">
        <f t="shared" si="1"/>
        <v>-14.733333333333348</v>
      </c>
      <c r="E10" s="39">
        <f t="shared" si="2"/>
        <v>-17.822962962962961</v>
      </c>
      <c r="F10">
        <f t="shared" si="3"/>
        <v>262.59165432098791</v>
      </c>
      <c r="G10">
        <f t="shared" si="4"/>
        <v>217.07111111111155</v>
      </c>
      <c r="H10">
        <f t="shared" si="5"/>
        <v>317.65800877914944</v>
      </c>
    </row>
    <row r="11" spans="1:8" x14ac:dyDescent="0.25">
      <c r="A11">
        <v>8</v>
      </c>
      <c r="B11" s="6">
        <v>111.96</v>
      </c>
      <c r="C11" s="39">
        <f t="shared" si="0"/>
        <v>102.06</v>
      </c>
      <c r="D11" s="39">
        <f t="shared" si="1"/>
        <v>-10.343333333333348</v>
      </c>
      <c r="E11" s="39">
        <f t="shared" si="2"/>
        <v>-17.922962962962956</v>
      </c>
      <c r="F11">
        <f t="shared" si="3"/>
        <v>185.38318024691375</v>
      </c>
      <c r="G11">
        <f t="shared" si="4"/>
        <v>106.98454444444475</v>
      </c>
      <c r="H11">
        <f t="shared" si="5"/>
        <v>321.23260137174185</v>
      </c>
    </row>
    <row r="12" spans="1:8" x14ac:dyDescent="0.25">
      <c r="A12">
        <v>9</v>
      </c>
      <c r="B12" s="6">
        <v>115.27</v>
      </c>
      <c r="C12" s="39">
        <f t="shared" si="0"/>
        <v>102.55</v>
      </c>
      <c r="D12" s="39">
        <f t="shared" si="1"/>
        <v>-7.0333333333333456</v>
      </c>
      <c r="E12" s="39">
        <f t="shared" si="2"/>
        <v>-17.432962962962961</v>
      </c>
      <c r="F12">
        <f t="shared" si="3"/>
        <v>122.61183950617304</v>
      </c>
      <c r="G12">
        <f t="shared" si="4"/>
        <v>49.467777777777954</v>
      </c>
      <c r="H12">
        <f t="shared" si="5"/>
        <v>303.90819766803833</v>
      </c>
    </row>
    <row r="13" spans="1:8" x14ac:dyDescent="0.25">
      <c r="A13">
        <v>10</v>
      </c>
      <c r="B13" s="6">
        <v>117.17</v>
      </c>
      <c r="C13" s="39">
        <f t="shared" si="0"/>
        <v>104.35</v>
      </c>
      <c r="D13" s="39">
        <f t="shared" si="1"/>
        <v>-5.13333333333334</v>
      </c>
      <c r="E13" s="39">
        <f t="shared" si="2"/>
        <v>-15.632962962962964</v>
      </c>
      <c r="F13">
        <f t="shared" si="3"/>
        <v>80.249209876543318</v>
      </c>
      <c r="G13">
        <f t="shared" si="4"/>
        <v>26.35111111111118</v>
      </c>
      <c r="H13">
        <f t="shared" si="5"/>
        <v>244.38953100137175</v>
      </c>
    </row>
    <row r="14" spans="1:8" x14ac:dyDescent="0.25">
      <c r="A14">
        <v>11</v>
      </c>
      <c r="B14" s="6">
        <v>117.61</v>
      </c>
      <c r="C14" s="39">
        <f t="shared" si="0"/>
        <v>107.57</v>
      </c>
      <c r="D14" s="39">
        <f t="shared" si="1"/>
        <v>-4.6933333333333422</v>
      </c>
      <c r="E14" s="39">
        <f t="shared" si="2"/>
        <v>-12.412962962962965</v>
      </c>
      <c r="F14">
        <f t="shared" si="3"/>
        <v>58.258172839506294</v>
      </c>
      <c r="G14">
        <f t="shared" si="4"/>
        <v>22.027377777777861</v>
      </c>
      <c r="H14">
        <f t="shared" si="5"/>
        <v>154.08164951989031</v>
      </c>
    </row>
    <row r="15" spans="1:8" x14ac:dyDescent="0.25">
      <c r="A15">
        <v>12</v>
      </c>
      <c r="B15" s="6">
        <v>117.26</v>
      </c>
      <c r="C15" s="39">
        <f t="shared" si="0"/>
        <v>111.96</v>
      </c>
      <c r="D15" s="39">
        <f t="shared" si="1"/>
        <v>-5.0433333333333366</v>
      </c>
      <c r="E15" s="39">
        <f t="shared" si="2"/>
        <v>-8.0229629629629642</v>
      </c>
      <c r="F15">
        <f t="shared" si="3"/>
        <v>40.46247654320991</v>
      </c>
      <c r="G15">
        <f t="shared" si="4"/>
        <v>25.435211111111144</v>
      </c>
      <c r="H15">
        <f t="shared" si="5"/>
        <v>64.36793470507547</v>
      </c>
    </row>
    <row r="16" spans="1:8" x14ac:dyDescent="0.25">
      <c r="A16">
        <v>13</v>
      </c>
      <c r="B16" s="6">
        <v>115.88</v>
      </c>
      <c r="C16" s="39">
        <f t="shared" si="0"/>
        <v>115.27</v>
      </c>
      <c r="D16" s="39">
        <f t="shared" si="1"/>
        <v>-6.4233333333333462</v>
      </c>
      <c r="E16" s="39">
        <f t="shared" si="2"/>
        <v>-4.7129629629629619</v>
      </c>
      <c r="F16">
        <f t="shared" si="3"/>
        <v>30.272932098765487</v>
      </c>
      <c r="G16">
        <f t="shared" si="4"/>
        <v>41.259211111111277</v>
      </c>
      <c r="H16">
        <f t="shared" si="5"/>
        <v>22.212019890260621</v>
      </c>
    </row>
    <row r="17" spans="1:8" x14ac:dyDescent="0.25">
      <c r="A17">
        <v>14</v>
      </c>
      <c r="B17" s="6">
        <v>113.35</v>
      </c>
      <c r="C17" s="39">
        <f t="shared" si="0"/>
        <v>117.17</v>
      </c>
      <c r="D17" s="39">
        <f t="shared" si="1"/>
        <v>-8.9533333333333474</v>
      </c>
      <c r="E17" s="39">
        <f t="shared" si="2"/>
        <v>-2.8129629629629562</v>
      </c>
      <c r="F17">
        <f t="shared" si="3"/>
        <v>25.185395061728375</v>
      </c>
      <c r="G17">
        <f t="shared" si="4"/>
        <v>80.162177777778027</v>
      </c>
      <c r="H17">
        <f t="shared" si="5"/>
        <v>7.9127606310013334</v>
      </c>
    </row>
    <row r="18" spans="1:8" x14ac:dyDescent="0.25">
      <c r="A18">
        <v>15</v>
      </c>
      <c r="B18" s="6">
        <v>111.39</v>
      </c>
      <c r="C18" s="39">
        <f t="shared" si="0"/>
        <v>117.61</v>
      </c>
      <c r="D18" s="39">
        <f t="shared" si="1"/>
        <v>-10.913333333333341</v>
      </c>
      <c r="E18" s="39">
        <f t="shared" si="2"/>
        <v>-2.3729629629629585</v>
      </c>
      <c r="F18">
        <f t="shared" si="3"/>
        <v>25.896935802469105</v>
      </c>
      <c r="G18">
        <f t="shared" si="4"/>
        <v>119.10084444444462</v>
      </c>
      <c r="H18">
        <f t="shared" si="5"/>
        <v>5.6309532235939432</v>
      </c>
    </row>
    <row r="19" spans="1:8" x14ac:dyDescent="0.25">
      <c r="A19">
        <v>16</v>
      </c>
      <c r="B19" s="6">
        <v>109.76</v>
      </c>
      <c r="C19" s="39">
        <f t="shared" si="0"/>
        <v>117.26</v>
      </c>
      <c r="D19" s="39">
        <f t="shared" si="1"/>
        <v>-12.543333333333337</v>
      </c>
      <c r="E19" s="39">
        <f t="shared" si="2"/>
        <v>-2.7229629629629528</v>
      </c>
      <c r="F19">
        <f t="shared" si="3"/>
        <v>34.155032098765311</v>
      </c>
      <c r="G19">
        <f t="shared" si="4"/>
        <v>157.33521111111119</v>
      </c>
      <c r="H19">
        <f t="shared" si="5"/>
        <v>7.4145272976679832</v>
      </c>
    </row>
    <row r="20" spans="1:8" x14ac:dyDescent="0.25">
      <c r="A20">
        <v>17</v>
      </c>
      <c r="B20" s="6">
        <v>109.5</v>
      </c>
      <c r="C20" s="39">
        <f t="shared" si="0"/>
        <v>115.88</v>
      </c>
      <c r="D20" s="39">
        <f t="shared" si="1"/>
        <v>-12.803333333333342</v>
      </c>
      <c r="E20" s="39">
        <f t="shared" si="2"/>
        <v>-4.1029629629629625</v>
      </c>
      <c r="F20">
        <f t="shared" si="3"/>
        <v>52.531602469135834</v>
      </c>
      <c r="G20">
        <f t="shared" si="4"/>
        <v>163.92534444444465</v>
      </c>
      <c r="H20">
        <f t="shared" si="5"/>
        <v>16.834305075445812</v>
      </c>
    </row>
    <row r="21" spans="1:8" x14ac:dyDescent="0.25">
      <c r="A21">
        <v>18</v>
      </c>
      <c r="B21" s="6">
        <v>108.86</v>
      </c>
      <c r="C21" s="39">
        <f t="shared" si="0"/>
        <v>113.35</v>
      </c>
      <c r="D21" s="39">
        <f t="shared" si="1"/>
        <v>-13.443333333333342</v>
      </c>
      <c r="E21" s="39">
        <f t="shared" si="2"/>
        <v>-6.6329629629629636</v>
      </c>
      <c r="F21">
        <f t="shared" si="3"/>
        <v>89.169132098765502</v>
      </c>
      <c r="G21">
        <f t="shared" si="4"/>
        <v>180.72321111111134</v>
      </c>
      <c r="H21">
        <f t="shared" si="5"/>
        <v>43.99619766803842</v>
      </c>
    </row>
    <row r="22" spans="1:8" x14ac:dyDescent="0.25">
      <c r="A22">
        <v>19</v>
      </c>
      <c r="B22" s="6">
        <v>108.49</v>
      </c>
      <c r="C22" s="39">
        <f t="shared" si="0"/>
        <v>111.39</v>
      </c>
      <c r="D22" s="39">
        <f t="shared" si="1"/>
        <v>-13.813333333333347</v>
      </c>
      <c r="E22" s="39">
        <f t="shared" si="2"/>
        <v>-8.5929629629629574</v>
      </c>
      <c r="F22">
        <f t="shared" si="3"/>
        <v>118.6974617283951</v>
      </c>
      <c r="G22">
        <f t="shared" si="4"/>
        <v>190.80817777777816</v>
      </c>
      <c r="H22">
        <f t="shared" si="5"/>
        <v>73.839012482853121</v>
      </c>
    </row>
    <row r="23" spans="1:8" x14ac:dyDescent="0.25">
      <c r="A23">
        <v>20</v>
      </c>
      <c r="B23" s="6">
        <v>108.36</v>
      </c>
      <c r="C23" s="39">
        <f t="shared" si="0"/>
        <v>109.76</v>
      </c>
      <c r="D23" s="39">
        <f t="shared" si="1"/>
        <v>-13.943333333333342</v>
      </c>
      <c r="E23" s="39">
        <f t="shared" si="2"/>
        <v>-10.222962962962953</v>
      </c>
      <c r="F23">
        <f t="shared" si="3"/>
        <v>142.54218024691352</v>
      </c>
      <c r="G23">
        <f t="shared" si="4"/>
        <v>194.4165444444447</v>
      </c>
      <c r="H23">
        <f t="shared" si="5"/>
        <v>104.50897174211228</v>
      </c>
    </row>
    <row r="24" spans="1:8" x14ac:dyDescent="0.25">
      <c r="A24">
        <v>21</v>
      </c>
      <c r="B24" s="6">
        <v>108.19</v>
      </c>
      <c r="C24" s="39">
        <f t="shared" si="0"/>
        <v>109.5</v>
      </c>
      <c r="D24" s="39">
        <f t="shared" si="1"/>
        <v>-14.113333333333344</v>
      </c>
      <c r="E24" s="39">
        <f t="shared" si="2"/>
        <v>-10.482962962962958</v>
      </c>
      <c r="F24">
        <f t="shared" si="3"/>
        <v>147.94955061728399</v>
      </c>
      <c r="G24">
        <f t="shared" si="4"/>
        <v>199.18617777777808</v>
      </c>
      <c r="H24">
        <f t="shared" si="5"/>
        <v>109.89251248285312</v>
      </c>
    </row>
    <row r="25" spans="1:8" x14ac:dyDescent="0.25">
      <c r="A25">
        <v>22</v>
      </c>
      <c r="B25" s="6">
        <v>107.8</v>
      </c>
      <c r="C25" s="39">
        <f t="shared" si="0"/>
        <v>108.86</v>
      </c>
      <c r="D25" s="39">
        <f t="shared" si="1"/>
        <v>-14.503333333333345</v>
      </c>
      <c r="E25" s="39">
        <f t="shared" si="2"/>
        <v>-11.122962962962958</v>
      </c>
      <c r="F25">
        <f t="shared" si="3"/>
        <v>161.32003950617289</v>
      </c>
      <c r="G25">
        <f t="shared" si="4"/>
        <v>210.3466777777781</v>
      </c>
      <c r="H25">
        <f t="shared" si="5"/>
        <v>123.72030507544572</v>
      </c>
    </row>
    <row r="26" spans="1:8" x14ac:dyDescent="0.25">
      <c r="A26">
        <v>23</v>
      </c>
      <c r="B26" s="6">
        <v>107.47</v>
      </c>
      <c r="C26" s="39">
        <f t="shared" si="0"/>
        <v>108.49</v>
      </c>
      <c r="D26" s="39">
        <f t="shared" si="1"/>
        <v>-14.833333333333343</v>
      </c>
      <c r="E26" s="39">
        <f t="shared" si="2"/>
        <v>-11.492962962962963</v>
      </c>
      <c r="F26">
        <f t="shared" si="3"/>
        <v>170.47895061728406</v>
      </c>
      <c r="G26">
        <f t="shared" si="4"/>
        <v>220.02777777777806</v>
      </c>
      <c r="H26">
        <f t="shared" si="5"/>
        <v>132.08819766803842</v>
      </c>
    </row>
    <row r="27" spans="1:8" x14ac:dyDescent="0.25">
      <c r="A27">
        <v>24</v>
      </c>
      <c r="B27" s="6">
        <v>107.03</v>
      </c>
      <c r="C27" s="39">
        <f t="shared" si="0"/>
        <v>108.36</v>
      </c>
      <c r="D27" s="39">
        <f t="shared" si="1"/>
        <v>-15.273333333333341</v>
      </c>
      <c r="E27" s="39">
        <f t="shared" si="2"/>
        <v>-11.622962962962958</v>
      </c>
      <c r="F27">
        <f t="shared" si="3"/>
        <v>177.52138765432099</v>
      </c>
      <c r="G27">
        <f t="shared" si="4"/>
        <v>233.27471111111134</v>
      </c>
      <c r="H27">
        <f t="shared" si="5"/>
        <v>135.09326803840867</v>
      </c>
    </row>
    <row r="28" spans="1:8" x14ac:dyDescent="0.25">
      <c r="A28">
        <v>25</v>
      </c>
      <c r="B28" s="6">
        <v>106.61</v>
      </c>
      <c r="C28" s="39">
        <f t="shared" si="0"/>
        <v>108.19</v>
      </c>
      <c r="D28" s="39">
        <f t="shared" si="1"/>
        <v>-15.693333333333342</v>
      </c>
      <c r="E28" s="39">
        <f t="shared" si="2"/>
        <v>-11.79296296296296</v>
      </c>
      <c r="F28">
        <f t="shared" si="3"/>
        <v>185.07089876543216</v>
      </c>
      <c r="G28">
        <f t="shared" si="4"/>
        <v>246.2807111111114</v>
      </c>
      <c r="H28">
        <f t="shared" si="5"/>
        <v>139.07397544581613</v>
      </c>
    </row>
    <row r="29" spans="1:8" x14ac:dyDescent="0.25">
      <c r="A29">
        <v>26</v>
      </c>
      <c r="B29" s="6">
        <v>106.57</v>
      </c>
      <c r="C29" s="39">
        <f t="shared" si="0"/>
        <v>107.8</v>
      </c>
      <c r="D29" s="39">
        <f t="shared" si="1"/>
        <v>-15.733333333333348</v>
      </c>
      <c r="E29" s="39">
        <f t="shared" si="2"/>
        <v>-12.182962962962961</v>
      </c>
      <c r="F29">
        <f t="shared" si="3"/>
        <v>191.67861728395076</v>
      </c>
      <c r="G29">
        <f t="shared" si="4"/>
        <v>247.53777777777825</v>
      </c>
      <c r="H29">
        <f t="shared" si="5"/>
        <v>148.42458655692724</v>
      </c>
    </row>
    <row r="30" spans="1:8" x14ac:dyDescent="0.25">
      <c r="A30">
        <v>27</v>
      </c>
      <c r="B30" s="6">
        <v>106.49</v>
      </c>
      <c r="C30" s="39">
        <f t="shared" si="0"/>
        <v>107.47</v>
      </c>
      <c r="D30" s="39">
        <f t="shared" si="1"/>
        <v>-15.813333333333347</v>
      </c>
      <c r="E30" s="39">
        <f t="shared" si="2"/>
        <v>-12.512962962962959</v>
      </c>
      <c r="F30">
        <f t="shared" si="3"/>
        <v>197.87165432098777</v>
      </c>
      <c r="G30">
        <f t="shared" si="4"/>
        <v>250.06151111111154</v>
      </c>
      <c r="H30">
        <f t="shared" si="5"/>
        <v>156.57424211248275</v>
      </c>
    </row>
    <row r="31" spans="1:8" x14ac:dyDescent="0.25">
      <c r="A31">
        <v>28</v>
      </c>
      <c r="B31" s="6">
        <v>107.04</v>
      </c>
      <c r="C31" s="39">
        <f t="shared" si="0"/>
        <v>107.03</v>
      </c>
      <c r="D31" s="39">
        <f t="shared" si="1"/>
        <v>-15.263333333333335</v>
      </c>
      <c r="E31" s="39">
        <f t="shared" si="2"/>
        <v>-12.952962962962957</v>
      </c>
      <c r="F31">
        <f t="shared" si="3"/>
        <v>197.70539135802463</v>
      </c>
      <c r="G31">
        <f t="shared" si="4"/>
        <v>232.96934444444452</v>
      </c>
      <c r="H31">
        <f t="shared" si="5"/>
        <v>167.7792495198901</v>
      </c>
    </row>
    <row r="32" spans="1:8" x14ac:dyDescent="0.25">
      <c r="A32">
        <v>29</v>
      </c>
      <c r="B32" s="6">
        <v>111.35</v>
      </c>
      <c r="C32" s="39">
        <f t="shared" si="0"/>
        <v>106.61</v>
      </c>
      <c r="D32" s="39">
        <f t="shared" si="1"/>
        <v>-10.953333333333347</v>
      </c>
      <c r="E32" s="39">
        <f t="shared" si="2"/>
        <v>-13.372962962962958</v>
      </c>
      <c r="F32">
        <f t="shared" si="3"/>
        <v>146.47852098765446</v>
      </c>
      <c r="G32">
        <f t="shared" si="4"/>
        <v>119.97551111111142</v>
      </c>
      <c r="H32">
        <f t="shared" si="5"/>
        <v>178.83613840877902</v>
      </c>
    </row>
    <row r="33" spans="1:8" x14ac:dyDescent="0.25">
      <c r="A33">
        <v>30</v>
      </c>
      <c r="B33" s="6">
        <v>117.54</v>
      </c>
      <c r="C33" s="39">
        <f t="shared" si="0"/>
        <v>106.57</v>
      </c>
      <c r="D33" s="39">
        <f t="shared" si="1"/>
        <v>-4.7633333333333354</v>
      </c>
      <c r="E33" s="39">
        <f t="shared" si="2"/>
        <v>-13.412962962962965</v>
      </c>
      <c r="F33">
        <f t="shared" si="3"/>
        <v>63.89041358024695</v>
      </c>
      <c r="G33">
        <f t="shared" si="4"/>
        <v>22.689344444444465</v>
      </c>
      <c r="H33">
        <f t="shared" si="5"/>
        <v>179.90757544581624</v>
      </c>
    </row>
    <row r="34" spans="1:8" x14ac:dyDescent="0.25">
      <c r="A34">
        <v>31</v>
      </c>
      <c r="B34" s="6">
        <v>122.58</v>
      </c>
      <c r="C34" s="39">
        <f t="shared" si="0"/>
        <v>106.49</v>
      </c>
      <c r="D34" s="39">
        <f t="shared" si="1"/>
        <v>0.27666666666665662</v>
      </c>
      <c r="E34" s="39">
        <f t="shared" si="2"/>
        <v>-13.492962962962963</v>
      </c>
      <c r="F34">
        <f t="shared" si="3"/>
        <v>-3.7330530864196176</v>
      </c>
      <c r="G34">
        <f t="shared" si="4"/>
        <v>7.6544444444438892E-2</v>
      </c>
      <c r="H34">
        <f t="shared" si="5"/>
        <v>182.06004951989027</v>
      </c>
    </row>
    <row r="35" spans="1:8" x14ac:dyDescent="0.25">
      <c r="A35">
        <v>32</v>
      </c>
      <c r="B35" s="6">
        <v>128.16</v>
      </c>
      <c r="C35" s="39">
        <f t="shared" si="0"/>
        <v>107.04</v>
      </c>
      <c r="D35" s="39">
        <f t="shared" si="1"/>
        <v>5.8566666666666549</v>
      </c>
      <c r="E35" s="39">
        <f t="shared" si="2"/>
        <v>-12.942962962962952</v>
      </c>
      <c r="F35">
        <f t="shared" si="3"/>
        <v>-75.802619753086205</v>
      </c>
      <c r="G35">
        <f t="shared" si="4"/>
        <v>34.300544444444306</v>
      </c>
      <c r="H35">
        <f t="shared" si="5"/>
        <v>167.5202902606307</v>
      </c>
    </row>
    <row r="36" spans="1:8" x14ac:dyDescent="0.25">
      <c r="A36">
        <v>33</v>
      </c>
      <c r="B36" s="6">
        <v>132.86000000000001</v>
      </c>
      <c r="C36" s="39">
        <f t="shared" si="0"/>
        <v>111.35</v>
      </c>
      <c r="D36" s="39">
        <f t="shared" si="1"/>
        <v>10.556666666666672</v>
      </c>
      <c r="E36" s="39">
        <f t="shared" si="2"/>
        <v>-8.6329629629629636</v>
      </c>
      <c r="F36">
        <f t="shared" si="3"/>
        <v>-91.135312345679068</v>
      </c>
      <c r="G36">
        <f t="shared" si="4"/>
        <v>111.44321111111122</v>
      </c>
      <c r="H36">
        <f t="shared" si="5"/>
        <v>74.528049519890274</v>
      </c>
    </row>
    <row r="37" spans="1:8" x14ac:dyDescent="0.25">
      <c r="A37">
        <v>34</v>
      </c>
      <c r="B37" s="6">
        <v>134.91999999999999</v>
      </c>
      <c r="C37" s="39">
        <f t="shared" si="0"/>
        <v>117.54</v>
      </c>
      <c r="D37" s="39">
        <f t="shared" si="1"/>
        <v>12.616666666666646</v>
      </c>
      <c r="E37" s="39">
        <f t="shared" si="2"/>
        <v>-2.4429629629629517</v>
      </c>
      <c r="F37">
        <f t="shared" si="3"/>
        <v>-30.822049382715857</v>
      </c>
      <c r="G37">
        <f t="shared" si="4"/>
        <v>159.18027777777726</v>
      </c>
      <c r="H37">
        <f t="shared" si="5"/>
        <v>5.9680680384087239</v>
      </c>
    </row>
    <row r="38" spans="1:8" x14ac:dyDescent="0.25">
      <c r="A38">
        <v>35</v>
      </c>
      <c r="B38" s="6">
        <v>135.69999999999999</v>
      </c>
      <c r="C38" s="39">
        <f t="shared" si="0"/>
        <v>122.58</v>
      </c>
      <c r="D38" s="39">
        <f t="shared" si="1"/>
        <v>13.396666666666647</v>
      </c>
      <c r="E38" s="39">
        <f t="shared" si="2"/>
        <v>2.5970370370370404</v>
      </c>
      <c r="F38">
        <f t="shared" si="3"/>
        <v>34.791639506172835</v>
      </c>
      <c r="G38">
        <f t="shared" si="4"/>
        <v>179.47067777777724</v>
      </c>
      <c r="H38">
        <f t="shared" si="5"/>
        <v>6.7446013717421298</v>
      </c>
    </row>
    <row r="39" spans="1:8" x14ac:dyDescent="0.25">
      <c r="A39">
        <v>36</v>
      </c>
      <c r="B39" s="6">
        <v>136.13999999999999</v>
      </c>
      <c r="C39" s="39">
        <f t="shared" si="0"/>
        <v>128.16</v>
      </c>
      <c r="D39" s="39">
        <f t="shared" si="1"/>
        <v>13.836666666666645</v>
      </c>
      <c r="E39" s="39">
        <f t="shared" si="2"/>
        <v>8.1770370370370387</v>
      </c>
      <c r="F39">
        <f t="shared" si="3"/>
        <v>113.14293580246898</v>
      </c>
      <c r="G39">
        <f t="shared" si="4"/>
        <v>191.45334444444384</v>
      </c>
      <c r="H39">
        <f t="shared" si="5"/>
        <v>66.863934705075479</v>
      </c>
    </row>
    <row r="40" spans="1:8" x14ac:dyDescent="0.25">
      <c r="A40">
        <v>37</v>
      </c>
      <c r="B40" s="6">
        <v>140.15</v>
      </c>
      <c r="C40" s="39">
        <f t="shared" si="0"/>
        <v>132.86000000000001</v>
      </c>
      <c r="D40" s="39">
        <f t="shared" si="1"/>
        <v>17.846666666666664</v>
      </c>
      <c r="E40" s="39">
        <f t="shared" si="2"/>
        <v>12.877037037037056</v>
      </c>
      <c r="F40">
        <f t="shared" si="3"/>
        <v>229.81218765432129</v>
      </c>
      <c r="G40">
        <f t="shared" si="4"/>
        <v>318.50351111111104</v>
      </c>
      <c r="H40">
        <f t="shared" si="5"/>
        <v>165.81808285322407</v>
      </c>
    </row>
    <row r="41" spans="1:8" x14ac:dyDescent="0.25">
      <c r="A41">
        <v>38</v>
      </c>
      <c r="B41" s="6">
        <v>140.09</v>
      </c>
      <c r="C41" s="39">
        <f t="shared" si="0"/>
        <v>134.91999999999999</v>
      </c>
      <c r="D41" s="39">
        <f t="shared" si="1"/>
        <v>17.786666666666662</v>
      </c>
      <c r="E41" s="39">
        <f t="shared" si="2"/>
        <v>14.93703703703703</v>
      </c>
      <c r="F41">
        <f t="shared" si="3"/>
        <v>265.68009876543186</v>
      </c>
      <c r="G41">
        <f t="shared" si="4"/>
        <v>316.36551111111095</v>
      </c>
      <c r="H41">
        <f t="shared" si="5"/>
        <v>223.11507544581596</v>
      </c>
    </row>
    <row r="42" spans="1:8" x14ac:dyDescent="0.25">
      <c r="A42">
        <v>39</v>
      </c>
      <c r="B42" s="6">
        <v>139.1</v>
      </c>
      <c r="C42" s="39">
        <f t="shared" si="0"/>
        <v>135.69999999999999</v>
      </c>
      <c r="D42" s="39">
        <f t="shared" si="1"/>
        <v>16.796666666666653</v>
      </c>
      <c r="E42" s="39">
        <f t="shared" si="2"/>
        <v>15.717037037037031</v>
      </c>
      <c r="F42">
        <f t="shared" si="3"/>
        <v>263.9938320987651</v>
      </c>
      <c r="G42">
        <f t="shared" si="4"/>
        <v>282.12801111111065</v>
      </c>
      <c r="H42">
        <f t="shared" si="5"/>
        <v>247.02525322359378</v>
      </c>
    </row>
    <row r="43" spans="1:8" x14ac:dyDescent="0.25">
      <c r="A43">
        <v>40</v>
      </c>
      <c r="B43" s="6">
        <v>137.5</v>
      </c>
      <c r="C43" s="39">
        <f t="shared" si="0"/>
        <v>136.13999999999999</v>
      </c>
      <c r="D43" s="39">
        <f t="shared" si="1"/>
        <v>15.196666666666658</v>
      </c>
      <c r="E43" s="39">
        <f t="shared" si="2"/>
        <v>16.157037037037028</v>
      </c>
      <c r="F43">
        <f t="shared" si="3"/>
        <v>245.53310617283924</v>
      </c>
      <c r="G43">
        <f t="shared" si="4"/>
        <v>230.93867777777751</v>
      </c>
      <c r="H43">
        <f t="shared" si="5"/>
        <v>261.04984581618629</v>
      </c>
    </row>
    <row r="44" spans="1:8" x14ac:dyDescent="0.25">
      <c r="A44">
        <v>41</v>
      </c>
      <c r="B44" s="6">
        <v>136.12</v>
      </c>
      <c r="C44" s="39">
        <f t="shared" si="0"/>
        <v>140.15</v>
      </c>
      <c r="D44" s="39">
        <f t="shared" si="1"/>
        <v>13.816666666666663</v>
      </c>
      <c r="E44" s="39">
        <f t="shared" si="2"/>
        <v>20.167037037037048</v>
      </c>
      <c r="F44">
        <f t="shared" si="3"/>
        <v>278.64122839506177</v>
      </c>
      <c r="G44">
        <f t="shared" si="4"/>
        <v>190.90027777777766</v>
      </c>
      <c r="H44">
        <f t="shared" si="5"/>
        <v>406.70938285322404</v>
      </c>
    </row>
    <row r="45" spans="1:8" x14ac:dyDescent="0.25">
      <c r="A45">
        <v>42</v>
      </c>
      <c r="B45" s="6">
        <v>135.22</v>
      </c>
      <c r="C45" s="39">
        <f t="shared" si="0"/>
        <v>140.09</v>
      </c>
      <c r="D45" s="39">
        <f t="shared" si="1"/>
        <v>12.916666666666657</v>
      </c>
      <c r="E45" s="39">
        <f t="shared" si="2"/>
        <v>20.107037037037045</v>
      </c>
      <c r="F45">
        <f t="shared" si="3"/>
        <v>259.7158950617283</v>
      </c>
      <c r="G45">
        <f t="shared" si="4"/>
        <v>166.84027777777754</v>
      </c>
      <c r="H45">
        <f t="shared" si="5"/>
        <v>404.29293840877949</v>
      </c>
    </row>
    <row r="46" spans="1:8" x14ac:dyDescent="0.25">
      <c r="A46">
        <v>43</v>
      </c>
      <c r="B46" s="6">
        <v>134.72999999999999</v>
      </c>
      <c r="C46" s="39">
        <f t="shared" si="0"/>
        <v>139.1</v>
      </c>
      <c r="D46" s="39">
        <f t="shared" si="1"/>
        <v>12.426666666666648</v>
      </c>
      <c r="E46" s="39">
        <f t="shared" si="2"/>
        <v>19.117037037037036</v>
      </c>
      <c r="F46">
        <f t="shared" si="3"/>
        <v>237.56104691357987</v>
      </c>
      <c r="G46">
        <f t="shared" si="4"/>
        <v>154.42204444444397</v>
      </c>
      <c r="H46">
        <f t="shared" si="5"/>
        <v>365.4611050754458</v>
      </c>
    </row>
    <row r="47" spans="1:8" x14ac:dyDescent="0.25">
      <c r="A47">
        <v>44</v>
      </c>
      <c r="B47" s="6">
        <v>134.38999999999999</v>
      </c>
      <c r="C47" s="39">
        <f t="shared" si="0"/>
        <v>137.5</v>
      </c>
      <c r="D47" s="39">
        <f t="shared" si="1"/>
        <v>12.086666666666645</v>
      </c>
      <c r="E47" s="39">
        <f t="shared" si="2"/>
        <v>17.517037037037042</v>
      </c>
      <c r="F47">
        <f t="shared" si="3"/>
        <v>211.72258765432068</v>
      </c>
      <c r="G47">
        <f t="shared" si="4"/>
        <v>146.08751111111059</v>
      </c>
      <c r="H47">
        <f t="shared" si="5"/>
        <v>306.84658655692749</v>
      </c>
    </row>
    <row r="48" spans="1:8" x14ac:dyDescent="0.25">
      <c r="A48">
        <v>45</v>
      </c>
      <c r="B48" s="6">
        <v>134.51</v>
      </c>
      <c r="C48" s="39">
        <f t="shared" si="0"/>
        <v>136.12</v>
      </c>
      <c r="D48" s="39">
        <f t="shared" si="1"/>
        <v>12.206666666666649</v>
      </c>
      <c r="E48" s="39">
        <f t="shared" si="2"/>
        <v>16.137037037037047</v>
      </c>
      <c r="F48">
        <f t="shared" si="3"/>
        <v>196.97943209876527</v>
      </c>
      <c r="G48">
        <f t="shared" si="4"/>
        <v>149.0027111111107</v>
      </c>
      <c r="H48">
        <f t="shared" si="5"/>
        <v>260.40396433470539</v>
      </c>
    </row>
    <row r="49" spans="1:8" x14ac:dyDescent="0.25">
      <c r="A49">
        <v>46</v>
      </c>
      <c r="B49" s="6">
        <v>134.46</v>
      </c>
      <c r="C49" s="39">
        <f t="shared" si="0"/>
        <v>135.22</v>
      </c>
      <c r="D49" s="39">
        <f t="shared" si="1"/>
        <v>12.156666666666666</v>
      </c>
      <c r="E49" s="39">
        <f t="shared" si="2"/>
        <v>15.237037037037041</v>
      </c>
      <c r="F49">
        <f t="shared" si="3"/>
        <v>185.23158024691361</v>
      </c>
      <c r="G49">
        <f t="shared" si="4"/>
        <v>147.78454444444444</v>
      </c>
      <c r="H49">
        <f t="shared" si="5"/>
        <v>232.16729766803851</v>
      </c>
    </row>
    <row r="50" spans="1:8" x14ac:dyDescent="0.25">
      <c r="A50">
        <v>47</v>
      </c>
      <c r="B50" s="6">
        <v>134.27000000000001</v>
      </c>
      <c r="C50" s="39">
        <f t="shared" si="0"/>
        <v>134.72999999999999</v>
      </c>
      <c r="D50" s="39">
        <f t="shared" si="1"/>
        <v>11.966666666666669</v>
      </c>
      <c r="E50" s="39">
        <f t="shared" si="2"/>
        <v>14.747037037037032</v>
      </c>
      <c r="F50">
        <f t="shared" si="3"/>
        <v>176.47287654320985</v>
      </c>
      <c r="G50">
        <f t="shared" si="4"/>
        <v>143.20111111111115</v>
      </c>
      <c r="H50">
        <f t="shared" si="5"/>
        <v>217.47510137174197</v>
      </c>
    </row>
    <row r="51" spans="1:8" x14ac:dyDescent="0.25">
      <c r="A51">
        <v>48</v>
      </c>
      <c r="B51" s="6">
        <v>133.72999999999999</v>
      </c>
      <c r="C51" s="39">
        <f t="shared" si="0"/>
        <v>134.38999999999999</v>
      </c>
      <c r="D51" s="39">
        <f t="shared" si="1"/>
        <v>11.426666666666648</v>
      </c>
      <c r="E51" s="39">
        <f t="shared" si="2"/>
        <v>14.407037037037028</v>
      </c>
      <c r="F51">
        <f t="shared" si="3"/>
        <v>164.62440987654284</v>
      </c>
      <c r="G51">
        <f t="shared" si="4"/>
        <v>130.56871111111067</v>
      </c>
      <c r="H51">
        <f t="shared" si="5"/>
        <v>207.56271618655668</v>
      </c>
    </row>
    <row r="52" spans="1:8" x14ac:dyDescent="0.25">
      <c r="A52">
        <v>49</v>
      </c>
      <c r="B52" s="6">
        <v>132.01</v>
      </c>
      <c r="C52" s="39">
        <f t="shared" si="0"/>
        <v>134.51</v>
      </c>
      <c r="D52" s="39">
        <f t="shared" si="1"/>
        <v>9.7066666666666492</v>
      </c>
      <c r="E52" s="39">
        <f t="shared" si="2"/>
        <v>14.527037037037033</v>
      </c>
      <c r="F52">
        <f t="shared" si="3"/>
        <v>141.00910617283921</v>
      </c>
      <c r="G52">
        <f t="shared" si="4"/>
        <v>94.219377777777439</v>
      </c>
      <c r="H52">
        <f t="shared" si="5"/>
        <v>211.03480507544569</v>
      </c>
    </row>
    <row r="53" spans="1:8" x14ac:dyDescent="0.25">
      <c r="A53">
        <v>50</v>
      </c>
      <c r="B53" s="6">
        <v>130.59</v>
      </c>
      <c r="C53" s="39">
        <f t="shared" si="0"/>
        <v>134.46</v>
      </c>
      <c r="D53" s="39">
        <f t="shared" si="1"/>
        <v>8.2866666666666617</v>
      </c>
      <c r="E53" s="39">
        <f t="shared" si="2"/>
        <v>14.47703703703705</v>
      </c>
      <c r="F53">
        <f t="shared" si="3"/>
        <v>119.96638024691362</v>
      </c>
      <c r="G53">
        <f t="shared" si="4"/>
        <v>68.66884444444436</v>
      </c>
      <c r="H53">
        <f t="shared" si="5"/>
        <v>209.58460137174248</v>
      </c>
    </row>
    <row r="54" spans="1:8" x14ac:dyDescent="0.25">
      <c r="A54">
        <v>51</v>
      </c>
      <c r="B54" s="6">
        <v>130.28</v>
      </c>
      <c r="C54" s="39">
        <f t="shared" si="0"/>
        <v>134.27000000000001</v>
      </c>
      <c r="D54" s="39">
        <f t="shared" si="1"/>
        <v>7.9766666666666595</v>
      </c>
      <c r="E54" s="39">
        <f t="shared" si="2"/>
        <v>14.287037037037052</v>
      </c>
      <c r="F54">
        <f t="shared" si="3"/>
        <v>113.96293209876545</v>
      </c>
      <c r="G54">
        <f t="shared" si="4"/>
        <v>63.627211111110995</v>
      </c>
      <c r="H54">
        <f t="shared" si="5"/>
        <v>204.11942729766847</v>
      </c>
    </row>
    <row r="55" spans="1:8" x14ac:dyDescent="0.25">
      <c r="A55">
        <v>52</v>
      </c>
      <c r="B55" s="6">
        <v>129.16</v>
      </c>
      <c r="C55" s="39">
        <f t="shared" si="0"/>
        <v>133.72999999999999</v>
      </c>
      <c r="D55" s="39">
        <f t="shared" si="1"/>
        <v>6.8566666666666549</v>
      </c>
      <c r="E55" s="39">
        <f t="shared" si="2"/>
        <v>13.747037037037032</v>
      </c>
      <c r="F55">
        <f t="shared" si="3"/>
        <v>94.258850617283755</v>
      </c>
      <c r="G55">
        <f t="shared" si="4"/>
        <v>47.013877777777616</v>
      </c>
      <c r="H55">
        <f t="shared" si="5"/>
        <v>188.98102729766791</v>
      </c>
    </row>
    <row r="56" spans="1:8" x14ac:dyDescent="0.25">
      <c r="A56">
        <v>53</v>
      </c>
      <c r="B56" s="6">
        <v>128.94</v>
      </c>
      <c r="C56" s="39">
        <f t="shared" si="0"/>
        <v>132.01</v>
      </c>
      <c r="D56" s="39">
        <f t="shared" si="1"/>
        <v>6.6366666666666561</v>
      </c>
      <c r="E56" s="39">
        <f t="shared" si="2"/>
        <v>12.027037037037033</v>
      </c>
      <c r="F56">
        <f t="shared" si="3"/>
        <v>79.819435802468988</v>
      </c>
      <c r="G56">
        <f t="shared" si="4"/>
        <v>44.045344444444304</v>
      </c>
      <c r="H56">
        <f t="shared" si="5"/>
        <v>144.64961989026054</v>
      </c>
    </row>
    <row r="57" spans="1:8" x14ac:dyDescent="0.25">
      <c r="A57">
        <v>54</v>
      </c>
      <c r="B57" s="6">
        <v>129.30000000000001</v>
      </c>
      <c r="C57" s="39">
        <f t="shared" si="0"/>
        <v>130.59</v>
      </c>
      <c r="D57" s="39">
        <f t="shared" si="1"/>
        <v>6.9966666666666697</v>
      </c>
      <c r="E57" s="39">
        <f t="shared" si="2"/>
        <v>10.607037037037045</v>
      </c>
      <c r="F57">
        <f t="shared" si="3"/>
        <v>74.213902469135888</v>
      </c>
      <c r="G57">
        <f t="shared" si="4"/>
        <v>48.95334444444449</v>
      </c>
      <c r="H57">
        <f t="shared" si="5"/>
        <v>112.50923470507563</v>
      </c>
    </row>
    <row r="58" spans="1:8" x14ac:dyDescent="0.25">
      <c r="A58">
        <v>55</v>
      </c>
      <c r="B58" s="6">
        <v>131.22</v>
      </c>
      <c r="C58" s="39">
        <f t="shared" si="0"/>
        <v>130.28</v>
      </c>
      <c r="D58" s="39">
        <f t="shared" si="1"/>
        <v>8.9166666666666572</v>
      </c>
      <c r="E58" s="39">
        <f t="shared" si="2"/>
        <v>10.297037037037043</v>
      </c>
      <c r="F58">
        <f t="shared" si="3"/>
        <v>91.815246913580211</v>
      </c>
      <c r="G58">
        <f t="shared" si="4"/>
        <v>79.506944444444272</v>
      </c>
      <c r="H58">
        <f t="shared" si="5"/>
        <v>106.02897174211262</v>
      </c>
    </row>
    <row r="59" spans="1:8" x14ac:dyDescent="0.25">
      <c r="A59">
        <v>56</v>
      </c>
      <c r="B59" s="6">
        <v>132.52000000000001</v>
      </c>
      <c r="C59" s="39">
        <f t="shared" si="0"/>
        <v>129.16</v>
      </c>
      <c r="D59" s="39">
        <f t="shared" si="1"/>
        <v>10.216666666666669</v>
      </c>
      <c r="E59" s="39">
        <f t="shared" si="2"/>
        <v>9.1770370370370387</v>
      </c>
      <c r="F59">
        <f t="shared" si="3"/>
        <v>93.758728395061766</v>
      </c>
      <c r="G59">
        <f t="shared" si="4"/>
        <v>104.38027777777782</v>
      </c>
      <c r="H59">
        <f t="shared" si="5"/>
        <v>84.218008779149557</v>
      </c>
    </row>
    <row r="60" spans="1:8" x14ac:dyDescent="0.25">
      <c r="A60">
        <v>57</v>
      </c>
      <c r="B60" s="6">
        <v>134.25</v>
      </c>
      <c r="C60" s="39">
        <f t="shared" si="0"/>
        <v>128.94</v>
      </c>
      <c r="D60" s="39">
        <f t="shared" si="1"/>
        <v>11.946666666666658</v>
      </c>
      <c r="E60" s="39">
        <f t="shared" si="2"/>
        <v>8.9570370370370398</v>
      </c>
      <c r="F60">
        <f t="shared" si="3"/>
        <v>107.00673580246909</v>
      </c>
      <c r="G60">
        <f t="shared" si="4"/>
        <v>142.72284444444423</v>
      </c>
      <c r="H60">
        <f t="shared" si="5"/>
        <v>80.228512482853276</v>
      </c>
    </row>
    <row r="61" spans="1:8" x14ac:dyDescent="0.25">
      <c r="A61">
        <v>58</v>
      </c>
      <c r="B61" s="6">
        <v>136.06</v>
      </c>
      <c r="C61" s="39">
        <f t="shared" si="0"/>
        <v>129.30000000000001</v>
      </c>
      <c r="D61" s="39">
        <f t="shared" si="1"/>
        <v>13.756666666666661</v>
      </c>
      <c r="E61" s="39">
        <f t="shared" si="2"/>
        <v>9.3170370370370534</v>
      </c>
      <c r="F61">
        <f t="shared" si="3"/>
        <v>128.17137283950635</v>
      </c>
      <c r="G61">
        <f t="shared" si="4"/>
        <v>189.24587777777762</v>
      </c>
      <c r="H61">
        <f t="shared" si="5"/>
        <v>86.807179149520195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6479.08</v>
      </c>
      <c r="D62" s="39">
        <f t="shared" si="6"/>
        <v>-4.2632564145606011E-13</v>
      </c>
      <c r="E62" s="39">
        <f t="shared" si="6"/>
        <v>2.1316282072803006E-13</v>
      </c>
      <c r="F62" s="39">
        <f t="shared" si="6"/>
        <v>7282.3514666666679</v>
      </c>
      <c r="G62" s="39">
        <f t="shared" si="6"/>
        <v>8204.985200000001</v>
      </c>
      <c r="H62" s="39">
        <f t="shared" si="6"/>
        <v>9017.0089259259275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119.98296296296296</v>
      </c>
    </row>
    <row r="65" spans="1:2" ht="18" x14ac:dyDescent="0.35">
      <c r="A65" t="s">
        <v>105</v>
      </c>
      <c r="B65">
        <f>SUM(B8:B61)/54</f>
        <v>122.30333333333334</v>
      </c>
    </row>
    <row r="66" spans="1:2" ht="18" x14ac:dyDescent="0.35">
      <c r="A66" t="s">
        <v>106</v>
      </c>
      <c r="B66" s="39">
        <f>SUM(C8:C61)/54</f>
        <v>119.98296296296296</v>
      </c>
    </row>
    <row r="68" spans="1:2" ht="18" x14ac:dyDescent="0.35">
      <c r="A68" t="s">
        <v>107</v>
      </c>
      <c r="B68">
        <f>F62/SQRT(G62*H62)</f>
        <v>0.84664526639164617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61" workbookViewId="0">
      <selection activeCell="D73" sqref="D73"/>
    </sheetView>
  </sheetViews>
  <sheetFormatPr defaultRowHeight="15" x14ac:dyDescent="0.25"/>
  <cols>
    <col min="6" max="6" width="15.7109375" customWidth="1"/>
  </cols>
  <sheetData>
    <row r="2" spans="1:8" x14ac:dyDescent="0.25">
      <c r="A2" s="34">
        <v>1</v>
      </c>
      <c r="B2" s="34">
        <v>2</v>
      </c>
      <c r="C2" s="34">
        <v>3</v>
      </c>
      <c r="D2" s="34">
        <v>4</v>
      </c>
      <c r="E2" s="34">
        <v>5</v>
      </c>
      <c r="F2" s="34">
        <v>6</v>
      </c>
      <c r="G2" s="34">
        <v>7</v>
      </c>
      <c r="H2" s="34">
        <v>8</v>
      </c>
    </row>
    <row r="3" spans="1:8" ht="18" x14ac:dyDescent="0.25">
      <c r="A3" s="35" t="s">
        <v>67</v>
      </c>
      <c r="B3" s="35" t="s">
        <v>68</v>
      </c>
      <c r="C3" s="36" t="s">
        <v>111</v>
      </c>
      <c r="D3" s="36" t="s">
        <v>112</v>
      </c>
      <c r="E3" s="36" t="s">
        <v>113</v>
      </c>
      <c r="F3" s="37" t="s">
        <v>114</v>
      </c>
      <c r="G3" s="36" t="s">
        <v>115</v>
      </c>
      <c r="H3" s="36" t="s">
        <v>116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39">
        <f>B4</f>
        <v>102.32</v>
      </c>
      <c r="D9" s="39">
        <f>B9-$B$65</f>
        <v>-18.326037735849084</v>
      </c>
      <c r="E9" s="39">
        <f>C9-$B$66</f>
        <v>-17.487169811320754</v>
      </c>
      <c r="F9">
        <f>D9*E9</f>
        <v>320.47053385546508</v>
      </c>
      <c r="G9">
        <f>D9*D9</f>
        <v>335.84365909576462</v>
      </c>
      <c r="H9">
        <f>E9*E9</f>
        <v>305.80110800996795</v>
      </c>
    </row>
    <row r="10" spans="1:8" x14ac:dyDescent="0.25">
      <c r="A10">
        <v>7</v>
      </c>
      <c r="B10" s="6">
        <v>107.57</v>
      </c>
      <c r="C10" s="39">
        <f t="shared" ref="C10:C61" si="0">B5</f>
        <v>102.21</v>
      </c>
      <c r="D10" s="39">
        <f t="shared" ref="D10:D61" si="1">B10-$B$65</f>
        <v>-15.106037735849085</v>
      </c>
      <c r="E10" s="39">
        <f t="shared" ref="E10:E61" si="2">C10-$B$66</f>
        <v>-17.597169811320754</v>
      </c>
      <c r="F10">
        <f t="shared" ref="F10:F61" si="3">D10*E10</f>
        <v>265.82351121395561</v>
      </c>
      <c r="G10">
        <f t="shared" ref="G10:G61" si="4">D10*D10</f>
        <v>228.19237607689655</v>
      </c>
      <c r="H10">
        <f t="shared" ref="H10:H61" si="5">E10*E10</f>
        <v>309.66038536845849</v>
      </c>
    </row>
    <row r="11" spans="1:8" x14ac:dyDescent="0.25">
      <c r="A11">
        <v>8</v>
      </c>
      <c r="B11" s="6">
        <v>111.96</v>
      </c>
      <c r="C11" s="39">
        <f t="shared" si="0"/>
        <v>102.16</v>
      </c>
      <c r="D11" s="39">
        <f t="shared" si="1"/>
        <v>-10.716037735849085</v>
      </c>
      <c r="E11" s="39">
        <f t="shared" si="2"/>
        <v>-17.647169811320751</v>
      </c>
      <c r="F11">
        <f t="shared" si="3"/>
        <v>189.10773762904995</v>
      </c>
      <c r="G11">
        <f t="shared" si="4"/>
        <v>114.83346475614158</v>
      </c>
      <c r="H11">
        <f t="shared" si="5"/>
        <v>311.42260234959048</v>
      </c>
    </row>
    <row r="12" spans="1:8" x14ac:dyDescent="0.25">
      <c r="A12">
        <v>9</v>
      </c>
      <c r="B12" s="6">
        <v>115.27</v>
      </c>
      <c r="C12" s="39">
        <f t="shared" si="0"/>
        <v>102.06</v>
      </c>
      <c r="D12" s="39">
        <f t="shared" si="1"/>
        <v>-7.4060377358490825</v>
      </c>
      <c r="E12" s="39">
        <f t="shared" si="2"/>
        <v>-17.747169811320745</v>
      </c>
      <c r="F12">
        <f t="shared" si="3"/>
        <v>131.43620932716308</v>
      </c>
      <c r="G12">
        <f t="shared" si="4"/>
        <v>54.849394944820602</v>
      </c>
      <c r="H12">
        <f t="shared" si="5"/>
        <v>314.96203631185443</v>
      </c>
    </row>
    <row r="13" spans="1:8" x14ac:dyDescent="0.25">
      <c r="A13">
        <v>10</v>
      </c>
      <c r="B13" s="6">
        <v>117.17</v>
      </c>
      <c r="C13" s="39">
        <f t="shared" si="0"/>
        <v>102.55</v>
      </c>
      <c r="D13" s="39">
        <f t="shared" si="1"/>
        <v>-5.5060377358490769</v>
      </c>
      <c r="E13" s="39">
        <f t="shared" si="2"/>
        <v>-17.25716981132075</v>
      </c>
      <c r="F13">
        <f t="shared" si="3"/>
        <v>95.018628195087544</v>
      </c>
      <c r="G13">
        <f t="shared" si="4"/>
        <v>30.316451548594028</v>
      </c>
      <c r="H13">
        <f t="shared" si="5"/>
        <v>297.80990989676025</v>
      </c>
    </row>
    <row r="14" spans="1:8" x14ac:dyDescent="0.25">
      <c r="A14">
        <v>11</v>
      </c>
      <c r="B14" s="6">
        <v>117.61</v>
      </c>
      <c r="C14" s="39">
        <f t="shared" si="0"/>
        <v>104.35</v>
      </c>
      <c r="D14" s="39">
        <f t="shared" si="1"/>
        <v>-5.0660377358490791</v>
      </c>
      <c r="E14" s="39">
        <f t="shared" si="2"/>
        <v>-15.457169811320753</v>
      </c>
      <c r="F14">
        <f t="shared" si="3"/>
        <v>78.306605553578123</v>
      </c>
      <c r="G14">
        <f t="shared" si="4"/>
        <v>25.664738341046863</v>
      </c>
      <c r="H14">
        <f t="shared" si="5"/>
        <v>238.92409857600566</v>
      </c>
    </row>
    <row r="15" spans="1:8" x14ac:dyDescent="0.25">
      <c r="A15">
        <v>12</v>
      </c>
      <c r="B15" s="6">
        <v>117.26</v>
      </c>
      <c r="C15" s="39">
        <f t="shared" si="0"/>
        <v>107.57</v>
      </c>
      <c r="D15" s="39">
        <f t="shared" si="1"/>
        <v>-5.4160377358490734</v>
      </c>
      <c r="E15" s="39">
        <f t="shared" si="2"/>
        <v>-12.237169811320754</v>
      </c>
      <c r="F15">
        <f t="shared" si="3"/>
        <v>66.276973478106285</v>
      </c>
      <c r="G15">
        <f t="shared" si="4"/>
        <v>29.333464756141158</v>
      </c>
      <c r="H15">
        <f t="shared" si="5"/>
        <v>149.74832499110002</v>
      </c>
    </row>
    <row r="16" spans="1:8" x14ac:dyDescent="0.25">
      <c r="A16">
        <v>13</v>
      </c>
      <c r="B16" s="6">
        <v>115.88</v>
      </c>
      <c r="C16" s="39">
        <f t="shared" si="0"/>
        <v>111.96</v>
      </c>
      <c r="D16" s="39">
        <f t="shared" si="1"/>
        <v>-6.7960377358490831</v>
      </c>
      <c r="E16" s="39">
        <f t="shared" si="2"/>
        <v>-7.8471698113207538</v>
      </c>
      <c r="F16">
        <f t="shared" si="3"/>
        <v>53.329662157351571</v>
      </c>
      <c r="G16">
        <f t="shared" si="4"/>
        <v>46.186128907084729</v>
      </c>
      <c r="H16">
        <f t="shared" si="5"/>
        <v>61.578074047703794</v>
      </c>
    </row>
    <row r="17" spans="1:8" x14ac:dyDescent="0.25">
      <c r="A17">
        <v>14</v>
      </c>
      <c r="B17" s="6">
        <v>113.35</v>
      </c>
      <c r="C17" s="39">
        <f t="shared" si="0"/>
        <v>115.27</v>
      </c>
      <c r="D17" s="39">
        <f t="shared" si="1"/>
        <v>-9.3260377358490842</v>
      </c>
      <c r="E17" s="39">
        <f t="shared" si="2"/>
        <v>-4.5371698113207515</v>
      </c>
      <c r="F17">
        <f t="shared" si="3"/>
        <v>42.313816874332595</v>
      </c>
      <c r="G17">
        <f t="shared" si="4"/>
        <v>86.97497985048112</v>
      </c>
      <c r="H17">
        <f t="shared" si="5"/>
        <v>20.585909896760384</v>
      </c>
    </row>
    <row r="18" spans="1:8" x14ac:dyDescent="0.25">
      <c r="A18">
        <v>15</v>
      </c>
      <c r="B18" s="6">
        <v>111.39</v>
      </c>
      <c r="C18" s="39">
        <f t="shared" si="0"/>
        <v>117.17</v>
      </c>
      <c r="D18" s="39">
        <f t="shared" si="1"/>
        <v>-11.286037735849078</v>
      </c>
      <c r="E18" s="39">
        <f t="shared" si="2"/>
        <v>-2.6371698113207458</v>
      </c>
      <c r="F18">
        <f t="shared" si="3"/>
        <v>29.763198006407929</v>
      </c>
      <c r="G18">
        <f t="shared" si="4"/>
        <v>127.37464777500938</v>
      </c>
      <c r="H18">
        <f t="shared" si="5"/>
        <v>6.9546646137414978</v>
      </c>
    </row>
    <row r="19" spans="1:8" x14ac:dyDescent="0.25">
      <c r="A19">
        <v>16</v>
      </c>
      <c r="B19" s="6">
        <v>109.76</v>
      </c>
      <c r="C19" s="39">
        <f t="shared" si="0"/>
        <v>117.61</v>
      </c>
      <c r="D19" s="39">
        <f t="shared" si="1"/>
        <v>-12.916037735849073</v>
      </c>
      <c r="E19" s="39">
        <f t="shared" si="2"/>
        <v>-2.1971698113207481</v>
      </c>
      <c r="F19">
        <f t="shared" si="3"/>
        <v>28.37872819508717</v>
      </c>
      <c r="G19">
        <f t="shared" si="4"/>
        <v>166.82403079387726</v>
      </c>
      <c r="H19">
        <f t="shared" si="5"/>
        <v>4.8275551797792513</v>
      </c>
    </row>
    <row r="20" spans="1:8" x14ac:dyDescent="0.25">
      <c r="A20">
        <v>17</v>
      </c>
      <c r="B20" s="6">
        <v>109.5</v>
      </c>
      <c r="C20" s="39">
        <f t="shared" si="0"/>
        <v>117.26</v>
      </c>
      <c r="D20" s="39">
        <f t="shared" si="1"/>
        <v>-13.176037735849079</v>
      </c>
      <c r="E20" s="39">
        <f t="shared" si="2"/>
        <v>-2.5471698113207424</v>
      </c>
      <c r="F20">
        <f t="shared" si="3"/>
        <v>33.561605553577678</v>
      </c>
      <c r="G20">
        <f t="shared" si="4"/>
        <v>173.60797041651892</v>
      </c>
      <c r="H20">
        <f t="shared" si="5"/>
        <v>6.488074047703746</v>
      </c>
    </row>
    <row r="21" spans="1:8" x14ac:dyDescent="0.25">
      <c r="A21">
        <v>18</v>
      </c>
      <c r="B21" s="6">
        <v>108.86</v>
      </c>
      <c r="C21" s="39">
        <f t="shared" si="0"/>
        <v>115.88</v>
      </c>
      <c r="D21" s="39">
        <f t="shared" si="1"/>
        <v>-13.816037735849079</v>
      </c>
      <c r="E21" s="39">
        <f t="shared" si="2"/>
        <v>-3.927169811320752</v>
      </c>
      <c r="F21">
        <f t="shared" si="3"/>
        <v>54.25792630829482</v>
      </c>
      <c r="G21">
        <f t="shared" si="4"/>
        <v>190.88289871840576</v>
      </c>
      <c r="H21">
        <f t="shared" si="5"/>
        <v>15.422662726949071</v>
      </c>
    </row>
    <row r="22" spans="1:8" x14ac:dyDescent="0.25">
      <c r="A22">
        <v>19</v>
      </c>
      <c r="B22" s="6">
        <v>108.49</v>
      </c>
      <c r="C22" s="39">
        <f t="shared" si="0"/>
        <v>113.35</v>
      </c>
      <c r="D22" s="39">
        <f t="shared" si="1"/>
        <v>-14.186037735849084</v>
      </c>
      <c r="E22" s="39">
        <f t="shared" si="2"/>
        <v>-6.4571698113207532</v>
      </c>
      <c r="F22">
        <f t="shared" si="3"/>
        <v>91.601654610181711</v>
      </c>
      <c r="G22">
        <f t="shared" si="4"/>
        <v>201.24366664293419</v>
      </c>
      <c r="H22">
        <f t="shared" si="5"/>
        <v>41.69504197223209</v>
      </c>
    </row>
    <row r="23" spans="1:8" x14ac:dyDescent="0.25">
      <c r="A23">
        <v>20</v>
      </c>
      <c r="B23" s="6">
        <v>108.36</v>
      </c>
      <c r="C23" s="39">
        <f t="shared" si="0"/>
        <v>111.39</v>
      </c>
      <c r="D23" s="39">
        <f t="shared" si="1"/>
        <v>-14.316037735849079</v>
      </c>
      <c r="E23" s="39">
        <f t="shared" si="2"/>
        <v>-8.4171698113207469</v>
      </c>
      <c r="F23">
        <f t="shared" si="3"/>
        <v>120.50052064791748</v>
      </c>
      <c r="G23">
        <f t="shared" si="4"/>
        <v>204.94893645425483</v>
      </c>
      <c r="H23">
        <f t="shared" si="5"/>
        <v>70.848747632609332</v>
      </c>
    </row>
    <row r="24" spans="1:8" x14ac:dyDescent="0.25">
      <c r="A24">
        <v>21</v>
      </c>
      <c r="B24" s="6">
        <v>108.19</v>
      </c>
      <c r="C24" s="39">
        <f t="shared" si="0"/>
        <v>109.76</v>
      </c>
      <c r="D24" s="39">
        <f t="shared" si="1"/>
        <v>-14.486037735849081</v>
      </c>
      <c r="E24" s="39">
        <f t="shared" si="2"/>
        <v>-10.047169811320742</v>
      </c>
      <c r="F24">
        <f t="shared" si="3"/>
        <v>145.54368102527596</v>
      </c>
      <c r="G24">
        <f t="shared" si="4"/>
        <v>209.84528928444357</v>
      </c>
      <c r="H24">
        <f t="shared" si="5"/>
        <v>100.94562121751488</v>
      </c>
    </row>
    <row r="25" spans="1:8" x14ac:dyDescent="0.25">
      <c r="A25">
        <v>22</v>
      </c>
      <c r="B25" s="6">
        <v>107.8</v>
      </c>
      <c r="C25" s="39">
        <f t="shared" si="0"/>
        <v>109.5</v>
      </c>
      <c r="D25" s="39">
        <f t="shared" si="1"/>
        <v>-14.876037735849081</v>
      </c>
      <c r="E25" s="39">
        <f t="shared" si="2"/>
        <v>-10.307169811320747</v>
      </c>
      <c r="F25">
        <f t="shared" si="3"/>
        <v>153.3298470630119</v>
      </c>
      <c r="G25">
        <f t="shared" si="4"/>
        <v>221.29649871840587</v>
      </c>
      <c r="H25">
        <f t="shared" si="5"/>
        <v>106.23774951940177</v>
      </c>
    </row>
    <row r="26" spans="1:8" x14ac:dyDescent="0.25">
      <c r="A26">
        <v>23</v>
      </c>
      <c r="B26" s="6">
        <v>107.47</v>
      </c>
      <c r="C26" s="39">
        <f t="shared" si="0"/>
        <v>108.86</v>
      </c>
      <c r="D26" s="39">
        <f t="shared" si="1"/>
        <v>-15.20603773584908</v>
      </c>
      <c r="E26" s="39">
        <f t="shared" si="2"/>
        <v>-10.947169811320748</v>
      </c>
      <c r="F26">
        <f t="shared" si="3"/>
        <v>166.46307725169115</v>
      </c>
      <c r="G26">
        <f t="shared" si="4"/>
        <v>231.22358362406621</v>
      </c>
      <c r="H26">
        <f t="shared" si="5"/>
        <v>119.84052687789234</v>
      </c>
    </row>
    <row r="27" spans="1:8" x14ac:dyDescent="0.25">
      <c r="A27">
        <v>24</v>
      </c>
      <c r="B27" s="6">
        <v>107.03</v>
      </c>
      <c r="C27" s="39">
        <f t="shared" si="0"/>
        <v>108.49</v>
      </c>
      <c r="D27" s="39">
        <f t="shared" si="1"/>
        <v>-15.646037735849077</v>
      </c>
      <c r="E27" s="39">
        <f t="shared" si="2"/>
        <v>-11.317169811320753</v>
      </c>
      <c r="F27">
        <f t="shared" si="3"/>
        <v>177.06886593093648</v>
      </c>
      <c r="G27">
        <f t="shared" si="4"/>
        <v>244.79849683161333</v>
      </c>
      <c r="H27">
        <f t="shared" si="5"/>
        <v>128.07833253826979</v>
      </c>
    </row>
    <row r="28" spans="1:8" x14ac:dyDescent="0.25">
      <c r="A28">
        <v>25</v>
      </c>
      <c r="B28" s="6">
        <v>106.61</v>
      </c>
      <c r="C28" s="39">
        <f t="shared" si="0"/>
        <v>108.36</v>
      </c>
      <c r="D28" s="39">
        <f t="shared" si="1"/>
        <v>-16.066037735849079</v>
      </c>
      <c r="E28" s="39">
        <f t="shared" si="2"/>
        <v>-11.447169811320748</v>
      </c>
      <c r="F28">
        <f t="shared" si="3"/>
        <v>183.91066215735151</v>
      </c>
      <c r="G28">
        <f t="shared" si="4"/>
        <v>258.11756852972661</v>
      </c>
      <c r="H28">
        <f t="shared" si="5"/>
        <v>131.03769668921308</v>
      </c>
    </row>
    <row r="29" spans="1:8" x14ac:dyDescent="0.25">
      <c r="A29">
        <v>26</v>
      </c>
      <c r="B29" s="6">
        <v>106.57</v>
      </c>
      <c r="C29" s="39">
        <f t="shared" si="0"/>
        <v>108.19</v>
      </c>
      <c r="D29" s="39">
        <f t="shared" si="1"/>
        <v>-16.106037735849085</v>
      </c>
      <c r="E29" s="39">
        <f t="shared" si="2"/>
        <v>-11.61716981132075</v>
      </c>
      <c r="F29">
        <f t="shared" si="3"/>
        <v>187.10657536489879</v>
      </c>
      <c r="G29">
        <f t="shared" si="4"/>
        <v>259.40445154859475</v>
      </c>
      <c r="H29">
        <f t="shared" si="5"/>
        <v>134.95863442506217</v>
      </c>
    </row>
    <row r="30" spans="1:8" x14ac:dyDescent="0.25">
      <c r="A30">
        <v>27</v>
      </c>
      <c r="B30" s="6">
        <v>106.49</v>
      </c>
      <c r="C30" s="39">
        <f t="shared" si="0"/>
        <v>107.8</v>
      </c>
      <c r="D30" s="39">
        <f t="shared" si="1"/>
        <v>-16.186037735849084</v>
      </c>
      <c r="E30" s="39">
        <f t="shared" si="2"/>
        <v>-12.00716981132075</v>
      </c>
      <c r="F30">
        <f t="shared" si="3"/>
        <v>194.34850366678558</v>
      </c>
      <c r="G30">
        <f t="shared" si="4"/>
        <v>261.98781758633055</v>
      </c>
      <c r="H30">
        <f t="shared" si="5"/>
        <v>144.1721268778924</v>
      </c>
    </row>
    <row r="31" spans="1:8" x14ac:dyDescent="0.25">
      <c r="A31">
        <v>28</v>
      </c>
      <c r="B31" s="6">
        <v>107.04</v>
      </c>
      <c r="C31" s="39">
        <f t="shared" si="0"/>
        <v>107.47</v>
      </c>
      <c r="D31" s="39">
        <f t="shared" si="1"/>
        <v>-15.636037735849072</v>
      </c>
      <c r="E31" s="39">
        <f t="shared" si="2"/>
        <v>-12.337169811320749</v>
      </c>
      <c r="F31">
        <f t="shared" si="3"/>
        <v>192.9044527233892</v>
      </c>
      <c r="G31">
        <f t="shared" si="4"/>
        <v>244.4856760768962</v>
      </c>
      <c r="H31">
        <f t="shared" si="5"/>
        <v>152.20575895336404</v>
      </c>
    </row>
    <row r="32" spans="1:8" x14ac:dyDescent="0.25">
      <c r="A32">
        <v>29</v>
      </c>
      <c r="B32" s="6">
        <v>111.35</v>
      </c>
      <c r="C32" s="39">
        <f t="shared" si="0"/>
        <v>107.03</v>
      </c>
      <c r="D32" s="39">
        <f t="shared" si="1"/>
        <v>-11.326037735849084</v>
      </c>
      <c r="E32" s="39">
        <f t="shared" si="2"/>
        <v>-12.777169811320746</v>
      </c>
      <c r="F32">
        <f t="shared" si="3"/>
        <v>144.71470744037049</v>
      </c>
      <c r="G32">
        <f t="shared" si="4"/>
        <v>128.27913079387744</v>
      </c>
      <c r="H32">
        <f t="shared" si="5"/>
        <v>163.25606838732622</v>
      </c>
    </row>
    <row r="33" spans="1:8" x14ac:dyDescent="0.25">
      <c r="A33">
        <v>30</v>
      </c>
      <c r="B33" s="6">
        <v>117.54</v>
      </c>
      <c r="C33" s="39">
        <f t="shared" si="0"/>
        <v>106.61</v>
      </c>
      <c r="D33" s="39">
        <f t="shared" si="1"/>
        <v>-5.1360377358490723</v>
      </c>
      <c r="E33" s="39">
        <f t="shared" si="2"/>
        <v>-13.197169811320748</v>
      </c>
      <c r="F33">
        <f t="shared" si="3"/>
        <v>67.781162157351545</v>
      </c>
      <c r="G33">
        <f t="shared" si="4"/>
        <v>26.378883624065665</v>
      </c>
      <c r="H33">
        <f t="shared" si="5"/>
        <v>174.1652910288357</v>
      </c>
    </row>
    <row r="34" spans="1:8" x14ac:dyDescent="0.25">
      <c r="A34">
        <v>31</v>
      </c>
      <c r="B34" s="6">
        <v>122.58</v>
      </c>
      <c r="C34" s="39">
        <f t="shared" si="0"/>
        <v>106.57</v>
      </c>
      <c r="D34" s="39">
        <f t="shared" si="1"/>
        <v>-9.6037735849080264E-2</v>
      </c>
      <c r="E34" s="39">
        <f t="shared" si="2"/>
        <v>-13.237169811320754</v>
      </c>
      <c r="F34">
        <f t="shared" si="3"/>
        <v>1.2712678177290422</v>
      </c>
      <c r="G34">
        <f t="shared" si="4"/>
        <v>9.2232467070177161E-3</v>
      </c>
      <c r="H34">
        <f t="shared" si="5"/>
        <v>175.22266461374153</v>
      </c>
    </row>
    <row r="35" spans="1:8" x14ac:dyDescent="0.25">
      <c r="A35">
        <v>32</v>
      </c>
      <c r="B35" s="6">
        <v>128.16</v>
      </c>
      <c r="C35" s="39">
        <f t="shared" si="0"/>
        <v>106.49</v>
      </c>
      <c r="D35" s="39">
        <f t="shared" si="1"/>
        <v>5.483962264150918</v>
      </c>
      <c r="E35" s="39">
        <f t="shared" si="2"/>
        <v>-13.317169811320753</v>
      </c>
      <c r="F35">
        <f t="shared" si="3"/>
        <v>-73.030856710572806</v>
      </c>
      <c r="G35">
        <f t="shared" si="4"/>
        <v>30.073842114631262</v>
      </c>
      <c r="H35">
        <f t="shared" si="5"/>
        <v>177.3470117835528</v>
      </c>
    </row>
    <row r="36" spans="1:8" x14ac:dyDescent="0.25">
      <c r="A36">
        <v>33</v>
      </c>
      <c r="B36" s="6">
        <v>132.86000000000001</v>
      </c>
      <c r="C36" s="39">
        <f t="shared" si="0"/>
        <v>107.04</v>
      </c>
      <c r="D36" s="39">
        <f t="shared" si="1"/>
        <v>10.183962264150935</v>
      </c>
      <c r="E36" s="39">
        <f t="shared" si="2"/>
        <v>-12.767169811320741</v>
      </c>
      <c r="F36">
        <f t="shared" si="3"/>
        <v>-130.02037557849744</v>
      </c>
      <c r="G36">
        <f t="shared" si="4"/>
        <v>103.71308739765024</v>
      </c>
      <c r="H36">
        <f t="shared" si="5"/>
        <v>163.0006249910997</v>
      </c>
    </row>
    <row r="37" spans="1:8" x14ac:dyDescent="0.25">
      <c r="A37">
        <v>34</v>
      </c>
      <c r="B37" s="6">
        <v>134.91999999999999</v>
      </c>
      <c r="C37" s="39">
        <f t="shared" si="0"/>
        <v>111.35</v>
      </c>
      <c r="D37" s="39">
        <f t="shared" si="1"/>
        <v>12.243962264150909</v>
      </c>
      <c r="E37" s="39">
        <f t="shared" si="2"/>
        <v>-8.4571698113207532</v>
      </c>
      <c r="F37">
        <f t="shared" si="3"/>
        <v>-103.54926803132757</v>
      </c>
      <c r="G37">
        <f t="shared" si="4"/>
        <v>149.91461192595145</v>
      </c>
      <c r="H37">
        <f t="shared" si="5"/>
        <v>71.523721217515103</v>
      </c>
    </row>
    <row r="38" spans="1:8" x14ac:dyDescent="0.25">
      <c r="A38">
        <v>35</v>
      </c>
      <c r="B38" s="6">
        <v>135.69999999999999</v>
      </c>
      <c r="C38" s="39">
        <f t="shared" si="0"/>
        <v>117.54</v>
      </c>
      <c r="D38" s="39">
        <f t="shared" si="1"/>
        <v>13.02396226415091</v>
      </c>
      <c r="E38" s="39">
        <f t="shared" si="2"/>
        <v>-2.2671698113207412</v>
      </c>
      <c r="F38">
        <f t="shared" si="3"/>
        <v>-29.527534069063474</v>
      </c>
      <c r="G38">
        <f t="shared" si="4"/>
        <v>169.6235930580269</v>
      </c>
      <c r="H38">
        <f t="shared" si="5"/>
        <v>5.1400589533641252</v>
      </c>
    </row>
    <row r="39" spans="1:8" x14ac:dyDescent="0.25">
      <c r="A39">
        <v>36</v>
      </c>
      <c r="B39" s="6">
        <v>136.13999999999999</v>
      </c>
      <c r="C39" s="39">
        <f t="shared" si="0"/>
        <v>122.58</v>
      </c>
      <c r="D39" s="39">
        <f t="shared" si="1"/>
        <v>13.463962264150908</v>
      </c>
      <c r="E39" s="39">
        <f t="shared" si="2"/>
        <v>2.7728301886792508</v>
      </c>
      <c r="F39">
        <f t="shared" si="3"/>
        <v>37.333281025275873</v>
      </c>
      <c r="G39">
        <f t="shared" si="4"/>
        <v>181.27827985047963</v>
      </c>
      <c r="H39">
        <f t="shared" si="5"/>
        <v>7.6885872552510097</v>
      </c>
    </row>
    <row r="40" spans="1:8" x14ac:dyDescent="0.25">
      <c r="A40">
        <v>37</v>
      </c>
      <c r="B40" s="6">
        <v>140.15</v>
      </c>
      <c r="C40" s="39">
        <f t="shared" si="0"/>
        <v>128.16</v>
      </c>
      <c r="D40" s="39">
        <f t="shared" si="1"/>
        <v>17.473962264150927</v>
      </c>
      <c r="E40" s="39">
        <f t="shared" si="2"/>
        <v>8.3528301886792491</v>
      </c>
      <c r="F40">
        <f t="shared" si="3"/>
        <v>145.95703951584187</v>
      </c>
      <c r="G40">
        <f t="shared" si="4"/>
        <v>305.33935720897057</v>
      </c>
      <c r="H40">
        <f t="shared" si="5"/>
        <v>69.769772160911415</v>
      </c>
    </row>
    <row r="41" spans="1:8" x14ac:dyDescent="0.25">
      <c r="A41">
        <v>38</v>
      </c>
      <c r="B41" s="6">
        <v>140.09</v>
      </c>
      <c r="C41" s="39">
        <f t="shared" si="0"/>
        <v>132.86000000000001</v>
      </c>
      <c r="D41" s="39">
        <f t="shared" si="1"/>
        <v>17.413962264150925</v>
      </c>
      <c r="E41" s="39">
        <f t="shared" si="2"/>
        <v>13.052830188679266</v>
      </c>
      <c r="F41">
        <f t="shared" si="3"/>
        <v>227.30149234603073</v>
      </c>
      <c r="G41">
        <f t="shared" si="4"/>
        <v>303.24608173727239</v>
      </c>
      <c r="H41">
        <f t="shared" si="5"/>
        <v>170.37637593449682</v>
      </c>
    </row>
    <row r="42" spans="1:8" x14ac:dyDescent="0.25">
      <c r="A42">
        <v>39</v>
      </c>
      <c r="B42" s="6">
        <v>139.1</v>
      </c>
      <c r="C42" s="39">
        <f t="shared" si="0"/>
        <v>134.91999999999999</v>
      </c>
      <c r="D42" s="39">
        <f t="shared" si="1"/>
        <v>16.423962264150916</v>
      </c>
      <c r="E42" s="39">
        <f t="shared" si="2"/>
        <v>15.11283018867924</v>
      </c>
      <c r="F42">
        <f t="shared" si="3"/>
        <v>248.2125527233886</v>
      </c>
      <c r="G42">
        <f t="shared" si="4"/>
        <v>269.74653645425326</v>
      </c>
      <c r="H42">
        <f t="shared" si="5"/>
        <v>228.3976363118546</v>
      </c>
    </row>
    <row r="43" spans="1:8" x14ac:dyDescent="0.25">
      <c r="A43">
        <v>40</v>
      </c>
      <c r="B43" s="6">
        <v>137.5</v>
      </c>
      <c r="C43" s="39">
        <f t="shared" si="0"/>
        <v>135.69999999999999</v>
      </c>
      <c r="D43" s="39">
        <f t="shared" si="1"/>
        <v>14.823962264150921</v>
      </c>
      <c r="E43" s="39">
        <f t="shared" si="2"/>
        <v>15.892830188679241</v>
      </c>
      <c r="F43">
        <f t="shared" si="3"/>
        <v>235.59471498753965</v>
      </c>
      <c r="G43">
        <f t="shared" si="4"/>
        <v>219.74985720897052</v>
      </c>
      <c r="H43">
        <f t="shared" si="5"/>
        <v>252.58205140619424</v>
      </c>
    </row>
    <row r="44" spans="1:8" x14ac:dyDescent="0.25">
      <c r="A44">
        <v>41</v>
      </c>
      <c r="B44" s="6">
        <v>136.12</v>
      </c>
      <c r="C44" s="39">
        <f t="shared" si="0"/>
        <v>136.13999999999999</v>
      </c>
      <c r="D44" s="39">
        <f t="shared" si="1"/>
        <v>13.443962264150926</v>
      </c>
      <c r="E44" s="39">
        <f t="shared" si="2"/>
        <v>16.332830188679239</v>
      </c>
      <c r="F44">
        <f t="shared" si="3"/>
        <v>219.57795272338873</v>
      </c>
      <c r="G44">
        <f t="shared" si="4"/>
        <v>180.7401213599141</v>
      </c>
      <c r="H44">
        <f t="shared" si="5"/>
        <v>266.76134197223189</v>
      </c>
    </row>
    <row r="45" spans="1:8" x14ac:dyDescent="0.25">
      <c r="A45">
        <v>42</v>
      </c>
      <c r="B45" s="6">
        <v>135.22</v>
      </c>
      <c r="C45" s="39">
        <f t="shared" si="0"/>
        <v>140.15</v>
      </c>
      <c r="D45" s="39">
        <f t="shared" si="1"/>
        <v>12.54396226415092</v>
      </c>
      <c r="E45" s="39">
        <f t="shared" si="2"/>
        <v>20.342830188679258</v>
      </c>
      <c r="F45">
        <f t="shared" si="3"/>
        <v>255.17969423282275</v>
      </c>
      <c r="G45">
        <f t="shared" si="4"/>
        <v>157.35098928444228</v>
      </c>
      <c r="H45">
        <f t="shared" si="5"/>
        <v>413.8307400854402</v>
      </c>
    </row>
    <row r="46" spans="1:8" x14ac:dyDescent="0.25">
      <c r="A46">
        <v>43</v>
      </c>
      <c r="B46" s="6">
        <v>134.72999999999999</v>
      </c>
      <c r="C46" s="39">
        <f t="shared" si="0"/>
        <v>140.09</v>
      </c>
      <c r="D46" s="39">
        <f t="shared" si="1"/>
        <v>12.053962264150911</v>
      </c>
      <c r="E46" s="39">
        <f t="shared" si="2"/>
        <v>20.282830188679256</v>
      </c>
      <c r="F46">
        <f t="shared" si="3"/>
        <v>244.48846970452067</v>
      </c>
      <c r="G46">
        <f t="shared" si="4"/>
        <v>145.29800626557417</v>
      </c>
      <c r="H46">
        <f t="shared" si="5"/>
        <v>411.39320046279857</v>
      </c>
    </row>
    <row r="47" spans="1:8" x14ac:dyDescent="0.25">
      <c r="A47">
        <v>44</v>
      </c>
      <c r="B47" s="6">
        <v>134.38999999999999</v>
      </c>
      <c r="C47" s="39">
        <f t="shared" si="0"/>
        <v>139.1</v>
      </c>
      <c r="D47" s="39">
        <f t="shared" si="1"/>
        <v>11.713962264150908</v>
      </c>
      <c r="E47" s="39">
        <f t="shared" si="2"/>
        <v>19.292830188679247</v>
      </c>
      <c r="F47">
        <f t="shared" si="3"/>
        <v>225.99548479886013</v>
      </c>
      <c r="G47">
        <f t="shared" si="4"/>
        <v>137.21691192595145</v>
      </c>
      <c r="H47">
        <f t="shared" si="5"/>
        <v>372.21329668921328</v>
      </c>
    </row>
    <row r="48" spans="1:8" x14ac:dyDescent="0.25">
      <c r="A48">
        <v>45</v>
      </c>
      <c r="B48" s="6">
        <v>134.51</v>
      </c>
      <c r="C48" s="39">
        <f t="shared" si="0"/>
        <v>137.5</v>
      </c>
      <c r="D48" s="39">
        <f t="shared" si="1"/>
        <v>11.833962264150912</v>
      </c>
      <c r="E48" s="39">
        <f t="shared" si="2"/>
        <v>17.692830188679253</v>
      </c>
      <c r="F48">
        <f t="shared" si="3"/>
        <v>209.37628479886035</v>
      </c>
      <c r="G48">
        <f t="shared" si="4"/>
        <v>140.04266286934779</v>
      </c>
      <c r="H48">
        <f t="shared" si="5"/>
        <v>313.03624008543989</v>
      </c>
    </row>
    <row r="49" spans="1:8" x14ac:dyDescent="0.25">
      <c r="A49">
        <v>46</v>
      </c>
      <c r="B49" s="6">
        <v>134.46</v>
      </c>
      <c r="C49" s="39">
        <f t="shared" si="0"/>
        <v>136.12</v>
      </c>
      <c r="D49" s="39">
        <f t="shared" si="1"/>
        <v>11.783962264150929</v>
      </c>
      <c r="E49" s="39">
        <f t="shared" si="2"/>
        <v>16.312830188679257</v>
      </c>
      <c r="F49">
        <f t="shared" si="3"/>
        <v>192.22977536489844</v>
      </c>
      <c r="G49">
        <f t="shared" si="4"/>
        <v>138.86176664293311</v>
      </c>
      <c r="H49">
        <f t="shared" si="5"/>
        <v>266.1084287646853</v>
      </c>
    </row>
    <row r="50" spans="1:8" x14ac:dyDescent="0.25">
      <c r="A50">
        <v>47</v>
      </c>
      <c r="B50" s="6">
        <v>134.27000000000001</v>
      </c>
      <c r="C50" s="39">
        <f t="shared" si="0"/>
        <v>135.22</v>
      </c>
      <c r="D50" s="39">
        <f t="shared" si="1"/>
        <v>11.593962264150932</v>
      </c>
      <c r="E50" s="39">
        <f t="shared" si="2"/>
        <v>15.412830188679251</v>
      </c>
      <c r="F50">
        <f t="shared" si="3"/>
        <v>178.69577159131353</v>
      </c>
      <c r="G50">
        <f t="shared" si="4"/>
        <v>134.41996098255581</v>
      </c>
      <c r="H50">
        <f t="shared" si="5"/>
        <v>237.55533442506248</v>
      </c>
    </row>
    <row r="51" spans="1:8" x14ac:dyDescent="0.25">
      <c r="A51">
        <v>48</v>
      </c>
      <c r="B51" s="6">
        <v>133.72999999999999</v>
      </c>
      <c r="C51" s="39">
        <f t="shared" si="0"/>
        <v>134.72999999999999</v>
      </c>
      <c r="D51" s="39">
        <f t="shared" si="1"/>
        <v>11.053962264150911</v>
      </c>
      <c r="E51" s="39">
        <f t="shared" si="2"/>
        <v>14.922830188679242</v>
      </c>
      <c r="F51">
        <f t="shared" si="3"/>
        <v>164.95640177999238</v>
      </c>
      <c r="G51">
        <f t="shared" si="4"/>
        <v>122.19008173727234</v>
      </c>
      <c r="H51">
        <f t="shared" si="5"/>
        <v>222.69086084015655</v>
      </c>
    </row>
    <row r="52" spans="1:8" x14ac:dyDescent="0.25">
      <c r="A52">
        <v>49</v>
      </c>
      <c r="B52" s="6">
        <v>132.01</v>
      </c>
      <c r="C52" s="39">
        <f t="shared" si="0"/>
        <v>134.38999999999999</v>
      </c>
      <c r="D52" s="39">
        <f t="shared" si="1"/>
        <v>9.3339622641509123</v>
      </c>
      <c r="E52" s="39">
        <f t="shared" si="2"/>
        <v>14.582830188679239</v>
      </c>
      <c r="F52">
        <f t="shared" si="3"/>
        <v>136.11558668565274</v>
      </c>
      <c r="G52">
        <f t="shared" si="4"/>
        <v>87.122851548593232</v>
      </c>
      <c r="H52">
        <f t="shared" si="5"/>
        <v>212.65893631185457</v>
      </c>
    </row>
    <row r="53" spans="1:8" x14ac:dyDescent="0.25">
      <c r="A53">
        <v>50</v>
      </c>
      <c r="B53" s="6">
        <v>130.59</v>
      </c>
      <c r="C53" s="39">
        <f t="shared" si="0"/>
        <v>134.51</v>
      </c>
      <c r="D53" s="39">
        <f t="shared" si="1"/>
        <v>7.9139622641509249</v>
      </c>
      <c r="E53" s="39">
        <f t="shared" si="2"/>
        <v>14.702830188679243</v>
      </c>
      <c r="F53">
        <f t="shared" si="3"/>
        <v>116.35764328942655</v>
      </c>
      <c r="G53">
        <f t="shared" si="4"/>
        <v>62.630798718404833</v>
      </c>
      <c r="H53">
        <f t="shared" si="5"/>
        <v>216.17321555713772</v>
      </c>
    </row>
    <row r="54" spans="1:8" x14ac:dyDescent="0.25">
      <c r="A54">
        <v>51</v>
      </c>
      <c r="B54" s="6">
        <v>130.28</v>
      </c>
      <c r="C54" s="39">
        <f t="shared" si="0"/>
        <v>134.46</v>
      </c>
      <c r="D54" s="39">
        <f t="shared" si="1"/>
        <v>7.6039622641509226</v>
      </c>
      <c r="E54" s="39">
        <f t="shared" si="2"/>
        <v>14.65283018867926</v>
      </c>
      <c r="F54">
        <f t="shared" si="3"/>
        <v>111.41956781772853</v>
      </c>
      <c r="G54">
        <f t="shared" si="4"/>
        <v>57.820242114631228</v>
      </c>
      <c r="H54">
        <f t="shared" si="5"/>
        <v>214.70543253827029</v>
      </c>
    </row>
    <row r="55" spans="1:8" x14ac:dyDescent="0.25">
      <c r="A55">
        <v>52</v>
      </c>
      <c r="B55" s="6">
        <v>129.16</v>
      </c>
      <c r="C55" s="39">
        <f t="shared" si="0"/>
        <v>134.27000000000001</v>
      </c>
      <c r="D55" s="39">
        <f t="shared" si="1"/>
        <v>6.483962264150918</v>
      </c>
      <c r="E55" s="39">
        <f t="shared" si="2"/>
        <v>14.462830188679263</v>
      </c>
      <c r="F55">
        <f t="shared" si="3"/>
        <v>93.776445176219042</v>
      </c>
      <c r="G55">
        <f t="shared" si="4"/>
        <v>42.041766642933098</v>
      </c>
      <c r="H55">
        <f t="shared" si="5"/>
        <v>209.17345706657224</v>
      </c>
    </row>
    <row r="56" spans="1:8" x14ac:dyDescent="0.25">
      <c r="A56">
        <v>53</v>
      </c>
      <c r="B56" s="6">
        <v>128.94</v>
      </c>
      <c r="C56" s="39">
        <f t="shared" si="0"/>
        <v>133.72999999999999</v>
      </c>
      <c r="D56" s="39">
        <f t="shared" si="1"/>
        <v>6.2639622641509192</v>
      </c>
      <c r="E56" s="39">
        <f t="shared" si="2"/>
        <v>13.922830188679242</v>
      </c>
      <c r="F56">
        <f t="shared" si="3"/>
        <v>87.212082912067999</v>
      </c>
      <c r="G56">
        <f t="shared" si="4"/>
        <v>39.237223246706712</v>
      </c>
      <c r="H56">
        <f t="shared" si="5"/>
        <v>193.84520046279806</v>
      </c>
    </row>
    <row r="57" spans="1:8" x14ac:dyDescent="0.25">
      <c r="A57">
        <v>54</v>
      </c>
      <c r="B57" s="6">
        <v>129.30000000000001</v>
      </c>
      <c r="C57" s="39">
        <f t="shared" si="0"/>
        <v>132.01</v>
      </c>
      <c r="D57" s="39">
        <f t="shared" si="1"/>
        <v>6.6239622641509328</v>
      </c>
      <c r="E57" s="39">
        <f t="shared" si="2"/>
        <v>12.202830188679243</v>
      </c>
      <c r="F57">
        <f t="shared" si="3"/>
        <v>80.831086685653119</v>
      </c>
      <c r="G57">
        <f t="shared" si="4"/>
        <v>43.876876076895549</v>
      </c>
      <c r="H57">
        <f t="shared" si="5"/>
        <v>148.90906461374149</v>
      </c>
    </row>
    <row r="58" spans="1:8" x14ac:dyDescent="0.25">
      <c r="A58">
        <v>55</v>
      </c>
      <c r="B58" s="6">
        <v>131.22</v>
      </c>
      <c r="C58" s="39">
        <f t="shared" si="0"/>
        <v>130.59</v>
      </c>
      <c r="D58" s="39">
        <f t="shared" si="1"/>
        <v>8.5439622641509203</v>
      </c>
      <c r="E58" s="39">
        <f t="shared" si="2"/>
        <v>10.782830188679256</v>
      </c>
      <c r="F58">
        <f t="shared" si="3"/>
        <v>92.128094232822917</v>
      </c>
      <c r="G58">
        <f t="shared" si="4"/>
        <v>72.999291171234916</v>
      </c>
      <c r="H58">
        <f t="shared" si="5"/>
        <v>116.26942687789271</v>
      </c>
    </row>
    <row r="59" spans="1:8" x14ac:dyDescent="0.25">
      <c r="A59">
        <v>56</v>
      </c>
      <c r="B59" s="6">
        <v>132.52000000000001</v>
      </c>
      <c r="C59" s="39">
        <f t="shared" si="0"/>
        <v>130.28</v>
      </c>
      <c r="D59" s="39">
        <f t="shared" si="1"/>
        <v>9.8439622641509317</v>
      </c>
      <c r="E59" s="39">
        <f t="shared" si="2"/>
        <v>10.472830188679254</v>
      </c>
      <c r="F59">
        <f t="shared" si="3"/>
        <v>103.09414517621926</v>
      </c>
      <c r="G59">
        <f t="shared" si="4"/>
        <v>96.903593058027539</v>
      </c>
      <c r="H59">
        <f t="shared" si="5"/>
        <v>109.68017216091152</v>
      </c>
    </row>
    <row r="60" spans="1:8" x14ac:dyDescent="0.25">
      <c r="A60">
        <v>57</v>
      </c>
      <c r="B60" s="6">
        <v>134.25</v>
      </c>
      <c r="C60" s="39">
        <f t="shared" si="0"/>
        <v>129.16</v>
      </c>
      <c r="D60" s="39">
        <f t="shared" si="1"/>
        <v>11.573962264150921</v>
      </c>
      <c r="E60" s="39">
        <f t="shared" si="2"/>
        <v>9.3528301886792491</v>
      </c>
      <c r="F60">
        <f t="shared" si="3"/>
        <v>108.24930366678517</v>
      </c>
      <c r="G60">
        <f t="shared" si="4"/>
        <v>133.95660249198951</v>
      </c>
      <c r="H60">
        <f t="shared" si="5"/>
        <v>87.475432538269914</v>
      </c>
    </row>
    <row r="61" spans="1:8" x14ac:dyDescent="0.25">
      <c r="A61">
        <v>58</v>
      </c>
      <c r="B61" s="6">
        <v>136.06</v>
      </c>
      <c r="C61" s="39">
        <f t="shared" si="0"/>
        <v>128.94</v>
      </c>
      <c r="D61" s="39">
        <f t="shared" si="1"/>
        <v>13.383962264150924</v>
      </c>
      <c r="E61" s="39">
        <f t="shared" si="2"/>
        <v>9.1328301886792502</v>
      </c>
      <c r="F61">
        <f t="shared" si="3"/>
        <v>122.23345461018144</v>
      </c>
      <c r="G61">
        <f t="shared" si="4"/>
        <v>179.13044588821592</v>
      </c>
      <c r="H61">
        <f t="shared" si="5"/>
        <v>83.408587255251064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6349.78</v>
      </c>
      <c r="D62" s="39">
        <f t="shared" si="6"/>
        <v>-1.1652900866465643E-12</v>
      </c>
      <c r="E62" s="39">
        <f t="shared" si="6"/>
        <v>2.9842794901924208E-13</v>
      </c>
      <c r="F62" s="39">
        <f t="shared" si="6"/>
        <v>6514.7784056603741</v>
      </c>
      <c r="G62" s="39">
        <f t="shared" si="6"/>
        <v>7807.4288679245283</v>
      </c>
      <c r="H62" s="39">
        <f t="shared" si="6"/>
        <v>8928.5638754716983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119.80716981132075</v>
      </c>
    </row>
    <row r="65" spans="1:2" ht="18" x14ac:dyDescent="0.35">
      <c r="A65" t="s">
        <v>108</v>
      </c>
      <c r="B65" s="39">
        <f>SUM(B9:B61)/53</f>
        <v>122.67603773584908</v>
      </c>
    </row>
    <row r="66" spans="1:2" ht="18" x14ac:dyDescent="0.35">
      <c r="A66" t="s">
        <v>109</v>
      </c>
      <c r="B66" s="39">
        <f>SUM(C9:C61)/53</f>
        <v>119.80716981132075</v>
      </c>
    </row>
    <row r="68" spans="1:2" ht="18" x14ac:dyDescent="0.35">
      <c r="A68" t="s">
        <v>110</v>
      </c>
      <c r="B68">
        <f>F62/SQRT(G62*H62)</f>
        <v>0.78028781519878776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5" workbookViewId="0">
      <selection activeCell="C72" sqref="C72"/>
    </sheetView>
  </sheetViews>
  <sheetFormatPr defaultRowHeight="15" x14ac:dyDescent="0.25"/>
  <cols>
    <col min="6" max="6" width="16.140625" customWidth="1"/>
  </cols>
  <sheetData>
    <row r="2" spans="1:8" x14ac:dyDescent="0.25">
      <c r="A2" s="34">
        <v>1</v>
      </c>
      <c r="B2" s="34">
        <v>2</v>
      </c>
      <c r="C2" s="19">
        <v>3</v>
      </c>
      <c r="D2" s="19">
        <v>4</v>
      </c>
      <c r="E2" s="19">
        <v>5</v>
      </c>
      <c r="F2" s="19">
        <v>6</v>
      </c>
      <c r="G2" s="19">
        <v>7</v>
      </c>
      <c r="H2" s="19">
        <v>8</v>
      </c>
    </row>
    <row r="3" spans="1:8" ht="18" x14ac:dyDescent="0.25">
      <c r="A3" s="44" t="s">
        <v>67</v>
      </c>
      <c r="B3" s="44" t="s">
        <v>68</v>
      </c>
      <c r="C3" s="45" t="s">
        <v>117</v>
      </c>
      <c r="D3" s="45" t="s">
        <v>118</v>
      </c>
      <c r="E3" s="45" t="s">
        <v>119</v>
      </c>
      <c r="F3" s="46" t="s">
        <v>120</v>
      </c>
      <c r="G3" s="45" t="s">
        <v>121</v>
      </c>
      <c r="H3" s="45" t="s">
        <v>122</v>
      </c>
    </row>
    <row r="4" spans="1:8" x14ac:dyDescent="0.25">
      <c r="A4">
        <v>1</v>
      </c>
      <c r="B4" s="11">
        <v>102.32</v>
      </c>
      <c r="C4" s="38" t="s">
        <v>75</v>
      </c>
      <c r="D4" s="38" t="s">
        <v>75</v>
      </c>
      <c r="E4" s="38" t="s">
        <v>75</v>
      </c>
      <c r="F4" s="38" t="s">
        <v>75</v>
      </c>
      <c r="G4" s="38" t="s">
        <v>75</v>
      </c>
      <c r="H4" s="38" t="s">
        <v>75</v>
      </c>
    </row>
    <row r="5" spans="1:8" x14ac:dyDescent="0.25">
      <c r="A5">
        <v>2</v>
      </c>
      <c r="B5" s="6">
        <v>102.21</v>
      </c>
      <c r="C5" s="38" t="s">
        <v>75</v>
      </c>
      <c r="D5" s="38" t="s">
        <v>75</v>
      </c>
      <c r="E5" s="38" t="s">
        <v>75</v>
      </c>
      <c r="F5" s="38" t="s">
        <v>75</v>
      </c>
      <c r="G5" s="38" t="s">
        <v>75</v>
      </c>
      <c r="H5" s="38" t="s">
        <v>75</v>
      </c>
    </row>
    <row r="6" spans="1:8" x14ac:dyDescent="0.25">
      <c r="A6">
        <v>3</v>
      </c>
      <c r="B6" s="6">
        <v>102.16</v>
      </c>
      <c r="C6" s="38" t="s">
        <v>75</v>
      </c>
      <c r="D6" s="38" t="s">
        <v>75</v>
      </c>
      <c r="E6" s="38" t="s">
        <v>75</v>
      </c>
      <c r="F6" s="38" t="s">
        <v>75</v>
      </c>
      <c r="G6" s="38" t="s">
        <v>75</v>
      </c>
      <c r="H6" s="38" t="s">
        <v>75</v>
      </c>
    </row>
    <row r="7" spans="1:8" x14ac:dyDescent="0.25">
      <c r="A7">
        <v>4</v>
      </c>
      <c r="B7" s="6">
        <v>102.06</v>
      </c>
      <c r="C7" s="38" t="s">
        <v>75</v>
      </c>
      <c r="D7" s="38" t="s">
        <v>75</v>
      </c>
      <c r="E7" s="38" t="s">
        <v>75</v>
      </c>
      <c r="F7" s="38" t="s">
        <v>75</v>
      </c>
      <c r="G7" s="38" t="s">
        <v>75</v>
      </c>
      <c r="H7" s="38" t="s">
        <v>75</v>
      </c>
    </row>
    <row r="8" spans="1:8" x14ac:dyDescent="0.25">
      <c r="A8">
        <v>5</v>
      </c>
      <c r="B8" s="6">
        <v>102.55</v>
      </c>
      <c r="C8" s="38" t="s">
        <v>75</v>
      </c>
      <c r="D8" s="38" t="s">
        <v>75</v>
      </c>
      <c r="E8" s="38" t="s">
        <v>75</v>
      </c>
      <c r="F8" s="38" t="s">
        <v>75</v>
      </c>
      <c r="G8" s="38" t="s">
        <v>75</v>
      </c>
      <c r="H8" s="38" t="s">
        <v>75</v>
      </c>
    </row>
    <row r="9" spans="1:8" x14ac:dyDescent="0.25">
      <c r="A9">
        <v>6</v>
      </c>
      <c r="B9" s="6">
        <v>104.35</v>
      </c>
      <c r="C9" s="38" t="s">
        <v>75</v>
      </c>
      <c r="D9" s="38" t="s">
        <v>75</v>
      </c>
      <c r="E9" s="38" t="s">
        <v>75</v>
      </c>
      <c r="F9" s="38" t="s">
        <v>75</v>
      </c>
      <c r="G9" s="38" t="s">
        <v>75</v>
      </c>
      <c r="H9" s="38" t="s">
        <v>75</v>
      </c>
    </row>
    <row r="10" spans="1:8" x14ac:dyDescent="0.25">
      <c r="A10">
        <v>7</v>
      </c>
      <c r="B10" s="6">
        <v>107.57</v>
      </c>
      <c r="C10" s="39">
        <f>B4</f>
        <v>102.32</v>
      </c>
      <c r="D10" s="39">
        <f>B10-$B$65</f>
        <v>-15.458461538461549</v>
      </c>
      <c r="E10" s="39">
        <f>C10-$B$66</f>
        <v>-17.311538461538476</v>
      </c>
      <c r="F10">
        <f>D10*E10</f>
        <v>267.60975147929031</v>
      </c>
      <c r="G10">
        <f>D10*D10</f>
        <v>238.964033136095</v>
      </c>
      <c r="H10">
        <f>E10*E10</f>
        <v>299.68936390532593</v>
      </c>
    </row>
    <row r="11" spans="1:8" x14ac:dyDescent="0.25">
      <c r="A11">
        <v>8</v>
      </c>
      <c r="B11" s="6">
        <v>111.96</v>
      </c>
      <c r="C11" s="39">
        <f t="shared" ref="C11:C61" si="0">B5</f>
        <v>102.21</v>
      </c>
      <c r="D11" s="39">
        <f t="shared" ref="D11:D61" si="1">B11-$B$65</f>
        <v>-11.068461538461548</v>
      </c>
      <c r="E11" s="39">
        <f t="shared" ref="E11:E61" si="2">C11-$B$66</f>
        <v>-17.421538461538475</v>
      </c>
      <c r="F11">
        <f t="shared" ref="F11:F61" si="3">D11*E11</f>
        <v>192.82962840236718</v>
      </c>
      <c r="G11">
        <f t="shared" ref="G11:G61" si="4">D11*D11</f>
        <v>122.51084082840259</v>
      </c>
      <c r="H11">
        <f t="shared" ref="H11:H61" si="5">E11*E11</f>
        <v>303.5100023668644</v>
      </c>
    </row>
    <row r="12" spans="1:8" x14ac:dyDescent="0.25">
      <c r="A12">
        <v>9</v>
      </c>
      <c r="B12" s="6">
        <v>115.27</v>
      </c>
      <c r="C12" s="39">
        <f t="shared" si="0"/>
        <v>102.16</v>
      </c>
      <c r="D12" s="39">
        <f t="shared" si="1"/>
        <v>-7.7584615384615461</v>
      </c>
      <c r="E12" s="39">
        <f t="shared" si="2"/>
        <v>-17.471538461538472</v>
      </c>
      <c r="F12">
        <f t="shared" si="3"/>
        <v>135.55225917159785</v>
      </c>
      <c r="G12">
        <f t="shared" si="4"/>
        <v>60.193725443787102</v>
      </c>
      <c r="H12">
        <f t="shared" si="5"/>
        <v>305.25465621301811</v>
      </c>
    </row>
    <row r="13" spans="1:8" x14ac:dyDescent="0.25">
      <c r="A13">
        <v>10</v>
      </c>
      <c r="B13" s="6">
        <v>117.17</v>
      </c>
      <c r="C13" s="39">
        <f t="shared" si="0"/>
        <v>102.06</v>
      </c>
      <c r="D13" s="39">
        <f t="shared" si="1"/>
        <v>-5.8584615384615404</v>
      </c>
      <c r="E13" s="39">
        <f t="shared" si="2"/>
        <v>-17.571538461538466</v>
      </c>
      <c r="F13">
        <f t="shared" si="3"/>
        <v>102.94218224852077</v>
      </c>
      <c r="G13">
        <f t="shared" si="4"/>
        <v>34.321571597633159</v>
      </c>
      <c r="H13">
        <f t="shared" si="5"/>
        <v>308.75896390532563</v>
      </c>
    </row>
    <row r="14" spans="1:8" x14ac:dyDescent="0.25">
      <c r="A14">
        <v>11</v>
      </c>
      <c r="B14" s="6">
        <v>117.61</v>
      </c>
      <c r="C14" s="39">
        <f t="shared" si="0"/>
        <v>102.55</v>
      </c>
      <c r="D14" s="39">
        <f t="shared" si="1"/>
        <v>-5.4184615384615427</v>
      </c>
      <c r="E14" s="39">
        <f t="shared" si="2"/>
        <v>-17.081538461538472</v>
      </c>
      <c r="F14">
        <f t="shared" si="3"/>
        <v>92.555659171597753</v>
      </c>
      <c r="G14">
        <f t="shared" si="4"/>
        <v>29.359725443787028</v>
      </c>
      <c r="H14">
        <f t="shared" si="5"/>
        <v>291.77895621301809</v>
      </c>
    </row>
    <row r="15" spans="1:8" x14ac:dyDescent="0.25">
      <c r="A15">
        <v>12</v>
      </c>
      <c r="B15" s="6">
        <v>117.26</v>
      </c>
      <c r="C15" s="39">
        <f t="shared" si="0"/>
        <v>104.35</v>
      </c>
      <c r="D15" s="39">
        <f t="shared" si="1"/>
        <v>-5.768461538461537</v>
      </c>
      <c r="E15" s="39">
        <f t="shared" si="2"/>
        <v>-15.281538461538474</v>
      </c>
      <c r="F15">
        <f t="shared" si="3"/>
        <v>88.150966863905381</v>
      </c>
      <c r="G15">
        <f t="shared" si="4"/>
        <v>33.27514852071004</v>
      </c>
      <c r="H15">
        <f t="shared" si="5"/>
        <v>233.52541775147969</v>
      </c>
    </row>
    <row r="16" spans="1:8" x14ac:dyDescent="0.25">
      <c r="A16">
        <v>13</v>
      </c>
      <c r="B16" s="6">
        <v>115.88</v>
      </c>
      <c r="C16" s="39">
        <f t="shared" si="0"/>
        <v>107.57</v>
      </c>
      <c r="D16" s="39">
        <f t="shared" si="1"/>
        <v>-7.1484615384615466</v>
      </c>
      <c r="E16" s="39">
        <f t="shared" si="2"/>
        <v>-12.061538461538476</v>
      </c>
      <c r="F16">
        <f t="shared" si="3"/>
        <v>86.221443786982448</v>
      </c>
      <c r="G16">
        <f t="shared" si="4"/>
        <v>51.100502366864021</v>
      </c>
      <c r="H16">
        <f t="shared" si="5"/>
        <v>145.48071005917194</v>
      </c>
    </row>
    <row r="17" spans="1:8" x14ac:dyDescent="0.25">
      <c r="A17">
        <v>14</v>
      </c>
      <c r="B17" s="6">
        <v>113.35</v>
      </c>
      <c r="C17" s="39">
        <f t="shared" si="0"/>
        <v>111.96</v>
      </c>
      <c r="D17" s="39">
        <f t="shared" si="1"/>
        <v>-9.6784615384615478</v>
      </c>
      <c r="E17" s="39">
        <f t="shared" si="2"/>
        <v>-7.671538461538475</v>
      </c>
      <c r="F17">
        <f t="shared" si="3"/>
        <v>74.248689940828598</v>
      </c>
      <c r="G17">
        <f t="shared" si="4"/>
        <v>93.672617751479464</v>
      </c>
      <c r="H17">
        <f t="shared" si="5"/>
        <v>58.852502366864108</v>
      </c>
    </row>
    <row r="18" spans="1:8" x14ac:dyDescent="0.25">
      <c r="A18">
        <v>15</v>
      </c>
      <c r="B18" s="6">
        <v>111.39</v>
      </c>
      <c r="C18" s="39">
        <f t="shared" si="0"/>
        <v>115.27</v>
      </c>
      <c r="D18" s="39">
        <f t="shared" si="1"/>
        <v>-11.638461538461542</v>
      </c>
      <c r="E18" s="39">
        <f t="shared" si="2"/>
        <v>-4.3615384615384727</v>
      </c>
      <c r="F18">
        <f t="shared" si="3"/>
        <v>50.76159763313624</v>
      </c>
      <c r="G18">
        <f t="shared" si="4"/>
        <v>135.4537869822486</v>
      </c>
      <c r="H18">
        <f t="shared" si="5"/>
        <v>19.023017751479387</v>
      </c>
    </row>
    <row r="19" spans="1:8" x14ac:dyDescent="0.25">
      <c r="A19">
        <v>16</v>
      </c>
      <c r="B19" s="6">
        <v>109.76</v>
      </c>
      <c r="C19" s="39">
        <f t="shared" si="0"/>
        <v>117.17</v>
      </c>
      <c r="D19" s="39">
        <f t="shared" si="1"/>
        <v>-13.268461538461537</v>
      </c>
      <c r="E19" s="39">
        <f t="shared" si="2"/>
        <v>-2.461538461538467</v>
      </c>
      <c r="F19">
        <f t="shared" si="3"/>
        <v>32.660828402366931</v>
      </c>
      <c r="G19">
        <f t="shared" si="4"/>
        <v>176.0520715976331</v>
      </c>
      <c r="H19">
        <f t="shared" si="5"/>
        <v>6.0591715976331626</v>
      </c>
    </row>
    <row r="20" spans="1:8" x14ac:dyDescent="0.25">
      <c r="A20">
        <v>17</v>
      </c>
      <c r="B20" s="6">
        <v>109.5</v>
      </c>
      <c r="C20" s="39">
        <f t="shared" si="0"/>
        <v>117.61</v>
      </c>
      <c r="D20" s="39">
        <f t="shared" si="1"/>
        <v>-13.528461538461542</v>
      </c>
      <c r="E20" s="39">
        <f t="shared" si="2"/>
        <v>-2.0215384615384693</v>
      </c>
      <c r="F20">
        <f t="shared" si="3"/>
        <v>27.348305325443899</v>
      </c>
      <c r="G20">
        <f t="shared" si="4"/>
        <v>183.01927159763324</v>
      </c>
      <c r="H20">
        <f t="shared" si="5"/>
        <v>4.0866177514793209</v>
      </c>
    </row>
    <row r="21" spans="1:8" x14ac:dyDescent="0.25">
      <c r="A21">
        <v>18</v>
      </c>
      <c r="B21" s="6">
        <v>108.86</v>
      </c>
      <c r="C21" s="39">
        <f t="shared" si="0"/>
        <v>117.26</v>
      </c>
      <c r="D21" s="39">
        <f t="shared" si="1"/>
        <v>-14.168461538461543</v>
      </c>
      <c r="E21" s="39">
        <f t="shared" si="2"/>
        <v>-2.3715384615384636</v>
      </c>
      <c r="F21">
        <f t="shared" si="3"/>
        <v>33.601051479289978</v>
      </c>
      <c r="G21">
        <f t="shared" si="4"/>
        <v>200.74530236686402</v>
      </c>
      <c r="H21">
        <f t="shared" si="5"/>
        <v>5.6241946745562226</v>
      </c>
    </row>
    <row r="22" spans="1:8" x14ac:dyDescent="0.25">
      <c r="A22">
        <v>19</v>
      </c>
      <c r="B22" s="6">
        <v>108.49</v>
      </c>
      <c r="C22" s="39">
        <f t="shared" si="0"/>
        <v>115.88</v>
      </c>
      <c r="D22" s="39">
        <f t="shared" si="1"/>
        <v>-14.538461538461547</v>
      </c>
      <c r="E22" s="39">
        <f t="shared" si="2"/>
        <v>-3.7515384615384733</v>
      </c>
      <c r="F22">
        <f t="shared" si="3"/>
        <v>54.541597633136298</v>
      </c>
      <c r="G22">
        <f t="shared" si="4"/>
        <v>211.36686390532569</v>
      </c>
      <c r="H22">
        <f t="shared" si="5"/>
        <v>14.074040828402454</v>
      </c>
    </row>
    <row r="23" spans="1:8" x14ac:dyDescent="0.25">
      <c r="A23">
        <v>20</v>
      </c>
      <c r="B23" s="6">
        <v>108.36</v>
      </c>
      <c r="C23" s="39">
        <f t="shared" si="0"/>
        <v>113.35</v>
      </c>
      <c r="D23" s="39">
        <f t="shared" si="1"/>
        <v>-14.668461538461543</v>
      </c>
      <c r="E23" s="39">
        <f t="shared" si="2"/>
        <v>-6.2815384615384744</v>
      </c>
      <c r="F23">
        <f t="shared" si="3"/>
        <v>92.140505325443996</v>
      </c>
      <c r="G23">
        <f t="shared" si="4"/>
        <v>215.16376390532557</v>
      </c>
      <c r="H23">
        <f t="shared" si="5"/>
        <v>39.45772544378714</v>
      </c>
    </row>
    <row r="24" spans="1:8" x14ac:dyDescent="0.25">
      <c r="A24">
        <v>21</v>
      </c>
      <c r="B24" s="6">
        <v>108.19</v>
      </c>
      <c r="C24" s="39">
        <f t="shared" si="0"/>
        <v>111.39</v>
      </c>
      <c r="D24" s="39">
        <f t="shared" si="1"/>
        <v>-14.838461538461544</v>
      </c>
      <c r="E24" s="39">
        <f t="shared" si="2"/>
        <v>-8.2415384615384681</v>
      </c>
      <c r="F24">
        <f t="shared" si="3"/>
        <v>122.29175147929008</v>
      </c>
      <c r="G24">
        <f t="shared" si="4"/>
        <v>220.17994082840255</v>
      </c>
      <c r="H24">
        <f t="shared" si="5"/>
        <v>67.922956213017855</v>
      </c>
    </row>
    <row r="25" spans="1:8" x14ac:dyDescent="0.25">
      <c r="A25">
        <v>22</v>
      </c>
      <c r="B25" s="6">
        <v>107.8</v>
      </c>
      <c r="C25" s="39">
        <f t="shared" si="0"/>
        <v>109.76</v>
      </c>
      <c r="D25" s="39">
        <f t="shared" si="1"/>
        <v>-15.228461538461545</v>
      </c>
      <c r="E25" s="39">
        <f t="shared" si="2"/>
        <v>-9.8715384615384636</v>
      </c>
      <c r="F25">
        <f t="shared" si="3"/>
        <v>150.32834378698234</v>
      </c>
      <c r="G25">
        <f t="shared" si="4"/>
        <v>231.90604082840255</v>
      </c>
      <c r="H25">
        <f t="shared" si="5"/>
        <v>97.447271597633176</v>
      </c>
    </row>
    <row r="26" spans="1:8" x14ac:dyDescent="0.25">
      <c r="A26">
        <v>23</v>
      </c>
      <c r="B26" s="6">
        <v>107.47</v>
      </c>
      <c r="C26" s="39">
        <f t="shared" si="0"/>
        <v>109.5</v>
      </c>
      <c r="D26" s="39">
        <f t="shared" si="1"/>
        <v>-15.558461538461543</v>
      </c>
      <c r="E26" s="39">
        <f t="shared" si="2"/>
        <v>-10.131538461538469</v>
      </c>
      <c r="F26">
        <f t="shared" si="3"/>
        <v>157.63115147929011</v>
      </c>
      <c r="G26">
        <f t="shared" si="4"/>
        <v>242.06572544378713</v>
      </c>
      <c r="H26">
        <f t="shared" si="5"/>
        <v>102.64807159763328</v>
      </c>
    </row>
    <row r="27" spans="1:8" x14ac:dyDescent="0.25">
      <c r="A27">
        <v>24</v>
      </c>
      <c r="B27" s="6">
        <v>107.03</v>
      </c>
      <c r="C27" s="39">
        <f t="shared" si="0"/>
        <v>108.86</v>
      </c>
      <c r="D27" s="39">
        <f t="shared" si="1"/>
        <v>-15.998461538461541</v>
      </c>
      <c r="E27" s="39">
        <f t="shared" si="2"/>
        <v>-10.771538461538469</v>
      </c>
      <c r="F27">
        <f t="shared" si="3"/>
        <v>172.32804378698239</v>
      </c>
      <c r="G27">
        <f t="shared" si="4"/>
        <v>255.95077159763321</v>
      </c>
      <c r="H27">
        <f t="shared" si="5"/>
        <v>116.02604082840253</v>
      </c>
    </row>
    <row r="28" spans="1:8" x14ac:dyDescent="0.25">
      <c r="A28">
        <v>25</v>
      </c>
      <c r="B28" s="6">
        <v>106.61</v>
      </c>
      <c r="C28" s="39">
        <f t="shared" si="0"/>
        <v>108.49</v>
      </c>
      <c r="D28" s="39">
        <f t="shared" si="1"/>
        <v>-16.418461538461543</v>
      </c>
      <c r="E28" s="39">
        <f t="shared" si="2"/>
        <v>-11.141538461538474</v>
      </c>
      <c r="F28">
        <f t="shared" si="3"/>
        <v>182.92692071005942</v>
      </c>
      <c r="G28">
        <f t="shared" si="4"/>
        <v>269.56587928994099</v>
      </c>
      <c r="H28">
        <f t="shared" si="5"/>
        <v>124.13387928994111</v>
      </c>
    </row>
    <row r="29" spans="1:8" x14ac:dyDescent="0.25">
      <c r="A29">
        <v>26</v>
      </c>
      <c r="B29" s="6">
        <v>106.57</v>
      </c>
      <c r="C29" s="39">
        <f t="shared" si="0"/>
        <v>108.36</v>
      </c>
      <c r="D29" s="39">
        <f t="shared" si="1"/>
        <v>-16.458461538461549</v>
      </c>
      <c r="E29" s="39">
        <f t="shared" si="2"/>
        <v>-11.271538461538469</v>
      </c>
      <c r="F29">
        <f t="shared" si="3"/>
        <v>185.51218224852096</v>
      </c>
      <c r="G29">
        <f t="shared" si="4"/>
        <v>270.88095621301812</v>
      </c>
      <c r="H29">
        <f t="shared" si="5"/>
        <v>127.047579289941</v>
      </c>
    </row>
    <row r="30" spans="1:8" x14ac:dyDescent="0.25">
      <c r="A30">
        <v>27</v>
      </c>
      <c r="B30" s="6">
        <v>106.49</v>
      </c>
      <c r="C30" s="39">
        <f t="shared" si="0"/>
        <v>108.19</v>
      </c>
      <c r="D30" s="39">
        <f t="shared" si="1"/>
        <v>-16.538461538461547</v>
      </c>
      <c r="E30" s="39">
        <f t="shared" si="2"/>
        <v>-11.441538461538471</v>
      </c>
      <c r="F30">
        <f t="shared" si="3"/>
        <v>189.22544378698251</v>
      </c>
      <c r="G30">
        <f t="shared" si="4"/>
        <v>273.5207100591719</v>
      </c>
      <c r="H30">
        <f t="shared" si="5"/>
        <v>130.90880236686411</v>
      </c>
    </row>
    <row r="31" spans="1:8" x14ac:dyDescent="0.25">
      <c r="A31">
        <v>28</v>
      </c>
      <c r="B31" s="6">
        <v>107.04</v>
      </c>
      <c r="C31" s="39">
        <f t="shared" si="0"/>
        <v>107.8</v>
      </c>
      <c r="D31" s="39">
        <f t="shared" si="1"/>
        <v>-15.988461538461536</v>
      </c>
      <c r="E31" s="39">
        <f t="shared" si="2"/>
        <v>-11.831538461538472</v>
      </c>
      <c r="F31">
        <f t="shared" si="3"/>
        <v>189.16809763313623</v>
      </c>
      <c r="G31">
        <f t="shared" si="4"/>
        <v>255.63090236686381</v>
      </c>
      <c r="H31">
        <f t="shared" si="5"/>
        <v>139.98530236686415</v>
      </c>
    </row>
    <row r="32" spans="1:8" x14ac:dyDescent="0.25">
      <c r="A32">
        <v>29</v>
      </c>
      <c r="B32" s="6">
        <v>111.35</v>
      </c>
      <c r="C32" s="39">
        <f t="shared" si="0"/>
        <v>107.47</v>
      </c>
      <c r="D32" s="39">
        <f t="shared" si="1"/>
        <v>-11.678461538461548</v>
      </c>
      <c r="E32" s="39">
        <f t="shared" si="2"/>
        <v>-12.16153846153847</v>
      </c>
      <c r="F32">
        <f t="shared" si="3"/>
        <v>142.02805917159785</v>
      </c>
      <c r="G32">
        <f t="shared" si="4"/>
        <v>136.38646390532566</v>
      </c>
      <c r="H32">
        <f t="shared" si="5"/>
        <v>147.9030177514795</v>
      </c>
    </row>
    <row r="33" spans="1:8" x14ac:dyDescent="0.25">
      <c r="A33">
        <v>30</v>
      </c>
      <c r="B33" s="6">
        <v>117.54</v>
      </c>
      <c r="C33" s="39">
        <f t="shared" si="0"/>
        <v>107.03</v>
      </c>
      <c r="D33" s="39">
        <f t="shared" si="1"/>
        <v>-5.4884615384615358</v>
      </c>
      <c r="E33" s="39">
        <f t="shared" si="2"/>
        <v>-12.601538461538468</v>
      </c>
      <c r="F33">
        <f t="shared" si="3"/>
        <v>69.163059171597638</v>
      </c>
      <c r="G33">
        <f t="shared" si="4"/>
        <v>30.123210059171569</v>
      </c>
      <c r="H33">
        <f t="shared" si="5"/>
        <v>158.79877159763328</v>
      </c>
    </row>
    <row r="34" spans="1:8" x14ac:dyDescent="0.25">
      <c r="A34">
        <v>31</v>
      </c>
      <c r="B34" s="6">
        <v>122.58</v>
      </c>
      <c r="C34" s="39">
        <f t="shared" si="0"/>
        <v>106.61</v>
      </c>
      <c r="D34" s="39">
        <f t="shared" si="1"/>
        <v>-0.4484615384615438</v>
      </c>
      <c r="E34" s="39">
        <f t="shared" si="2"/>
        <v>-13.021538461538469</v>
      </c>
      <c r="F34">
        <f t="shared" si="3"/>
        <v>5.839659171597706</v>
      </c>
      <c r="G34">
        <f t="shared" si="4"/>
        <v>0.20111775147929473</v>
      </c>
      <c r="H34">
        <f t="shared" si="5"/>
        <v>169.56046390532563</v>
      </c>
    </row>
    <row r="35" spans="1:8" x14ac:dyDescent="0.25">
      <c r="A35">
        <v>32</v>
      </c>
      <c r="B35" s="6">
        <v>128.16</v>
      </c>
      <c r="C35" s="39">
        <f t="shared" si="0"/>
        <v>106.57</v>
      </c>
      <c r="D35" s="39">
        <f t="shared" si="1"/>
        <v>5.1315384615384545</v>
      </c>
      <c r="E35" s="39">
        <f t="shared" si="2"/>
        <v>-13.061538461538476</v>
      </c>
      <c r="F35">
        <f t="shared" si="3"/>
        <v>-67.025786982248505</v>
      </c>
      <c r="G35">
        <f t="shared" si="4"/>
        <v>26.332686982248447</v>
      </c>
      <c r="H35">
        <f t="shared" si="5"/>
        <v>170.60378698224889</v>
      </c>
    </row>
    <row r="36" spans="1:8" x14ac:dyDescent="0.25">
      <c r="A36">
        <v>33</v>
      </c>
      <c r="B36" s="6">
        <v>132.86000000000001</v>
      </c>
      <c r="C36" s="39">
        <f t="shared" si="0"/>
        <v>106.49</v>
      </c>
      <c r="D36" s="39">
        <f t="shared" si="1"/>
        <v>9.8315384615384716</v>
      </c>
      <c r="E36" s="39">
        <f t="shared" si="2"/>
        <v>-13.141538461538474</v>
      </c>
      <c r="F36">
        <f t="shared" si="3"/>
        <v>-129.20154082840261</v>
      </c>
      <c r="G36">
        <f t="shared" si="4"/>
        <v>96.659148520710261</v>
      </c>
      <c r="H36">
        <f t="shared" si="5"/>
        <v>172.70003313609499</v>
      </c>
    </row>
    <row r="37" spans="1:8" x14ac:dyDescent="0.25">
      <c r="A37">
        <v>34</v>
      </c>
      <c r="B37" s="6">
        <v>134.91999999999999</v>
      </c>
      <c r="C37" s="39">
        <f t="shared" si="0"/>
        <v>107.04</v>
      </c>
      <c r="D37" s="39">
        <f t="shared" si="1"/>
        <v>11.891538461538445</v>
      </c>
      <c r="E37" s="39">
        <f t="shared" si="2"/>
        <v>-12.591538461538462</v>
      </c>
      <c r="F37">
        <f t="shared" si="3"/>
        <v>-149.73276390532524</v>
      </c>
      <c r="G37">
        <f t="shared" si="4"/>
        <v>141.40868698224813</v>
      </c>
      <c r="H37">
        <f t="shared" si="5"/>
        <v>158.5468408284024</v>
      </c>
    </row>
    <row r="38" spans="1:8" x14ac:dyDescent="0.25">
      <c r="A38">
        <v>35</v>
      </c>
      <c r="B38" s="6">
        <v>135.69999999999999</v>
      </c>
      <c r="C38" s="39">
        <f t="shared" si="0"/>
        <v>111.35</v>
      </c>
      <c r="D38" s="39">
        <f t="shared" si="1"/>
        <v>12.671538461538447</v>
      </c>
      <c r="E38" s="39">
        <f t="shared" si="2"/>
        <v>-8.2815384615384744</v>
      </c>
      <c r="F38">
        <f t="shared" si="3"/>
        <v>-104.93983313609472</v>
      </c>
      <c r="G38">
        <f t="shared" si="4"/>
        <v>160.56788698224815</v>
      </c>
      <c r="H38">
        <f t="shared" si="5"/>
        <v>68.583879289941038</v>
      </c>
    </row>
    <row r="39" spans="1:8" x14ac:dyDescent="0.25">
      <c r="A39">
        <v>36</v>
      </c>
      <c r="B39" s="6">
        <v>136.13999999999999</v>
      </c>
      <c r="C39" s="39">
        <f t="shared" si="0"/>
        <v>117.54</v>
      </c>
      <c r="D39" s="39">
        <f t="shared" si="1"/>
        <v>13.111538461538444</v>
      </c>
      <c r="E39" s="39">
        <f t="shared" si="2"/>
        <v>-2.0915384615384625</v>
      </c>
      <c r="F39">
        <f t="shared" si="3"/>
        <v>-27.423286982248495</v>
      </c>
      <c r="G39">
        <f t="shared" si="4"/>
        <v>171.91244082840191</v>
      </c>
      <c r="H39">
        <f t="shared" si="5"/>
        <v>4.3745331360946782</v>
      </c>
    </row>
    <row r="40" spans="1:8" x14ac:dyDescent="0.25">
      <c r="A40">
        <v>37</v>
      </c>
      <c r="B40" s="6">
        <v>140.15</v>
      </c>
      <c r="C40" s="39">
        <f t="shared" si="0"/>
        <v>122.58</v>
      </c>
      <c r="D40" s="39">
        <f t="shared" si="1"/>
        <v>17.121538461538464</v>
      </c>
      <c r="E40" s="39">
        <f t="shared" si="2"/>
        <v>2.9484615384615296</v>
      </c>
      <c r="F40">
        <f t="shared" si="3"/>
        <v>50.482197633135947</v>
      </c>
      <c r="G40">
        <f t="shared" si="4"/>
        <v>293.1470792899409</v>
      </c>
      <c r="H40">
        <f t="shared" si="5"/>
        <v>8.6934254437869303</v>
      </c>
    </row>
    <row r="41" spans="1:8" x14ac:dyDescent="0.25">
      <c r="A41">
        <v>38</v>
      </c>
      <c r="B41" s="6">
        <v>140.09</v>
      </c>
      <c r="C41" s="39">
        <f t="shared" si="0"/>
        <v>128.16</v>
      </c>
      <c r="D41" s="39">
        <f t="shared" si="1"/>
        <v>17.061538461538461</v>
      </c>
      <c r="E41" s="39">
        <f t="shared" si="2"/>
        <v>8.5284615384615279</v>
      </c>
      <c r="F41">
        <f t="shared" si="3"/>
        <v>145.50867455621284</v>
      </c>
      <c r="G41">
        <f t="shared" si="4"/>
        <v>291.09609467455618</v>
      </c>
      <c r="H41">
        <f t="shared" si="5"/>
        <v>72.734656213017573</v>
      </c>
    </row>
    <row r="42" spans="1:8" x14ac:dyDescent="0.25">
      <c r="A42">
        <v>39</v>
      </c>
      <c r="B42" s="6">
        <v>139.1</v>
      </c>
      <c r="C42" s="39">
        <f t="shared" si="0"/>
        <v>132.86000000000001</v>
      </c>
      <c r="D42" s="39">
        <f t="shared" si="1"/>
        <v>16.071538461538452</v>
      </c>
      <c r="E42" s="39">
        <f t="shared" si="2"/>
        <v>13.228461538461545</v>
      </c>
      <c r="F42">
        <f t="shared" si="3"/>
        <v>212.60172840236683</v>
      </c>
      <c r="G42">
        <f t="shared" si="4"/>
        <v>258.29434852070978</v>
      </c>
      <c r="H42">
        <f t="shared" si="5"/>
        <v>174.99219467455637</v>
      </c>
    </row>
    <row r="43" spans="1:8" x14ac:dyDescent="0.25">
      <c r="A43">
        <v>40</v>
      </c>
      <c r="B43" s="6">
        <v>137.5</v>
      </c>
      <c r="C43" s="39">
        <f t="shared" si="0"/>
        <v>134.91999999999999</v>
      </c>
      <c r="D43" s="39">
        <f t="shared" si="1"/>
        <v>14.471538461538458</v>
      </c>
      <c r="E43" s="39">
        <f t="shared" si="2"/>
        <v>15.288461538461519</v>
      </c>
      <c r="F43">
        <f t="shared" si="3"/>
        <v>221.24755917159729</v>
      </c>
      <c r="G43">
        <f t="shared" si="4"/>
        <v>209.42542544378688</v>
      </c>
      <c r="H43">
        <f t="shared" si="5"/>
        <v>233.73705621301715</v>
      </c>
    </row>
    <row r="44" spans="1:8" x14ac:dyDescent="0.25">
      <c r="A44">
        <v>41</v>
      </c>
      <c r="B44" s="6">
        <v>136.12</v>
      </c>
      <c r="C44" s="39">
        <f t="shared" si="0"/>
        <v>135.69999999999999</v>
      </c>
      <c r="D44" s="39">
        <f t="shared" si="1"/>
        <v>13.091538461538462</v>
      </c>
      <c r="E44" s="39">
        <f t="shared" si="2"/>
        <v>16.06846153846152</v>
      </c>
      <c r="F44">
        <f t="shared" si="3"/>
        <v>210.36088224852048</v>
      </c>
      <c r="G44">
        <f t="shared" si="4"/>
        <v>171.38837928994084</v>
      </c>
      <c r="H44">
        <f t="shared" si="5"/>
        <v>258.19545621301717</v>
      </c>
    </row>
    <row r="45" spans="1:8" x14ac:dyDescent="0.25">
      <c r="A45">
        <v>42</v>
      </c>
      <c r="B45" s="6">
        <v>135.22</v>
      </c>
      <c r="C45" s="39">
        <f t="shared" si="0"/>
        <v>136.13999999999999</v>
      </c>
      <c r="D45" s="39">
        <f t="shared" si="1"/>
        <v>12.191538461538457</v>
      </c>
      <c r="E45" s="39">
        <f t="shared" si="2"/>
        <v>16.508461538461518</v>
      </c>
      <c r="F45">
        <f t="shared" si="3"/>
        <v>201.26354378698193</v>
      </c>
      <c r="G45">
        <f t="shared" si="4"/>
        <v>148.63361005917147</v>
      </c>
      <c r="H45">
        <f t="shared" si="5"/>
        <v>272.52930236686319</v>
      </c>
    </row>
    <row r="46" spans="1:8" x14ac:dyDescent="0.25">
      <c r="A46">
        <v>43</v>
      </c>
      <c r="B46" s="6">
        <v>134.72999999999999</v>
      </c>
      <c r="C46" s="39">
        <f t="shared" si="0"/>
        <v>140.15</v>
      </c>
      <c r="D46" s="39">
        <f t="shared" si="1"/>
        <v>11.701538461538448</v>
      </c>
      <c r="E46" s="39">
        <f t="shared" si="2"/>
        <v>20.518461538461537</v>
      </c>
      <c r="F46">
        <f t="shared" si="3"/>
        <v>240.09756686390503</v>
      </c>
      <c r="G46">
        <f t="shared" si="4"/>
        <v>136.92600236686357</v>
      </c>
      <c r="H46">
        <f t="shared" si="5"/>
        <v>421.00726390532537</v>
      </c>
    </row>
    <row r="47" spans="1:8" x14ac:dyDescent="0.25">
      <c r="A47">
        <v>44</v>
      </c>
      <c r="B47" s="6">
        <v>134.38999999999999</v>
      </c>
      <c r="C47" s="39">
        <f t="shared" si="0"/>
        <v>140.09</v>
      </c>
      <c r="D47" s="39">
        <f t="shared" si="1"/>
        <v>11.361538461538444</v>
      </c>
      <c r="E47" s="39">
        <f t="shared" si="2"/>
        <v>20.458461538461535</v>
      </c>
      <c r="F47">
        <f t="shared" si="3"/>
        <v>232.43959763313569</v>
      </c>
      <c r="G47">
        <f t="shared" si="4"/>
        <v>129.08455621301735</v>
      </c>
      <c r="H47">
        <f t="shared" si="5"/>
        <v>418.54864852070989</v>
      </c>
    </row>
    <row r="48" spans="1:8" x14ac:dyDescent="0.25">
      <c r="A48">
        <v>45</v>
      </c>
      <c r="B48" s="6">
        <v>134.51</v>
      </c>
      <c r="C48" s="39">
        <f t="shared" si="0"/>
        <v>139.1</v>
      </c>
      <c r="D48" s="39">
        <f t="shared" si="1"/>
        <v>11.481538461538449</v>
      </c>
      <c r="E48" s="39">
        <f t="shared" si="2"/>
        <v>19.468461538461526</v>
      </c>
      <c r="F48">
        <f t="shared" si="3"/>
        <v>223.527889940828</v>
      </c>
      <c r="G48">
        <f t="shared" si="4"/>
        <v>131.82572544378669</v>
      </c>
      <c r="H48">
        <f t="shared" si="5"/>
        <v>379.02099467455571</v>
      </c>
    </row>
    <row r="49" spans="1:8" x14ac:dyDescent="0.25">
      <c r="A49">
        <v>46</v>
      </c>
      <c r="B49" s="6">
        <v>134.46</v>
      </c>
      <c r="C49" s="39">
        <f t="shared" si="0"/>
        <v>137.5</v>
      </c>
      <c r="D49" s="39">
        <f t="shared" si="1"/>
        <v>11.431538461538466</v>
      </c>
      <c r="E49" s="39">
        <f t="shared" si="2"/>
        <v>17.868461538461531</v>
      </c>
      <c r="F49">
        <f t="shared" si="3"/>
        <v>204.26400532544378</v>
      </c>
      <c r="G49">
        <f t="shared" si="4"/>
        <v>130.68007159763323</v>
      </c>
      <c r="H49">
        <f t="shared" si="5"/>
        <v>319.28191775147906</v>
      </c>
    </row>
    <row r="50" spans="1:8" x14ac:dyDescent="0.25">
      <c r="A50">
        <v>47</v>
      </c>
      <c r="B50" s="6">
        <v>134.27000000000001</v>
      </c>
      <c r="C50" s="39">
        <f t="shared" si="0"/>
        <v>136.12</v>
      </c>
      <c r="D50" s="39">
        <f t="shared" si="1"/>
        <v>11.241538461538468</v>
      </c>
      <c r="E50" s="39">
        <f t="shared" si="2"/>
        <v>16.488461538461536</v>
      </c>
      <c r="F50">
        <f t="shared" si="3"/>
        <v>185.3556745562131</v>
      </c>
      <c r="G50">
        <f t="shared" si="4"/>
        <v>126.37218698224866</v>
      </c>
      <c r="H50">
        <f t="shared" si="5"/>
        <v>271.86936390532537</v>
      </c>
    </row>
    <row r="51" spans="1:8" x14ac:dyDescent="0.25">
      <c r="A51">
        <v>48</v>
      </c>
      <c r="B51" s="6">
        <v>133.72999999999999</v>
      </c>
      <c r="C51" s="39">
        <f t="shared" si="0"/>
        <v>135.22</v>
      </c>
      <c r="D51" s="39">
        <f t="shared" si="1"/>
        <v>10.701538461538448</v>
      </c>
      <c r="E51" s="39">
        <f t="shared" si="2"/>
        <v>15.58846153846153</v>
      </c>
      <c r="F51">
        <f t="shared" si="3"/>
        <v>166.82052071005887</v>
      </c>
      <c r="G51">
        <f t="shared" si="4"/>
        <v>114.52292544378669</v>
      </c>
      <c r="H51">
        <f t="shared" si="5"/>
        <v>243.00013313609441</v>
      </c>
    </row>
    <row r="52" spans="1:8" x14ac:dyDescent="0.25">
      <c r="A52">
        <v>49</v>
      </c>
      <c r="B52" s="6">
        <v>132.01</v>
      </c>
      <c r="C52" s="39">
        <f t="shared" si="0"/>
        <v>134.72999999999999</v>
      </c>
      <c r="D52" s="39">
        <f t="shared" si="1"/>
        <v>8.9815384615384488</v>
      </c>
      <c r="E52" s="39">
        <f t="shared" si="2"/>
        <v>15.098461538461521</v>
      </c>
      <c r="F52">
        <f t="shared" si="3"/>
        <v>135.60741301775113</v>
      </c>
      <c r="G52">
        <f t="shared" si="4"/>
        <v>80.668033136094451</v>
      </c>
      <c r="H52">
        <f t="shared" si="5"/>
        <v>227.96354082840185</v>
      </c>
    </row>
    <row r="53" spans="1:8" x14ac:dyDescent="0.25">
      <c r="A53">
        <v>50</v>
      </c>
      <c r="B53" s="6">
        <v>130.59</v>
      </c>
      <c r="C53" s="39">
        <f t="shared" si="0"/>
        <v>134.38999999999999</v>
      </c>
      <c r="D53" s="39">
        <f t="shared" si="1"/>
        <v>7.5615384615384613</v>
      </c>
      <c r="E53" s="39">
        <f t="shared" si="2"/>
        <v>14.758461538461518</v>
      </c>
      <c r="F53">
        <f t="shared" si="3"/>
        <v>111.59667455621286</v>
      </c>
      <c r="G53">
        <f t="shared" si="4"/>
        <v>57.17686390532544</v>
      </c>
      <c r="H53">
        <f t="shared" si="5"/>
        <v>217.81218698224791</v>
      </c>
    </row>
    <row r="54" spans="1:8" x14ac:dyDescent="0.25">
      <c r="A54">
        <v>51</v>
      </c>
      <c r="B54" s="6">
        <v>130.28</v>
      </c>
      <c r="C54" s="39">
        <f t="shared" si="0"/>
        <v>134.51</v>
      </c>
      <c r="D54" s="39">
        <f t="shared" si="1"/>
        <v>7.251538461538459</v>
      </c>
      <c r="E54" s="39">
        <f t="shared" si="2"/>
        <v>14.878461538461522</v>
      </c>
      <c r="F54">
        <f t="shared" si="3"/>
        <v>107.8917360946744</v>
      </c>
      <c r="G54">
        <f t="shared" si="4"/>
        <v>52.584810059171559</v>
      </c>
      <c r="H54">
        <f t="shared" si="5"/>
        <v>221.36861775147881</v>
      </c>
    </row>
    <row r="55" spans="1:8" x14ac:dyDescent="0.25">
      <c r="A55">
        <v>52</v>
      </c>
      <c r="B55" s="6">
        <v>129.16</v>
      </c>
      <c r="C55" s="39">
        <f t="shared" si="0"/>
        <v>134.46</v>
      </c>
      <c r="D55" s="39">
        <f t="shared" si="1"/>
        <v>6.1315384615384545</v>
      </c>
      <c r="E55" s="39">
        <f t="shared" si="2"/>
        <v>14.828461538461539</v>
      </c>
      <c r="F55">
        <f t="shared" si="3"/>
        <v>90.921282248520612</v>
      </c>
      <c r="G55">
        <f t="shared" si="4"/>
        <v>37.595763905325356</v>
      </c>
      <c r="H55">
        <f t="shared" si="5"/>
        <v>219.88327159763315</v>
      </c>
    </row>
    <row r="56" spans="1:8" x14ac:dyDescent="0.25">
      <c r="A56">
        <v>53</v>
      </c>
      <c r="B56" s="6">
        <v>128.94</v>
      </c>
      <c r="C56" s="39">
        <f t="shared" si="0"/>
        <v>134.27000000000001</v>
      </c>
      <c r="D56" s="39">
        <f t="shared" si="1"/>
        <v>5.9115384615384556</v>
      </c>
      <c r="E56" s="39">
        <f t="shared" si="2"/>
        <v>14.638461538461542</v>
      </c>
      <c r="F56">
        <f t="shared" si="3"/>
        <v>86.535828402366789</v>
      </c>
      <c r="G56">
        <f t="shared" si="4"/>
        <v>34.946286982248452</v>
      </c>
      <c r="H56">
        <f t="shared" si="5"/>
        <v>214.28455621301785</v>
      </c>
    </row>
    <row r="57" spans="1:8" x14ac:dyDescent="0.25">
      <c r="A57">
        <v>54</v>
      </c>
      <c r="B57" s="6">
        <v>129.30000000000001</v>
      </c>
      <c r="C57" s="39">
        <f t="shared" si="0"/>
        <v>133.72999999999999</v>
      </c>
      <c r="D57" s="39">
        <f t="shared" si="1"/>
        <v>6.2715384615384693</v>
      </c>
      <c r="E57" s="39">
        <f t="shared" si="2"/>
        <v>14.098461538461521</v>
      </c>
      <c r="F57">
        <f t="shared" si="3"/>
        <v>88.419043786982243</v>
      </c>
      <c r="G57">
        <f t="shared" si="4"/>
        <v>39.332194674556312</v>
      </c>
      <c r="H57">
        <f t="shared" si="5"/>
        <v>198.7666177514788</v>
      </c>
    </row>
    <row r="58" spans="1:8" x14ac:dyDescent="0.25">
      <c r="A58">
        <v>55</v>
      </c>
      <c r="B58" s="6">
        <v>131.22</v>
      </c>
      <c r="C58" s="39">
        <f t="shared" si="0"/>
        <v>132.01</v>
      </c>
      <c r="D58" s="39">
        <f t="shared" si="1"/>
        <v>8.1915384615384568</v>
      </c>
      <c r="E58" s="39">
        <f t="shared" si="2"/>
        <v>12.378461538461522</v>
      </c>
      <c r="F58">
        <f t="shared" si="3"/>
        <v>101.39864378698206</v>
      </c>
      <c r="G58">
        <f t="shared" si="4"/>
        <v>67.101302366863834</v>
      </c>
      <c r="H58">
        <f t="shared" si="5"/>
        <v>153.2263100591712</v>
      </c>
    </row>
    <row r="59" spans="1:8" x14ac:dyDescent="0.25">
      <c r="A59">
        <v>56</v>
      </c>
      <c r="B59" s="6">
        <v>132.52000000000001</v>
      </c>
      <c r="C59" s="39">
        <f t="shared" si="0"/>
        <v>130.59</v>
      </c>
      <c r="D59" s="39">
        <f t="shared" si="1"/>
        <v>9.4915384615384681</v>
      </c>
      <c r="E59" s="39">
        <f t="shared" si="2"/>
        <v>10.958461538461535</v>
      </c>
      <c r="F59">
        <f t="shared" si="3"/>
        <v>104.01265917159768</v>
      </c>
      <c r="G59">
        <f t="shared" si="4"/>
        <v>90.089302366864032</v>
      </c>
      <c r="H59">
        <f t="shared" si="5"/>
        <v>120.08787928994074</v>
      </c>
    </row>
    <row r="60" spans="1:8" x14ac:dyDescent="0.25">
      <c r="A60">
        <v>57</v>
      </c>
      <c r="B60" s="6">
        <v>134.25</v>
      </c>
      <c r="C60" s="39">
        <f t="shared" si="0"/>
        <v>130.28</v>
      </c>
      <c r="D60" s="39">
        <f t="shared" si="1"/>
        <v>11.221538461538458</v>
      </c>
      <c r="E60" s="39">
        <f t="shared" si="2"/>
        <v>10.648461538461532</v>
      </c>
      <c r="F60">
        <f t="shared" si="3"/>
        <v>119.49212071005907</v>
      </c>
      <c r="G60">
        <f t="shared" si="4"/>
        <v>125.92292544378689</v>
      </c>
      <c r="H60">
        <f t="shared" si="5"/>
        <v>113.38973313609455</v>
      </c>
    </row>
    <row r="61" spans="1:8" x14ac:dyDescent="0.25">
      <c r="A61">
        <v>58</v>
      </c>
      <c r="B61" s="6">
        <v>136.06</v>
      </c>
      <c r="C61" s="39">
        <f t="shared" si="0"/>
        <v>129.16</v>
      </c>
      <c r="D61" s="39">
        <f t="shared" si="1"/>
        <v>13.03153846153846</v>
      </c>
      <c r="E61" s="39">
        <f t="shared" si="2"/>
        <v>9.5284615384615279</v>
      </c>
      <c r="F61">
        <f t="shared" si="3"/>
        <v>124.17051301775133</v>
      </c>
      <c r="G61">
        <f t="shared" si="4"/>
        <v>169.82099467455618</v>
      </c>
      <c r="H61">
        <f t="shared" si="5"/>
        <v>90.791579289940628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6220.84</v>
      </c>
      <c r="D62" s="39">
        <f t="shared" si="6"/>
        <v>-1.9895196601282805E-13</v>
      </c>
      <c r="E62" s="39">
        <f t="shared" si="6"/>
        <v>-3.694822225952521E-13</v>
      </c>
      <c r="F62" s="39">
        <f t="shared" si="6"/>
        <v>5783.2997230769215</v>
      </c>
      <c r="G62" s="39">
        <f t="shared" si="6"/>
        <v>7465.126676923076</v>
      </c>
      <c r="H62" s="39">
        <f t="shared" si="6"/>
        <v>8843.5512769230772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119.63153846153847</v>
      </c>
    </row>
    <row r="65" spans="1:2" ht="18" x14ac:dyDescent="0.35">
      <c r="A65" t="s">
        <v>123</v>
      </c>
      <c r="B65" s="39">
        <f>SUM(B10:B61)/52</f>
        <v>123.02846153846154</v>
      </c>
    </row>
    <row r="66" spans="1:2" ht="18" x14ac:dyDescent="0.35">
      <c r="A66" t="s">
        <v>124</v>
      </c>
      <c r="B66">
        <f>SUM(C10:C61)/52</f>
        <v>119.63153846153847</v>
      </c>
    </row>
    <row r="68" spans="1:2" ht="18" x14ac:dyDescent="0.35">
      <c r="A68" t="s">
        <v>125</v>
      </c>
      <c r="B68">
        <f>F62/SQRT(G62*H62)</f>
        <v>0.71177668880820888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G70" sqref="G70"/>
    </sheetView>
  </sheetViews>
  <sheetFormatPr defaultRowHeight="15" x14ac:dyDescent="0.25"/>
  <cols>
    <col min="6" max="6" width="15.5703125" customWidth="1"/>
  </cols>
  <sheetData>
    <row r="2" spans="1:8" x14ac:dyDescent="0.25">
      <c r="A2" s="34">
        <v>1</v>
      </c>
      <c r="B2" s="34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H2" s="40">
        <v>8</v>
      </c>
    </row>
    <row r="3" spans="1:8" ht="18" x14ac:dyDescent="0.35">
      <c r="A3" s="35" t="s">
        <v>67</v>
      </c>
      <c r="B3" s="35" t="s">
        <v>68</v>
      </c>
      <c r="C3" s="41" t="s">
        <v>126</v>
      </c>
      <c r="D3" s="41" t="s">
        <v>127</v>
      </c>
      <c r="E3" s="41" t="s">
        <v>128</v>
      </c>
      <c r="F3" s="42" t="s">
        <v>129</v>
      </c>
      <c r="G3" s="41" t="s">
        <v>130</v>
      </c>
      <c r="H3" s="41" t="s">
        <v>131</v>
      </c>
    </row>
    <row r="4" spans="1:8" x14ac:dyDescent="0.25">
      <c r="A4">
        <v>1</v>
      </c>
      <c r="B4" s="11">
        <v>102.32</v>
      </c>
      <c r="C4" s="38" t="s">
        <v>75</v>
      </c>
      <c r="D4" s="38" t="s">
        <v>75</v>
      </c>
      <c r="E4" s="38" t="s">
        <v>75</v>
      </c>
      <c r="F4" s="38" t="s">
        <v>75</v>
      </c>
      <c r="G4" s="38" t="s">
        <v>75</v>
      </c>
      <c r="H4" s="38" t="s">
        <v>75</v>
      </c>
    </row>
    <row r="5" spans="1:8" x14ac:dyDescent="0.25">
      <c r="A5">
        <v>2</v>
      </c>
      <c r="B5" s="6">
        <v>102.21</v>
      </c>
      <c r="C5" s="38" t="s">
        <v>75</v>
      </c>
      <c r="D5" s="38" t="s">
        <v>75</v>
      </c>
      <c r="E5" s="38" t="s">
        <v>75</v>
      </c>
      <c r="F5" s="38" t="s">
        <v>75</v>
      </c>
      <c r="G5" s="38" t="s">
        <v>75</v>
      </c>
      <c r="H5" s="38" t="s">
        <v>75</v>
      </c>
    </row>
    <row r="6" spans="1:8" x14ac:dyDescent="0.25">
      <c r="A6">
        <v>3</v>
      </c>
      <c r="B6" s="6">
        <v>102.16</v>
      </c>
      <c r="C6" s="38" t="s">
        <v>75</v>
      </c>
      <c r="D6" s="38" t="s">
        <v>75</v>
      </c>
      <c r="E6" s="38" t="s">
        <v>75</v>
      </c>
      <c r="F6" s="38" t="s">
        <v>75</v>
      </c>
      <c r="G6" s="38" t="s">
        <v>75</v>
      </c>
      <c r="H6" s="38" t="s">
        <v>75</v>
      </c>
    </row>
    <row r="7" spans="1:8" x14ac:dyDescent="0.25">
      <c r="A7">
        <v>4</v>
      </c>
      <c r="B7" s="6">
        <v>102.06</v>
      </c>
      <c r="C7" s="38" t="s">
        <v>75</v>
      </c>
      <c r="D7" s="38" t="s">
        <v>75</v>
      </c>
      <c r="E7" s="38" t="s">
        <v>75</v>
      </c>
      <c r="F7" s="38" t="s">
        <v>75</v>
      </c>
      <c r="G7" s="38" t="s">
        <v>75</v>
      </c>
      <c r="H7" s="38" t="s">
        <v>75</v>
      </c>
    </row>
    <row r="8" spans="1:8" x14ac:dyDescent="0.25">
      <c r="A8">
        <v>5</v>
      </c>
      <c r="B8" s="6">
        <v>102.55</v>
      </c>
      <c r="C8" s="38" t="s">
        <v>75</v>
      </c>
      <c r="D8" s="38" t="s">
        <v>75</v>
      </c>
      <c r="E8" s="38" t="s">
        <v>75</v>
      </c>
      <c r="F8" s="38" t="s">
        <v>75</v>
      </c>
      <c r="G8" s="38" t="s">
        <v>75</v>
      </c>
      <c r="H8" s="38" t="s">
        <v>75</v>
      </c>
    </row>
    <row r="9" spans="1:8" x14ac:dyDescent="0.25">
      <c r="A9">
        <v>6</v>
      </c>
      <c r="B9" s="6">
        <v>104.35</v>
      </c>
      <c r="C9" s="38" t="s">
        <v>75</v>
      </c>
      <c r="D9" s="38" t="s">
        <v>75</v>
      </c>
      <c r="E9" s="38" t="s">
        <v>75</v>
      </c>
      <c r="F9" s="38" t="s">
        <v>75</v>
      </c>
      <c r="G9" s="38" t="s">
        <v>75</v>
      </c>
      <c r="H9" s="38" t="s">
        <v>75</v>
      </c>
    </row>
    <row r="10" spans="1:8" x14ac:dyDescent="0.25">
      <c r="A10">
        <v>7</v>
      </c>
      <c r="B10" s="6">
        <v>107.57</v>
      </c>
      <c r="C10" s="38" t="s">
        <v>75</v>
      </c>
      <c r="D10" s="38" t="s">
        <v>75</v>
      </c>
      <c r="E10" s="38" t="s">
        <v>75</v>
      </c>
      <c r="F10" s="38" t="s">
        <v>75</v>
      </c>
      <c r="G10" s="38" t="s">
        <v>75</v>
      </c>
      <c r="H10" s="38" t="s">
        <v>75</v>
      </c>
    </row>
    <row r="11" spans="1:8" x14ac:dyDescent="0.25">
      <c r="A11">
        <v>8</v>
      </c>
      <c r="B11" s="6">
        <v>111.96</v>
      </c>
      <c r="C11" s="39">
        <f>B4</f>
        <v>102.32</v>
      </c>
      <c r="D11" s="39">
        <f>B11-$B$65</f>
        <v>-11.371568627450984</v>
      </c>
      <c r="E11" s="39">
        <f>C11-$B$66</f>
        <v>-17.124705882352956</v>
      </c>
      <c r="F11">
        <f>D11*E11</f>
        <v>194.73476816609019</v>
      </c>
      <c r="G11">
        <f>D11*D11</f>
        <v>129.31257304882743</v>
      </c>
      <c r="H11">
        <f>E11*E11</f>
        <v>293.2555515570939</v>
      </c>
    </row>
    <row r="12" spans="1:8" x14ac:dyDescent="0.25">
      <c r="A12">
        <v>9</v>
      </c>
      <c r="B12" s="6">
        <v>115.27</v>
      </c>
      <c r="C12" s="39">
        <f t="shared" ref="C12:C61" si="0">B5</f>
        <v>102.21</v>
      </c>
      <c r="D12" s="39">
        <f t="shared" ref="D12:D61" si="1">B12-$B$65</f>
        <v>-8.0615686274509812</v>
      </c>
      <c r="E12" s="39">
        <f t="shared" ref="E12:E61" si="2">C12-$B$66</f>
        <v>-17.234705882352955</v>
      </c>
      <c r="F12">
        <f t="shared" ref="F12:F61" si="3">D12*E12</f>
        <v>138.93876424452145</v>
      </c>
      <c r="G12">
        <f t="shared" ref="G12:G61" si="4">D12*D12</f>
        <v>64.988888735101895</v>
      </c>
      <c r="H12">
        <f t="shared" ref="H12:H61" si="5">E12*E12</f>
        <v>297.03508685121153</v>
      </c>
    </row>
    <row r="13" spans="1:8" x14ac:dyDescent="0.25">
      <c r="A13">
        <v>10</v>
      </c>
      <c r="B13" s="6">
        <v>117.17</v>
      </c>
      <c r="C13" s="39">
        <f t="shared" si="0"/>
        <v>102.16</v>
      </c>
      <c r="D13" s="39">
        <f t="shared" si="1"/>
        <v>-6.1615686274509756</v>
      </c>
      <c r="E13" s="39">
        <f t="shared" si="2"/>
        <v>-17.284705882352952</v>
      </c>
      <c r="F13">
        <f t="shared" si="3"/>
        <v>106.50090149942328</v>
      </c>
      <c r="G13">
        <f t="shared" si="4"/>
        <v>37.964927950788102</v>
      </c>
      <c r="H13">
        <f t="shared" si="5"/>
        <v>298.76105743944674</v>
      </c>
    </row>
    <row r="14" spans="1:8" x14ac:dyDescent="0.25">
      <c r="A14">
        <v>11</v>
      </c>
      <c r="B14" s="6">
        <v>117.61</v>
      </c>
      <c r="C14" s="39">
        <f t="shared" si="0"/>
        <v>102.06</v>
      </c>
      <c r="D14" s="39">
        <f t="shared" si="1"/>
        <v>-5.7215686274509778</v>
      </c>
      <c r="E14" s="39">
        <f t="shared" si="2"/>
        <v>-17.384705882352947</v>
      </c>
      <c r="F14">
        <f t="shared" si="3"/>
        <v>99.467787773933082</v>
      </c>
      <c r="G14">
        <f t="shared" si="4"/>
        <v>32.736347558631266</v>
      </c>
      <c r="H14">
        <f t="shared" si="5"/>
        <v>302.22799861591716</v>
      </c>
    </row>
    <row r="15" spans="1:8" x14ac:dyDescent="0.25">
      <c r="A15">
        <v>12</v>
      </c>
      <c r="B15" s="6">
        <v>117.26</v>
      </c>
      <c r="C15" s="39">
        <f t="shared" si="0"/>
        <v>102.55</v>
      </c>
      <c r="D15" s="39">
        <f t="shared" si="1"/>
        <v>-6.0715686274509721</v>
      </c>
      <c r="E15" s="39">
        <f t="shared" si="2"/>
        <v>-16.894705882352952</v>
      </c>
      <c r="F15">
        <f t="shared" si="3"/>
        <v>102.57736620530558</v>
      </c>
      <c r="G15">
        <f t="shared" si="4"/>
        <v>36.863945597846879</v>
      </c>
      <c r="H15">
        <f t="shared" si="5"/>
        <v>285.43108685121143</v>
      </c>
    </row>
    <row r="16" spans="1:8" x14ac:dyDescent="0.25">
      <c r="A16">
        <v>13</v>
      </c>
      <c r="B16" s="6">
        <v>115.88</v>
      </c>
      <c r="C16" s="39">
        <f t="shared" si="0"/>
        <v>104.35</v>
      </c>
      <c r="D16" s="39">
        <f t="shared" si="1"/>
        <v>-7.4515686274509818</v>
      </c>
      <c r="E16" s="39">
        <f t="shared" si="2"/>
        <v>-15.094705882352955</v>
      </c>
      <c r="F16">
        <f t="shared" si="3"/>
        <v>112.47923679354106</v>
      </c>
      <c r="G16">
        <f t="shared" si="4"/>
        <v>55.52587500961171</v>
      </c>
      <c r="H16">
        <f t="shared" si="5"/>
        <v>227.8501456747409</v>
      </c>
    </row>
    <row r="17" spans="1:8" x14ac:dyDescent="0.25">
      <c r="A17">
        <v>14</v>
      </c>
      <c r="B17" s="6">
        <v>113.35</v>
      </c>
      <c r="C17" s="39">
        <f t="shared" si="0"/>
        <v>107.57</v>
      </c>
      <c r="D17" s="39">
        <f t="shared" si="1"/>
        <v>-9.9815686274509829</v>
      </c>
      <c r="E17" s="39">
        <f t="shared" si="2"/>
        <v>-11.874705882352956</v>
      </c>
      <c r="F17">
        <f t="shared" si="3"/>
        <v>118.5281916955019</v>
      </c>
      <c r="G17">
        <f t="shared" si="4"/>
        <v>99.631712264513695</v>
      </c>
      <c r="H17">
        <f t="shared" si="5"/>
        <v>141.0086397923879</v>
      </c>
    </row>
    <row r="18" spans="1:8" x14ac:dyDescent="0.25">
      <c r="A18">
        <v>15</v>
      </c>
      <c r="B18" s="6">
        <v>111.39</v>
      </c>
      <c r="C18" s="39">
        <f t="shared" si="0"/>
        <v>111.96</v>
      </c>
      <c r="D18" s="39">
        <f t="shared" si="1"/>
        <v>-11.941568627450977</v>
      </c>
      <c r="E18" s="39">
        <f t="shared" si="2"/>
        <v>-7.4847058823529551</v>
      </c>
      <c r="F18">
        <f t="shared" si="3"/>
        <v>89.379128950403825</v>
      </c>
      <c r="G18">
        <f t="shared" si="4"/>
        <v>142.60106128412141</v>
      </c>
      <c r="H18">
        <f t="shared" si="5"/>
        <v>56.020822145328928</v>
      </c>
    </row>
    <row r="19" spans="1:8" x14ac:dyDescent="0.25">
      <c r="A19">
        <v>16</v>
      </c>
      <c r="B19" s="6">
        <v>109.76</v>
      </c>
      <c r="C19" s="39">
        <f t="shared" si="0"/>
        <v>115.27</v>
      </c>
      <c r="D19" s="39">
        <f t="shared" si="1"/>
        <v>-13.571568627450972</v>
      </c>
      <c r="E19" s="39">
        <f t="shared" si="2"/>
        <v>-4.1747058823529528</v>
      </c>
      <c r="F19">
        <f t="shared" si="3"/>
        <v>56.657307381776363</v>
      </c>
      <c r="G19">
        <f t="shared" si="4"/>
        <v>184.18747500961146</v>
      </c>
      <c r="H19">
        <f t="shared" si="5"/>
        <v>17.428169204152347</v>
      </c>
    </row>
    <row r="20" spans="1:8" x14ac:dyDescent="0.25">
      <c r="A20">
        <v>17</v>
      </c>
      <c r="B20" s="6">
        <v>109.5</v>
      </c>
      <c r="C20" s="39">
        <f t="shared" si="0"/>
        <v>117.17</v>
      </c>
      <c r="D20" s="39">
        <f t="shared" si="1"/>
        <v>-13.831568627450977</v>
      </c>
      <c r="E20" s="39">
        <f t="shared" si="2"/>
        <v>-2.2747058823529471</v>
      </c>
      <c r="F20">
        <f t="shared" si="3"/>
        <v>31.462750519031218</v>
      </c>
      <c r="G20">
        <f t="shared" si="4"/>
        <v>191.31229069588611</v>
      </c>
      <c r="H20">
        <f t="shared" si="5"/>
        <v>5.1742868512110993</v>
      </c>
    </row>
    <row r="21" spans="1:8" x14ac:dyDescent="0.25">
      <c r="A21">
        <v>18</v>
      </c>
      <c r="B21" s="6">
        <v>108.86</v>
      </c>
      <c r="C21" s="39">
        <f t="shared" si="0"/>
        <v>117.61</v>
      </c>
      <c r="D21" s="39">
        <f t="shared" si="1"/>
        <v>-14.471568627450978</v>
      </c>
      <c r="E21" s="39">
        <f t="shared" si="2"/>
        <v>-1.8347058823529494</v>
      </c>
      <c r="F21">
        <f t="shared" si="3"/>
        <v>26.551072087658707</v>
      </c>
      <c r="G21">
        <f t="shared" si="4"/>
        <v>209.42629853902338</v>
      </c>
      <c r="H21">
        <f t="shared" si="5"/>
        <v>3.3661456747405145</v>
      </c>
    </row>
    <row r="22" spans="1:8" x14ac:dyDescent="0.25">
      <c r="A22">
        <v>19</v>
      </c>
      <c r="B22" s="6">
        <v>108.49</v>
      </c>
      <c r="C22" s="39">
        <f t="shared" si="0"/>
        <v>117.26</v>
      </c>
      <c r="D22" s="39">
        <f t="shared" si="1"/>
        <v>-14.841568627450982</v>
      </c>
      <c r="E22" s="39">
        <f t="shared" si="2"/>
        <v>-2.1847058823529437</v>
      </c>
      <c r="F22">
        <f t="shared" si="3"/>
        <v>32.424462283737064</v>
      </c>
      <c r="G22">
        <f t="shared" si="4"/>
        <v>220.27215932333723</v>
      </c>
      <c r="H22">
        <f t="shared" si="5"/>
        <v>4.7729397923875547</v>
      </c>
    </row>
    <row r="23" spans="1:8" x14ac:dyDescent="0.25">
      <c r="A23">
        <v>20</v>
      </c>
      <c r="B23" s="6">
        <v>108.36</v>
      </c>
      <c r="C23" s="39">
        <f t="shared" si="0"/>
        <v>115.88</v>
      </c>
      <c r="D23" s="39">
        <f t="shared" si="1"/>
        <v>-14.971568627450978</v>
      </c>
      <c r="E23" s="39">
        <f t="shared" si="2"/>
        <v>-3.5647058823529534</v>
      </c>
      <c r="F23">
        <f t="shared" si="3"/>
        <v>53.36923875432543</v>
      </c>
      <c r="G23">
        <f t="shared" si="4"/>
        <v>224.14786716647436</v>
      </c>
      <c r="H23">
        <f t="shared" si="5"/>
        <v>12.707128027681748</v>
      </c>
    </row>
    <row r="24" spans="1:8" x14ac:dyDescent="0.25">
      <c r="A24">
        <v>21</v>
      </c>
      <c r="B24" s="6">
        <v>108.19</v>
      </c>
      <c r="C24" s="39">
        <f t="shared" si="0"/>
        <v>113.35</v>
      </c>
      <c r="D24" s="39">
        <f t="shared" si="1"/>
        <v>-15.14156862745098</v>
      </c>
      <c r="E24" s="39">
        <f t="shared" si="2"/>
        <v>-6.0947058823529545</v>
      </c>
      <c r="F24">
        <f t="shared" si="3"/>
        <v>92.283407381776442</v>
      </c>
      <c r="G24">
        <f t="shared" si="4"/>
        <v>229.26710049980775</v>
      </c>
      <c r="H24">
        <f t="shared" si="5"/>
        <v>37.145439792387705</v>
      </c>
    </row>
    <row r="25" spans="1:8" x14ac:dyDescent="0.25">
      <c r="A25">
        <v>22</v>
      </c>
      <c r="B25" s="6">
        <v>107.8</v>
      </c>
      <c r="C25" s="39">
        <f t="shared" si="0"/>
        <v>111.39</v>
      </c>
      <c r="D25" s="39">
        <f t="shared" si="1"/>
        <v>-15.53156862745098</v>
      </c>
      <c r="E25" s="39">
        <f t="shared" si="2"/>
        <v>-8.0547058823529483</v>
      </c>
      <c r="F25">
        <f t="shared" si="3"/>
        <v>125.10221718569791</v>
      </c>
      <c r="G25">
        <f t="shared" si="4"/>
        <v>241.22962402921951</v>
      </c>
      <c r="H25">
        <f t="shared" si="5"/>
        <v>64.878286851211186</v>
      </c>
    </row>
    <row r="26" spans="1:8" x14ac:dyDescent="0.25">
      <c r="A26">
        <v>23</v>
      </c>
      <c r="B26" s="6">
        <v>107.47</v>
      </c>
      <c r="C26" s="39">
        <f t="shared" si="0"/>
        <v>109.76</v>
      </c>
      <c r="D26" s="39">
        <f t="shared" si="1"/>
        <v>-15.861568627450978</v>
      </c>
      <c r="E26" s="39">
        <f t="shared" si="2"/>
        <v>-9.6847058823529437</v>
      </c>
      <c r="F26">
        <f t="shared" si="3"/>
        <v>153.61462698961941</v>
      </c>
      <c r="G26">
        <f t="shared" si="4"/>
        <v>251.58935932333711</v>
      </c>
      <c r="H26">
        <f t="shared" si="5"/>
        <v>93.793528027681717</v>
      </c>
    </row>
    <row r="27" spans="1:8" x14ac:dyDescent="0.25">
      <c r="A27">
        <v>24</v>
      </c>
      <c r="B27" s="6">
        <v>107.03</v>
      </c>
      <c r="C27" s="39">
        <f t="shared" si="0"/>
        <v>109.5</v>
      </c>
      <c r="D27" s="39">
        <f t="shared" si="1"/>
        <v>-16.301568627450976</v>
      </c>
      <c r="E27" s="39">
        <f t="shared" si="2"/>
        <v>-9.9447058823529488</v>
      </c>
      <c r="F27">
        <f t="shared" si="3"/>
        <v>162.114305420992</v>
      </c>
      <c r="G27">
        <f t="shared" si="4"/>
        <v>265.74113971549389</v>
      </c>
      <c r="H27">
        <f t="shared" si="5"/>
        <v>98.897175086505342</v>
      </c>
    </row>
    <row r="28" spans="1:8" x14ac:dyDescent="0.25">
      <c r="A28">
        <v>25</v>
      </c>
      <c r="B28" s="6">
        <v>106.61</v>
      </c>
      <c r="C28" s="39">
        <f t="shared" si="0"/>
        <v>108.86</v>
      </c>
      <c r="D28" s="39">
        <f t="shared" si="1"/>
        <v>-16.721568627450978</v>
      </c>
      <c r="E28" s="39">
        <f t="shared" si="2"/>
        <v>-10.584705882352949</v>
      </c>
      <c r="F28">
        <f t="shared" si="3"/>
        <v>176.99288581314889</v>
      </c>
      <c r="G28">
        <f t="shared" si="4"/>
        <v>279.61085736255279</v>
      </c>
      <c r="H28">
        <f t="shared" si="5"/>
        <v>112.03599861591712</v>
      </c>
    </row>
    <row r="29" spans="1:8" x14ac:dyDescent="0.25">
      <c r="A29">
        <v>26</v>
      </c>
      <c r="B29" s="6">
        <v>106.57</v>
      </c>
      <c r="C29" s="39">
        <f t="shared" si="0"/>
        <v>108.49</v>
      </c>
      <c r="D29" s="39">
        <f t="shared" si="1"/>
        <v>-16.761568627450984</v>
      </c>
      <c r="E29" s="39">
        <f t="shared" si="2"/>
        <v>-10.954705882352954</v>
      </c>
      <c r="F29">
        <f t="shared" si="3"/>
        <v>183.61805444060002</v>
      </c>
      <c r="G29">
        <f t="shared" si="4"/>
        <v>280.95018285274909</v>
      </c>
      <c r="H29">
        <f t="shared" si="5"/>
        <v>120.00558096885841</v>
      </c>
    </row>
    <row r="30" spans="1:8" x14ac:dyDescent="0.25">
      <c r="A30">
        <v>27</v>
      </c>
      <c r="B30" s="6">
        <v>106.49</v>
      </c>
      <c r="C30" s="39">
        <f t="shared" si="0"/>
        <v>108.36</v>
      </c>
      <c r="D30" s="39">
        <f t="shared" si="1"/>
        <v>-16.841568627450982</v>
      </c>
      <c r="E30" s="39">
        <f t="shared" si="2"/>
        <v>-11.084705882352949</v>
      </c>
      <c r="F30">
        <f t="shared" si="3"/>
        <v>186.68383483275679</v>
      </c>
      <c r="G30">
        <f t="shared" si="4"/>
        <v>283.63843383314116</v>
      </c>
      <c r="H30">
        <f t="shared" si="5"/>
        <v>122.87070449827007</v>
      </c>
    </row>
    <row r="31" spans="1:8" x14ac:dyDescent="0.25">
      <c r="A31">
        <v>28</v>
      </c>
      <c r="B31" s="6">
        <v>107.04</v>
      </c>
      <c r="C31" s="39">
        <f t="shared" si="0"/>
        <v>108.19</v>
      </c>
      <c r="D31" s="39">
        <f t="shared" si="1"/>
        <v>-16.291568627450971</v>
      </c>
      <c r="E31" s="39">
        <f t="shared" si="2"/>
        <v>-11.254705882352951</v>
      </c>
      <c r="F31">
        <f t="shared" si="3"/>
        <v>183.35681326412924</v>
      </c>
      <c r="G31">
        <f t="shared" si="4"/>
        <v>265.41520834294471</v>
      </c>
      <c r="H31">
        <f t="shared" si="5"/>
        <v>126.66840449827012</v>
      </c>
    </row>
    <row r="32" spans="1:8" x14ac:dyDescent="0.25">
      <c r="A32">
        <v>29</v>
      </c>
      <c r="B32" s="6">
        <v>111.35</v>
      </c>
      <c r="C32" s="39">
        <f t="shared" si="0"/>
        <v>107.8</v>
      </c>
      <c r="D32" s="39">
        <f t="shared" si="1"/>
        <v>-11.981568627450983</v>
      </c>
      <c r="E32" s="39">
        <f t="shared" si="2"/>
        <v>-11.644705882352952</v>
      </c>
      <c r="F32">
        <f t="shared" si="3"/>
        <v>139.52184267589405</v>
      </c>
      <c r="G32">
        <f t="shared" si="4"/>
        <v>143.55798677431764</v>
      </c>
      <c r="H32">
        <f t="shared" si="5"/>
        <v>135.59917508650543</v>
      </c>
    </row>
    <row r="33" spans="1:8" x14ac:dyDescent="0.25">
      <c r="A33">
        <v>30</v>
      </c>
      <c r="B33" s="6">
        <v>117.54</v>
      </c>
      <c r="C33" s="39">
        <f t="shared" si="0"/>
        <v>107.47</v>
      </c>
      <c r="D33" s="39">
        <f t="shared" si="1"/>
        <v>-5.791568627450971</v>
      </c>
      <c r="E33" s="39">
        <f t="shared" si="2"/>
        <v>-11.97470588235295</v>
      </c>
      <c r="F33">
        <f t="shared" si="3"/>
        <v>69.352330911187948</v>
      </c>
      <c r="G33">
        <f t="shared" si="4"/>
        <v>33.542267166474325</v>
      </c>
      <c r="H33">
        <f t="shared" si="5"/>
        <v>143.39358096885834</v>
      </c>
    </row>
    <row r="34" spans="1:8" x14ac:dyDescent="0.25">
      <c r="A34">
        <v>31</v>
      </c>
      <c r="B34" s="6">
        <v>122.58</v>
      </c>
      <c r="C34" s="39">
        <f t="shared" si="0"/>
        <v>107.03</v>
      </c>
      <c r="D34" s="39">
        <f t="shared" si="1"/>
        <v>-0.75156862745097897</v>
      </c>
      <c r="E34" s="39">
        <f t="shared" si="2"/>
        <v>-12.414705882352948</v>
      </c>
      <c r="F34">
        <f t="shared" si="3"/>
        <v>9.3305034602076002</v>
      </c>
      <c r="G34">
        <f t="shared" si="4"/>
        <v>0.56485540176854843</v>
      </c>
      <c r="H34">
        <f t="shared" si="5"/>
        <v>154.1249221453289</v>
      </c>
    </row>
    <row r="35" spans="1:8" x14ac:dyDescent="0.25">
      <c r="A35">
        <v>32</v>
      </c>
      <c r="B35" s="6">
        <v>128.16</v>
      </c>
      <c r="C35" s="39">
        <f t="shared" si="0"/>
        <v>106.61</v>
      </c>
      <c r="D35" s="39">
        <f t="shared" si="1"/>
        <v>4.8284313725490193</v>
      </c>
      <c r="E35" s="39">
        <f t="shared" si="2"/>
        <v>-12.834705882352949</v>
      </c>
      <c r="F35">
        <f t="shared" si="3"/>
        <v>-61.971496539792426</v>
      </c>
      <c r="G35">
        <f t="shared" si="4"/>
        <v>23.313749519415605</v>
      </c>
      <c r="H35">
        <f t="shared" si="5"/>
        <v>164.72967508650541</v>
      </c>
    </row>
    <row r="36" spans="1:8" x14ac:dyDescent="0.25">
      <c r="A36">
        <v>33</v>
      </c>
      <c r="B36" s="6">
        <v>132.86000000000001</v>
      </c>
      <c r="C36" s="39">
        <f t="shared" si="0"/>
        <v>106.57</v>
      </c>
      <c r="D36" s="39">
        <f t="shared" si="1"/>
        <v>9.5284313725490364</v>
      </c>
      <c r="E36" s="39">
        <f t="shared" si="2"/>
        <v>-12.874705882352956</v>
      </c>
      <c r="F36">
        <f t="shared" si="3"/>
        <v>-122.67575144175352</v>
      </c>
      <c r="G36">
        <f t="shared" si="4"/>
        <v>90.791004421376712</v>
      </c>
      <c r="H36">
        <f t="shared" si="5"/>
        <v>165.75805155709381</v>
      </c>
    </row>
    <row r="37" spans="1:8" x14ac:dyDescent="0.25">
      <c r="A37">
        <v>34</v>
      </c>
      <c r="B37" s="6">
        <v>134.91999999999999</v>
      </c>
      <c r="C37" s="39">
        <f t="shared" si="0"/>
        <v>106.49</v>
      </c>
      <c r="D37" s="39">
        <f t="shared" si="1"/>
        <v>11.58843137254901</v>
      </c>
      <c r="E37" s="39">
        <f t="shared" si="2"/>
        <v>-12.954705882352954</v>
      </c>
      <c r="F37">
        <f t="shared" si="3"/>
        <v>-150.12472006920419</v>
      </c>
      <c r="G37">
        <f t="shared" si="4"/>
        <v>134.29174167627815</v>
      </c>
      <c r="H37">
        <f t="shared" si="5"/>
        <v>167.82440449827024</v>
      </c>
    </row>
    <row r="38" spans="1:8" x14ac:dyDescent="0.25">
      <c r="A38">
        <v>35</v>
      </c>
      <c r="B38" s="6">
        <v>135.69999999999999</v>
      </c>
      <c r="C38" s="39">
        <f t="shared" si="0"/>
        <v>107.04</v>
      </c>
      <c r="D38" s="39">
        <f t="shared" si="1"/>
        <v>12.368431372549011</v>
      </c>
      <c r="E38" s="39">
        <f t="shared" si="2"/>
        <v>-12.404705882352943</v>
      </c>
      <c r="F38">
        <f t="shared" si="3"/>
        <v>-153.4267534025374</v>
      </c>
      <c r="G38">
        <f t="shared" si="4"/>
        <v>152.97809461745462</v>
      </c>
      <c r="H38">
        <f t="shared" si="5"/>
        <v>153.87672802768171</v>
      </c>
    </row>
    <row r="39" spans="1:8" x14ac:dyDescent="0.25">
      <c r="A39">
        <v>36</v>
      </c>
      <c r="B39" s="6">
        <v>136.13999999999999</v>
      </c>
      <c r="C39" s="39">
        <f t="shared" si="0"/>
        <v>111.35</v>
      </c>
      <c r="D39" s="39">
        <f t="shared" si="1"/>
        <v>12.808431372549009</v>
      </c>
      <c r="E39" s="39">
        <f t="shared" si="2"/>
        <v>-8.0947058823529545</v>
      </c>
      <c r="F39">
        <f t="shared" si="3"/>
        <v>-103.6804847750866</v>
      </c>
      <c r="G39">
        <f t="shared" si="4"/>
        <v>164.0559142252977</v>
      </c>
      <c r="H39">
        <f t="shared" si="5"/>
        <v>65.524263321799523</v>
      </c>
    </row>
    <row r="40" spans="1:8" x14ac:dyDescent="0.25">
      <c r="A40">
        <v>37</v>
      </c>
      <c r="B40" s="6">
        <v>140.15</v>
      </c>
      <c r="C40" s="39">
        <f t="shared" si="0"/>
        <v>117.54</v>
      </c>
      <c r="D40" s="39">
        <f t="shared" si="1"/>
        <v>16.818431372549028</v>
      </c>
      <c r="E40" s="39">
        <f t="shared" si="2"/>
        <v>-1.9047058823529426</v>
      </c>
      <c r="F40">
        <f t="shared" si="3"/>
        <v>-32.034165167243408</v>
      </c>
      <c r="G40">
        <f t="shared" si="4"/>
        <v>282.8596338331414</v>
      </c>
      <c r="H40">
        <f t="shared" si="5"/>
        <v>3.6279044982699014</v>
      </c>
    </row>
    <row r="41" spans="1:8" x14ac:dyDescent="0.25">
      <c r="A41">
        <v>38</v>
      </c>
      <c r="B41" s="6">
        <v>140.09</v>
      </c>
      <c r="C41" s="39">
        <f t="shared" si="0"/>
        <v>122.58</v>
      </c>
      <c r="D41" s="39">
        <f t="shared" si="1"/>
        <v>16.758431372549026</v>
      </c>
      <c r="E41" s="39">
        <f t="shared" si="2"/>
        <v>3.1352941176470495</v>
      </c>
      <c r="F41">
        <f t="shared" si="3"/>
        <v>52.542611303344728</v>
      </c>
      <c r="G41">
        <f t="shared" si="4"/>
        <v>280.84502206843541</v>
      </c>
      <c r="H41">
        <f t="shared" si="5"/>
        <v>9.8300692041521902</v>
      </c>
    </row>
    <row r="42" spans="1:8" x14ac:dyDescent="0.25">
      <c r="A42">
        <v>39</v>
      </c>
      <c r="B42" s="6">
        <v>139.1</v>
      </c>
      <c r="C42" s="39">
        <f t="shared" si="0"/>
        <v>128.16</v>
      </c>
      <c r="D42" s="39">
        <f t="shared" si="1"/>
        <v>15.768431372549017</v>
      </c>
      <c r="E42" s="39">
        <f t="shared" si="2"/>
        <v>8.7152941176470478</v>
      </c>
      <c r="F42">
        <f t="shared" si="3"/>
        <v>137.42651718569761</v>
      </c>
      <c r="G42">
        <f t="shared" si="4"/>
        <v>248.64342795078807</v>
      </c>
      <c r="H42">
        <f t="shared" si="5"/>
        <v>75.956351557093228</v>
      </c>
    </row>
    <row r="43" spans="1:8" x14ac:dyDescent="0.25">
      <c r="A43">
        <v>40</v>
      </c>
      <c r="B43" s="6">
        <v>137.5</v>
      </c>
      <c r="C43" s="39">
        <f t="shared" si="0"/>
        <v>132.86000000000001</v>
      </c>
      <c r="D43" s="39">
        <f t="shared" si="1"/>
        <v>14.168431372549023</v>
      </c>
      <c r="E43" s="39">
        <f t="shared" si="2"/>
        <v>13.415294117647065</v>
      </c>
      <c r="F43">
        <f t="shared" si="3"/>
        <v>190.07367404844302</v>
      </c>
      <c r="G43">
        <f t="shared" si="4"/>
        <v>200.74444755863138</v>
      </c>
      <c r="H43">
        <f t="shared" si="5"/>
        <v>179.97011626297595</v>
      </c>
    </row>
    <row r="44" spans="1:8" x14ac:dyDescent="0.25">
      <c r="A44">
        <v>41</v>
      </c>
      <c r="B44" s="6">
        <v>136.12</v>
      </c>
      <c r="C44" s="39">
        <f t="shared" si="0"/>
        <v>134.91999999999999</v>
      </c>
      <c r="D44" s="39">
        <f t="shared" si="1"/>
        <v>12.788431372549027</v>
      </c>
      <c r="E44" s="39">
        <f t="shared" si="2"/>
        <v>15.475294117647039</v>
      </c>
      <c r="F44">
        <f t="shared" si="3"/>
        <v>197.90473679354082</v>
      </c>
      <c r="G44">
        <f t="shared" si="4"/>
        <v>163.54397697039619</v>
      </c>
      <c r="H44">
        <f t="shared" si="5"/>
        <v>239.48472802768103</v>
      </c>
    </row>
    <row r="45" spans="1:8" x14ac:dyDescent="0.25">
      <c r="A45">
        <v>42</v>
      </c>
      <c r="B45" s="6">
        <v>135.22</v>
      </c>
      <c r="C45" s="39">
        <f t="shared" si="0"/>
        <v>135.69999999999999</v>
      </c>
      <c r="D45" s="39">
        <f t="shared" si="1"/>
        <v>11.888431372549022</v>
      </c>
      <c r="E45" s="39">
        <f t="shared" si="2"/>
        <v>16.25529411764704</v>
      </c>
      <c r="F45">
        <f t="shared" si="3"/>
        <v>193.24994855824664</v>
      </c>
      <c r="G45">
        <f t="shared" si="4"/>
        <v>141.33480049980781</v>
      </c>
      <c r="H45">
        <f t="shared" si="5"/>
        <v>264.23458685121045</v>
      </c>
    </row>
    <row r="46" spans="1:8" x14ac:dyDescent="0.25">
      <c r="A46">
        <v>43</v>
      </c>
      <c r="B46" s="6">
        <v>134.72999999999999</v>
      </c>
      <c r="C46" s="39">
        <f t="shared" si="0"/>
        <v>136.13999999999999</v>
      </c>
      <c r="D46" s="39">
        <f t="shared" si="1"/>
        <v>11.398431372549013</v>
      </c>
      <c r="E46" s="39">
        <f t="shared" si="2"/>
        <v>16.695294117647038</v>
      </c>
      <c r="F46">
        <f t="shared" si="3"/>
        <v>190.30016424452097</v>
      </c>
      <c r="G46">
        <f t="shared" si="4"/>
        <v>129.92423775470957</v>
      </c>
      <c r="H46">
        <f t="shared" si="5"/>
        <v>278.73284567473979</v>
      </c>
    </row>
    <row r="47" spans="1:8" x14ac:dyDescent="0.25">
      <c r="A47">
        <v>44</v>
      </c>
      <c r="B47" s="6">
        <v>134.38999999999999</v>
      </c>
      <c r="C47" s="39">
        <f t="shared" si="0"/>
        <v>140.15</v>
      </c>
      <c r="D47" s="39">
        <f t="shared" si="1"/>
        <v>11.058431372549009</v>
      </c>
      <c r="E47" s="39">
        <f t="shared" si="2"/>
        <v>20.705294117647057</v>
      </c>
      <c r="F47">
        <f t="shared" si="3"/>
        <v>228.96807404844267</v>
      </c>
      <c r="G47">
        <f t="shared" si="4"/>
        <v>122.28890442137616</v>
      </c>
      <c r="H47">
        <f t="shared" si="5"/>
        <v>428.7092044982698</v>
      </c>
    </row>
    <row r="48" spans="1:8" x14ac:dyDescent="0.25">
      <c r="A48">
        <v>45</v>
      </c>
      <c r="B48" s="6">
        <v>134.51</v>
      </c>
      <c r="C48" s="39">
        <f t="shared" si="0"/>
        <v>140.09</v>
      </c>
      <c r="D48" s="39">
        <f t="shared" si="1"/>
        <v>11.178431372549014</v>
      </c>
      <c r="E48" s="39">
        <f t="shared" si="2"/>
        <v>20.645294117647055</v>
      </c>
      <c r="F48">
        <f t="shared" si="3"/>
        <v>230.78200346020745</v>
      </c>
      <c r="G48">
        <f t="shared" si="4"/>
        <v>124.95732795078803</v>
      </c>
      <c r="H48">
        <f t="shared" si="5"/>
        <v>426.2281692041521</v>
      </c>
    </row>
    <row r="49" spans="1:8" x14ac:dyDescent="0.25">
      <c r="A49">
        <v>46</v>
      </c>
      <c r="B49" s="6">
        <v>134.46</v>
      </c>
      <c r="C49" s="39">
        <f t="shared" si="0"/>
        <v>139.1</v>
      </c>
      <c r="D49" s="39">
        <f t="shared" si="1"/>
        <v>11.128431372549031</v>
      </c>
      <c r="E49" s="39">
        <f t="shared" si="2"/>
        <v>19.655294117647045</v>
      </c>
      <c r="F49">
        <f t="shared" si="3"/>
        <v>218.73259169550181</v>
      </c>
      <c r="G49">
        <f t="shared" si="4"/>
        <v>123.8419848135335</v>
      </c>
      <c r="H49">
        <f t="shared" si="5"/>
        <v>386.33058685121057</v>
      </c>
    </row>
    <row r="50" spans="1:8" x14ac:dyDescent="0.25">
      <c r="A50">
        <v>47</v>
      </c>
      <c r="B50" s="6">
        <v>134.27000000000001</v>
      </c>
      <c r="C50" s="39">
        <f t="shared" si="0"/>
        <v>137.5</v>
      </c>
      <c r="D50" s="39">
        <f t="shared" si="1"/>
        <v>10.938431372549033</v>
      </c>
      <c r="E50" s="39">
        <f t="shared" si="2"/>
        <v>18.055294117647051</v>
      </c>
      <c r="F50">
        <f t="shared" si="3"/>
        <v>197.49659561707051</v>
      </c>
      <c r="G50">
        <f t="shared" si="4"/>
        <v>119.64928089196492</v>
      </c>
      <c r="H50">
        <f t="shared" si="5"/>
        <v>325.99364567474021</v>
      </c>
    </row>
    <row r="51" spans="1:8" x14ac:dyDescent="0.25">
      <c r="A51">
        <v>48</v>
      </c>
      <c r="B51" s="6">
        <v>133.72999999999999</v>
      </c>
      <c r="C51" s="39">
        <f t="shared" si="0"/>
        <v>136.12</v>
      </c>
      <c r="D51" s="39">
        <f t="shared" si="1"/>
        <v>10.398431372549013</v>
      </c>
      <c r="E51" s="39">
        <f t="shared" si="2"/>
        <v>16.675294117647056</v>
      </c>
      <c r="F51">
        <f t="shared" si="3"/>
        <v>173.39690149942314</v>
      </c>
      <c r="G51">
        <f t="shared" si="4"/>
        <v>108.12737500961154</v>
      </c>
      <c r="H51">
        <f t="shared" si="5"/>
        <v>278.06543391003447</v>
      </c>
    </row>
    <row r="52" spans="1:8" x14ac:dyDescent="0.25">
      <c r="A52">
        <v>49</v>
      </c>
      <c r="B52" s="6">
        <v>132.01</v>
      </c>
      <c r="C52" s="39">
        <f t="shared" si="0"/>
        <v>135.22</v>
      </c>
      <c r="D52" s="39">
        <f t="shared" si="1"/>
        <v>8.6784313725490136</v>
      </c>
      <c r="E52" s="39">
        <f t="shared" si="2"/>
        <v>15.77529411764705</v>
      </c>
      <c r="F52">
        <f t="shared" si="3"/>
        <v>136.90480738177607</v>
      </c>
      <c r="G52">
        <f t="shared" si="4"/>
        <v>75.315171088042959</v>
      </c>
      <c r="H52">
        <f t="shared" si="5"/>
        <v>248.85990449826963</v>
      </c>
    </row>
    <row r="53" spans="1:8" x14ac:dyDescent="0.25">
      <c r="A53">
        <v>50</v>
      </c>
      <c r="B53" s="6">
        <v>130.59</v>
      </c>
      <c r="C53" s="39">
        <f t="shared" si="0"/>
        <v>134.72999999999999</v>
      </c>
      <c r="D53" s="39">
        <f t="shared" si="1"/>
        <v>7.2584313725490262</v>
      </c>
      <c r="E53" s="39">
        <f t="shared" si="2"/>
        <v>15.285294117647041</v>
      </c>
      <c r="F53">
        <f t="shared" si="3"/>
        <v>110.94725836216837</v>
      </c>
      <c r="G53">
        <f t="shared" si="4"/>
        <v>52.684825990003937</v>
      </c>
      <c r="H53">
        <f t="shared" si="5"/>
        <v>233.64021626297523</v>
      </c>
    </row>
    <row r="54" spans="1:8" x14ac:dyDescent="0.25">
      <c r="A54">
        <v>51</v>
      </c>
      <c r="B54" s="6">
        <v>130.28</v>
      </c>
      <c r="C54" s="39">
        <f t="shared" si="0"/>
        <v>134.38999999999999</v>
      </c>
      <c r="D54" s="39">
        <f t="shared" si="1"/>
        <v>6.9484313725490239</v>
      </c>
      <c r="E54" s="39">
        <f t="shared" si="2"/>
        <v>14.945294117647038</v>
      </c>
      <c r="F54">
        <f t="shared" si="3"/>
        <v>103.84635051903106</v>
      </c>
      <c r="G54">
        <f t="shared" si="4"/>
        <v>48.280698539023511</v>
      </c>
      <c r="H54">
        <f t="shared" si="5"/>
        <v>223.36181626297514</v>
      </c>
    </row>
    <row r="55" spans="1:8" x14ac:dyDescent="0.25">
      <c r="A55">
        <v>52</v>
      </c>
      <c r="B55" s="6">
        <v>129.16</v>
      </c>
      <c r="C55" s="39">
        <f t="shared" si="0"/>
        <v>134.51</v>
      </c>
      <c r="D55" s="39">
        <f t="shared" si="1"/>
        <v>5.8284313725490193</v>
      </c>
      <c r="E55" s="39">
        <f t="shared" si="2"/>
        <v>15.065294117647042</v>
      </c>
      <c r="F55">
        <f t="shared" si="3"/>
        <v>87.807032871972211</v>
      </c>
      <c r="G55">
        <f t="shared" si="4"/>
        <v>33.970612264513647</v>
      </c>
      <c r="H55">
        <f t="shared" si="5"/>
        <v>226.96308685121056</v>
      </c>
    </row>
    <row r="56" spans="1:8" x14ac:dyDescent="0.25">
      <c r="A56">
        <v>53</v>
      </c>
      <c r="B56" s="6">
        <v>128.94</v>
      </c>
      <c r="C56" s="39">
        <f t="shared" si="0"/>
        <v>134.46</v>
      </c>
      <c r="D56" s="39">
        <f t="shared" si="1"/>
        <v>5.6084313725490205</v>
      </c>
      <c r="E56" s="39">
        <f t="shared" si="2"/>
        <v>15.015294117647059</v>
      </c>
      <c r="F56">
        <f t="shared" si="3"/>
        <v>84.212246597462524</v>
      </c>
      <c r="G56">
        <f t="shared" si="4"/>
        <v>31.454502460592089</v>
      </c>
      <c r="H56">
        <f t="shared" si="5"/>
        <v>225.45905743944638</v>
      </c>
    </row>
    <row r="57" spans="1:8" x14ac:dyDescent="0.25">
      <c r="A57">
        <v>54</v>
      </c>
      <c r="B57" s="6">
        <v>129.30000000000001</v>
      </c>
      <c r="C57" s="39">
        <f t="shared" si="0"/>
        <v>134.27000000000001</v>
      </c>
      <c r="D57" s="39">
        <f t="shared" si="1"/>
        <v>5.9684313725490341</v>
      </c>
      <c r="E57" s="39">
        <f t="shared" si="2"/>
        <v>14.825294117647061</v>
      </c>
      <c r="F57">
        <f t="shared" si="3"/>
        <v>88.483750519031375</v>
      </c>
      <c r="G57">
        <f t="shared" si="4"/>
        <v>35.622173048827548</v>
      </c>
      <c r="H57">
        <f t="shared" si="5"/>
        <v>219.78934567474056</v>
      </c>
    </row>
    <row r="58" spans="1:8" x14ac:dyDescent="0.25">
      <c r="A58">
        <v>55</v>
      </c>
      <c r="B58" s="6">
        <v>131.22</v>
      </c>
      <c r="C58" s="39">
        <f t="shared" si="0"/>
        <v>133.72999999999999</v>
      </c>
      <c r="D58" s="39">
        <f t="shared" si="1"/>
        <v>7.8884313725490216</v>
      </c>
      <c r="E58" s="39">
        <f t="shared" si="2"/>
        <v>14.285294117647041</v>
      </c>
      <c r="F58">
        <f t="shared" si="3"/>
        <v>112.68856228373691</v>
      </c>
      <c r="G58">
        <f t="shared" si="4"/>
        <v>62.22734951941564</v>
      </c>
      <c r="H58">
        <f t="shared" si="5"/>
        <v>204.06962802768115</v>
      </c>
    </row>
    <row r="59" spans="1:8" x14ac:dyDescent="0.25">
      <c r="A59">
        <v>56</v>
      </c>
      <c r="B59" s="6">
        <v>132.52000000000001</v>
      </c>
      <c r="C59" s="39">
        <f t="shared" si="0"/>
        <v>132.01</v>
      </c>
      <c r="D59" s="39">
        <f t="shared" si="1"/>
        <v>9.188431372549033</v>
      </c>
      <c r="E59" s="39">
        <f t="shared" si="2"/>
        <v>12.565294117647042</v>
      </c>
      <c r="F59">
        <f t="shared" si="3"/>
        <v>115.4553426758939</v>
      </c>
      <c r="G59">
        <f t="shared" si="4"/>
        <v>84.427271088043312</v>
      </c>
      <c r="H59">
        <f t="shared" si="5"/>
        <v>157.88661626297537</v>
      </c>
    </row>
    <row r="60" spans="1:8" x14ac:dyDescent="0.25">
      <c r="A60">
        <v>57</v>
      </c>
      <c r="B60" s="6">
        <v>134.25</v>
      </c>
      <c r="C60" s="39">
        <f t="shared" si="0"/>
        <v>130.59</v>
      </c>
      <c r="D60" s="39">
        <f t="shared" si="1"/>
        <v>10.918431372549023</v>
      </c>
      <c r="E60" s="39">
        <f t="shared" si="2"/>
        <v>11.145294117647055</v>
      </c>
      <c r="F60">
        <f t="shared" si="3"/>
        <v>121.68912895040368</v>
      </c>
      <c r="G60">
        <f t="shared" si="4"/>
        <v>119.21214363706274</v>
      </c>
      <c r="H60">
        <f t="shared" si="5"/>
        <v>124.21758096885803</v>
      </c>
    </row>
    <row r="61" spans="1:8" x14ac:dyDescent="0.25">
      <c r="A61">
        <v>58</v>
      </c>
      <c r="B61" s="6">
        <v>136.06</v>
      </c>
      <c r="C61" s="39">
        <f t="shared" si="0"/>
        <v>130.28</v>
      </c>
      <c r="D61" s="39">
        <f t="shared" si="1"/>
        <v>12.728431372549025</v>
      </c>
      <c r="E61" s="39">
        <f t="shared" si="2"/>
        <v>10.835294117647052</v>
      </c>
      <c r="F61">
        <f t="shared" si="3"/>
        <v>137.91629757785464</v>
      </c>
      <c r="G61">
        <f t="shared" si="4"/>
        <v>162.01296520569025</v>
      </c>
      <c r="H61">
        <f t="shared" si="5"/>
        <v>117.40359861591682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6091.68</v>
      </c>
      <c r="D62" s="39">
        <f t="shared" si="6"/>
        <v>7.1054273576010019E-14</v>
      </c>
      <c r="E62" s="39">
        <f t="shared" si="6"/>
        <v>-5.1159076974727213E-13</v>
      </c>
      <c r="F62" s="39">
        <f t="shared" si="6"/>
        <v>5131.9530235294133</v>
      </c>
      <c r="G62" s="39">
        <f t="shared" si="6"/>
        <v>7221.4770745098058</v>
      </c>
      <c r="H62" s="39">
        <f t="shared" si="6"/>
        <v>8750.9794705882341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119.44470588235295</v>
      </c>
    </row>
    <row r="65" spans="1:2" ht="18" x14ac:dyDescent="0.35">
      <c r="A65" t="s">
        <v>132</v>
      </c>
      <c r="B65" s="39">
        <f>SUM(B11:B61)/51</f>
        <v>123.33156862745098</v>
      </c>
    </row>
    <row r="66" spans="1:2" ht="18" x14ac:dyDescent="0.35">
      <c r="A66" t="s">
        <v>133</v>
      </c>
      <c r="B66">
        <f>SUM(C11:C61)/51</f>
        <v>119.44470588235295</v>
      </c>
    </row>
    <row r="68" spans="1:2" ht="18" x14ac:dyDescent="0.35">
      <c r="A68" t="s">
        <v>134</v>
      </c>
      <c r="B68">
        <f>F62/SQRT(G62*H62)</f>
        <v>0.64556699895329883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2" workbookViewId="0">
      <selection activeCell="G63" sqref="G63"/>
    </sheetView>
  </sheetViews>
  <sheetFormatPr defaultRowHeight="15" x14ac:dyDescent="0.25"/>
  <cols>
    <col min="6" max="6" width="16.28515625" customWidth="1"/>
  </cols>
  <sheetData>
    <row r="2" spans="1:8" x14ac:dyDescent="0.25">
      <c r="A2" s="34">
        <v>1</v>
      </c>
      <c r="B2" s="34">
        <v>2</v>
      </c>
      <c r="C2" s="34">
        <v>3</v>
      </c>
      <c r="D2" s="34">
        <v>4</v>
      </c>
      <c r="E2" s="34">
        <v>5</v>
      </c>
      <c r="F2" s="34">
        <v>6</v>
      </c>
      <c r="G2" s="34">
        <v>7</v>
      </c>
      <c r="H2" s="34">
        <v>8</v>
      </c>
    </row>
    <row r="3" spans="1:8" ht="18" x14ac:dyDescent="0.25">
      <c r="A3" s="35" t="s">
        <v>67</v>
      </c>
      <c r="B3" s="35" t="s">
        <v>68</v>
      </c>
      <c r="C3" s="36" t="s">
        <v>135</v>
      </c>
      <c r="D3" s="36" t="s">
        <v>136</v>
      </c>
      <c r="E3" s="36" t="s">
        <v>137</v>
      </c>
      <c r="F3" s="37" t="s">
        <v>138</v>
      </c>
      <c r="G3" s="36" t="s">
        <v>139</v>
      </c>
      <c r="H3" s="36" t="s">
        <v>140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39">
        <f>B4</f>
        <v>102.32</v>
      </c>
      <c r="D12" s="39">
        <f>B12-$B$65</f>
        <v>-8.2890000000000015</v>
      </c>
      <c r="E12" s="39">
        <f>C12-$B$66</f>
        <v>-16.908000000000015</v>
      </c>
      <c r="F12">
        <f>D12*E12</f>
        <v>140.15041200000016</v>
      </c>
      <c r="G12">
        <f>D12*D12</f>
        <v>68.707521000000028</v>
      </c>
      <c r="H12">
        <f>E12*E12</f>
        <v>285.88046400000053</v>
      </c>
    </row>
    <row r="13" spans="1:8" x14ac:dyDescent="0.25">
      <c r="A13">
        <v>10</v>
      </c>
      <c r="B13" s="6">
        <v>117.17</v>
      </c>
      <c r="C13" s="39">
        <f t="shared" ref="C13:C61" si="0">B5</f>
        <v>102.21</v>
      </c>
      <c r="D13" s="39">
        <f t="shared" ref="D13:D61" si="1">B13-$B$65</f>
        <v>-6.3889999999999958</v>
      </c>
      <c r="E13" s="39">
        <f t="shared" ref="E13:E61" si="2">C13-$B$66</f>
        <v>-17.018000000000015</v>
      </c>
      <c r="F13">
        <f t="shared" ref="F13:F61" si="3">D13*E13</f>
        <v>108.72800200000002</v>
      </c>
      <c r="G13">
        <f t="shared" ref="G13:G61" si="4">D13*D13</f>
        <v>40.819320999999945</v>
      </c>
      <c r="H13">
        <f t="shared" ref="H13:H61" si="5">E13*E13</f>
        <v>289.61232400000051</v>
      </c>
    </row>
    <row r="14" spans="1:8" x14ac:dyDescent="0.25">
      <c r="A14">
        <v>11</v>
      </c>
      <c r="B14" s="6">
        <v>117.61</v>
      </c>
      <c r="C14" s="39">
        <f t="shared" si="0"/>
        <v>102.16</v>
      </c>
      <c r="D14" s="39">
        <f t="shared" si="1"/>
        <v>-5.9489999999999981</v>
      </c>
      <c r="E14" s="39">
        <f t="shared" si="2"/>
        <v>-17.068000000000012</v>
      </c>
      <c r="F14">
        <f t="shared" si="3"/>
        <v>101.53753200000004</v>
      </c>
      <c r="G14">
        <f t="shared" si="4"/>
        <v>35.390600999999975</v>
      </c>
      <c r="H14">
        <f t="shared" si="5"/>
        <v>291.31662400000039</v>
      </c>
    </row>
    <row r="15" spans="1:8" x14ac:dyDescent="0.25">
      <c r="A15">
        <v>12</v>
      </c>
      <c r="B15" s="6">
        <v>117.26</v>
      </c>
      <c r="C15" s="39">
        <f t="shared" si="0"/>
        <v>102.06</v>
      </c>
      <c r="D15" s="39">
        <f t="shared" si="1"/>
        <v>-6.2989999999999924</v>
      </c>
      <c r="E15" s="39">
        <f t="shared" si="2"/>
        <v>-17.168000000000006</v>
      </c>
      <c r="F15">
        <f t="shared" si="3"/>
        <v>108.1412319999999</v>
      </c>
      <c r="G15">
        <f t="shared" si="4"/>
        <v>39.677400999999904</v>
      </c>
      <c r="H15">
        <f t="shared" si="5"/>
        <v>294.74022400000024</v>
      </c>
    </row>
    <row r="16" spans="1:8" x14ac:dyDescent="0.25">
      <c r="A16">
        <v>13</v>
      </c>
      <c r="B16" s="6">
        <v>115.88</v>
      </c>
      <c r="C16" s="39">
        <f t="shared" si="0"/>
        <v>102.55</v>
      </c>
      <c r="D16" s="39">
        <f t="shared" si="1"/>
        <v>-7.679000000000002</v>
      </c>
      <c r="E16" s="39">
        <f t="shared" si="2"/>
        <v>-16.678000000000011</v>
      </c>
      <c r="F16">
        <f t="shared" si="3"/>
        <v>128.07036200000013</v>
      </c>
      <c r="G16">
        <f t="shared" si="4"/>
        <v>58.96704100000003</v>
      </c>
      <c r="H16">
        <f t="shared" si="5"/>
        <v>278.15568400000041</v>
      </c>
    </row>
    <row r="17" spans="1:8" x14ac:dyDescent="0.25">
      <c r="A17">
        <v>14</v>
      </c>
      <c r="B17" s="6">
        <v>113.35</v>
      </c>
      <c r="C17" s="39">
        <f t="shared" si="0"/>
        <v>104.35</v>
      </c>
      <c r="D17" s="39">
        <f t="shared" si="1"/>
        <v>-10.209000000000003</v>
      </c>
      <c r="E17" s="39">
        <f t="shared" si="2"/>
        <v>-14.878000000000014</v>
      </c>
      <c r="F17">
        <f t="shared" si="3"/>
        <v>151.88950200000019</v>
      </c>
      <c r="G17">
        <f t="shared" si="4"/>
        <v>104.22368100000007</v>
      </c>
      <c r="H17">
        <f t="shared" si="5"/>
        <v>221.35488400000042</v>
      </c>
    </row>
    <row r="18" spans="1:8" x14ac:dyDescent="0.25">
      <c r="A18">
        <v>15</v>
      </c>
      <c r="B18" s="6">
        <v>111.39</v>
      </c>
      <c r="C18" s="39">
        <f t="shared" si="0"/>
        <v>107.57</v>
      </c>
      <c r="D18" s="39">
        <f t="shared" si="1"/>
        <v>-12.168999999999997</v>
      </c>
      <c r="E18" s="39">
        <f t="shared" si="2"/>
        <v>-11.658000000000015</v>
      </c>
      <c r="F18">
        <f t="shared" si="3"/>
        <v>141.86620200000016</v>
      </c>
      <c r="G18">
        <f t="shared" si="4"/>
        <v>148.08456099999992</v>
      </c>
      <c r="H18">
        <f t="shared" si="5"/>
        <v>135.90896400000037</v>
      </c>
    </row>
    <row r="19" spans="1:8" x14ac:dyDescent="0.25">
      <c r="A19">
        <v>16</v>
      </c>
      <c r="B19" s="6">
        <v>109.76</v>
      </c>
      <c r="C19" s="39">
        <f t="shared" si="0"/>
        <v>111.96</v>
      </c>
      <c r="D19" s="39">
        <f t="shared" si="1"/>
        <v>-13.798999999999992</v>
      </c>
      <c r="E19" s="39">
        <f t="shared" si="2"/>
        <v>-7.2680000000000149</v>
      </c>
      <c r="F19">
        <f t="shared" si="3"/>
        <v>100.29113200000015</v>
      </c>
      <c r="G19">
        <f t="shared" si="4"/>
        <v>190.41240099999979</v>
      </c>
      <c r="H19">
        <f t="shared" si="5"/>
        <v>52.823824000000215</v>
      </c>
    </row>
    <row r="20" spans="1:8" x14ac:dyDescent="0.25">
      <c r="A20">
        <v>17</v>
      </c>
      <c r="B20" s="6">
        <v>109.5</v>
      </c>
      <c r="C20" s="39">
        <f t="shared" si="0"/>
        <v>115.27</v>
      </c>
      <c r="D20" s="39">
        <f t="shared" si="1"/>
        <v>-14.058999999999997</v>
      </c>
      <c r="E20" s="39">
        <f t="shared" si="2"/>
        <v>-3.9580000000000126</v>
      </c>
      <c r="F20">
        <f t="shared" si="3"/>
        <v>55.64552200000017</v>
      </c>
      <c r="G20">
        <f t="shared" si="4"/>
        <v>197.65548099999992</v>
      </c>
      <c r="H20">
        <f t="shared" si="5"/>
        <v>15.665764000000101</v>
      </c>
    </row>
    <row r="21" spans="1:8" x14ac:dyDescent="0.25">
      <c r="A21">
        <v>18</v>
      </c>
      <c r="B21" s="6">
        <v>108.86</v>
      </c>
      <c r="C21" s="39">
        <f t="shared" si="0"/>
        <v>117.17</v>
      </c>
      <c r="D21" s="39">
        <f t="shared" si="1"/>
        <v>-14.698999999999998</v>
      </c>
      <c r="E21" s="39">
        <f t="shared" si="2"/>
        <v>-2.0580000000000069</v>
      </c>
      <c r="F21">
        <f t="shared" si="3"/>
        <v>30.250542000000099</v>
      </c>
      <c r="G21">
        <f t="shared" si="4"/>
        <v>216.06060099999993</v>
      </c>
      <c r="H21">
        <f t="shared" si="5"/>
        <v>4.2353640000000281</v>
      </c>
    </row>
    <row r="22" spans="1:8" x14ac:dyDescent="0.25">
      <c r="A22">
        <v>19</v>
      </c>
      <c r="B22" s="6">
        <v>108.49</v>
      </c>
      <c r="C22" s="39">
        <f t="shared" si="0"/>
        <v>117.61</v>
      </c>
      <c r="D22" s="39">
        <f t="shared" si="1"/>
        <v>-15.069000000000003</v>
      </c>
      <c r="E22" s="39">
        <f t="shared" si="2"/>
        <v>-1.6180000000000092</v>
      </c>
      <c r="F22">
        <f t="shared" si="3"/>
        <v>24.381642000000141</v>
      </c>
      <c r="G22">
        <f t="shared" si="4"/>
        <v>227.07476100000008</v>
      </c>
      <c r="H22">
        <f t="shared" si="5"/>
        <v>2.6179240000000297</v>
      </c>
    </row>
    <row r="23" spans="1:8" x14ac:dyDescent="0.25">
      <c r="A23">
        <v>20</v>
      </c>
      <c r="B23" s="6">
        <v>108.36</v>
      </c>
      <c r="C23" s="39">
        <f t="shared" si="0"/>
        <v>117.26</v>
      </c>
      <c r="D23" s="39">
        <f t="shared" si="1"/>
        <v>-15.198999999999998</v>
      </c>
      <c r="E23" s="39">
        <f t="shared" si="2"/>
        <v>-1.9680000000000035</v>
      </c>
      <c r="F23">
        <f t="shared" si="3"/>
        <v>29.911632000000051</v>
      </c>
      <c r="G23">
        <f t="shared" si="4"/>
        <v>231.00960099999995</v>
      </c>
      <c r="H23">
        <f t="shared" si="5"/>
        <v>3.8730240000000138</v>
      </c>
    </row>
    <row r="24" spans="1:8" x14ac:dyDescent="0.25">
      <c r="A24">
        <v>21</v>
      </c>
      <c r="B24" s="6">
        <v>108.19</v>
      </c>
      <c r="C24" s="39">
        <f t="shared" si="0"/>
        <v>115.88</v>
      </c>
      <c r="D24" s="39">
        <f t="shared" si="1"/>
        <v>-15.369</v>
      </c>
      <c r="E24" s="39">
        <f t="shared" si="2"/>
        <v>-3.3480000000000132</v>
      </c>
      <c r="F24">
        <f t="shared" si="3"/>
        <v>51.455412000000202</v>
      </c>
      <c r="G24">
        <f t="shared" si="4"/>
        <v>236.20616099999998</v>
      </c>
      <c r="H24">
        <f t="shared" si="5"/>
        <v>11.209104000000089</v>
      </c>
    </row>
    <row r="25" spans="1:8" x14ac:dyDescent="0.25">
      <c r="A25">
        <v>22</v>
      </c>
      <c r="B25" s="6">
        <v>107.8</v>
      </c>
      <c r="C25" s="39">
        <f t="shared" si="0"/>
        <v>113.35</v>
      </c>
      <c r="D25" s="39">
        <f t="shared" si="1"/>
        <v>-15.759</v>
      </c>
      <c r="E25" s="39">
        <f t="shared" si="2"/>
        <v>-5.8780000000000143</v>
      </c>
      <c r="F25">
        <f t="shared" si="3"/>
        <v>92.631402000000222</v>
      </c>
      <c r="G25">
        <f t="shared" si="4"/>
        <v>248.346081</v>
      </c>
      <c r="H25">
        <f t="shared" si="5"/>
        <v>34.550884000000167</v>
      </c>
    </row>
    <row r="26" spans="1:8" x14ac:dyDescent="0.25">
      <c r="A26">
        <v>23</v>
      </c>
      <c r="B26" s="6">
        <v>107.47</v>
      </c>
      <c r="C26" s="39">
        <f t="shared" si="0"/>
        <v>111.39</v>
      </c>
      <c r="D26" s="39">
        <f t="shared" si="1"/>
        <v>-16.088999999999999</v>
      </c>
      <c r="E26" s="39">
        <f t="shared" si="2"/>
        <v>-7.8380000000000081</v>
      </c>
      <c r="F26">
        <f t="shared" si="3"/>
        <v>126.10558200000013</v>
      </c>
      <c r="G26">
        <f t="shared" si="4"/>
        <v>258.85592099999997</v>
      </c>
      <c r="H26">
        <f t="shared" si="5"/>
        <v>61.434244000000128</v>
      </c>
    </row>
    <row r="27" spans="1:8" x14ac:dyDescent="0.25">
      <c r="A27">
        <v>24</v>
      </c>
      <c r="B27" s="6">
        <v>107.03</v>
      </c>
      <c r="C27" s="39">
        <f t="shared" si="0"/>
        <v>109.76</v>
      </c>
      <c r="D27" s="39">
        <f t="shared" si="1"/>
        <v>-16.528999999999996</v>
      </c>
      <c r="E27" s="39">
        <f t="shared" si="2"/>
        <v>-9.4680000000000035</v>
      </c>
      <c r="F27">
        <f t="shared" si="3"/>
        <v>156.49657200000001</v>
      </c>
      <c r="G27">
        <f t="shared" si="4"/>
        <v>273.20784099999986</v>
      </c>
      <c r="H27">
        <f t="shared" si="5"/>
        <v>89.643024000000068</v>
      </c>
    </row>
    <row r="28" spans="1:8" x14ac:dyDescent="0.25">
      <c r="A28">
        <v>25</v>
      </c>
      <c r="B28" s="6">
        <v>106.61</v>
      </c>
      <c r="C28" s="39">
        <f t="shared" si="0"/>
        <v>109.5</v>
      </c>
      <c r="D28" s="39">
        <f t="shared" si="1"/>
        <v>-16.948999999999998</v>
      </c>
      <c r="E28" s="39">
        <f t="shared" si="2"/>
        <v>-9.7280000000000086</v>
      </c>
      <c r="F28">
        <f t="shared" si="3"/>
        <v>164.87987200000012</v>
      </c>
      <c r="G28">
        <f t="shared" si="4"/>
        <v>287.26860099999993</v>
      </c>
      <c r="H28">
        <f t="shared" si="5"/>
        <v>94.633984000000169</v>
      </c>
    </row>
    <row r="29" spans="1:8" x14ac:dyDescent="0.25">
      <c r="A29">
        <v>26</v>
      </c>
      <c r="B29" s="6">
        <v>106.57</v>
      </c>
      <c r="C29" s="39">
        <f t="shared" si="0"/>
        <v>108.86</v>
      </c>
      <c r="D29" s="39">
        <f t="shared" si="1"/>
        <v>-16.989000000000004</v>
      </c>
      <c r="E29" s="39">
        <f t="shared" si="2"/>
        <v>-10.368000000000009</v>
      </c>
      <c r="F29">
        <f t="shared" si="3"/>
        <v>176.1419520000002</v>
      </c>
      <c r="G29">
        <f t="shared" si="4"/>
        <v>288.62612100000013</v>
      </c>
      <c r="H29">
        <f t="shared" si="5"/>
        <v>107.49542400000018</v>
      </c>
    </row>
    <row r="30" spans="1:8" x14ac:dyDescent="0.25">
      <c r="A30">
        <v>27</v>
      </c>
      <c r="B30" s="6">
        <v>106.49</v>
      </c>
      <c r="C30" s="39">
        <f t="shared" si="0"/>
        <v>108.49</v>
      </c>
      <c r="D30" s="39">
        <f t="shared" si="1"/>
        <v>-17.069000000000003</v>
      </c>
      <c r="E30" s="39">
        <f t="shared" si="2"/>
        <v>-10.738000000000014</v>
      </c>
      <c r="F30">
        <f t="shared" si="3"/>
        <v>183.28692200000026</v>
      </c>
      <c r="G30">
        <f t="shared" si="4"/>
        <v>291.35076100000009</v>
      </c>
      <c r="H30">
        <f t="shared" si="5"/>
        <v>115.30464400000029</v>
      </c>
    </row>
    <row r="31" spans="1:8" x14ac:dyDescent="0.25">
      <c r="A31">
        <v>28</v>
      </c>
      <c r="B31" s="6">
        <v>107.04</v>
      </c>
      <c r="C31" s="39">
        <f t="shared" si="0"/>
        <v>108.36</v>
      </c>
      <c r="D31" s="39">
        <f t="shared" si="1"/>
        <v>-16.518999999999991</v>
      </c>
      <c r="E31" s="39">
        <f t="shared" si="2"/>
        <v>-10.868000000000009</v>
      </c>
      <c r="F31">
        <f t="shared" si="3"/>
        <v>179.52849200000006</v>
      </c>
      <c r="G31">
        <f t="shared" si="4"/>
        <v>272.87736099999972</v>
      </c>
      <c r="H31">
        <f t="shared" si="5"/>
        <v>118.11342400000019</v>
      </c>
    </row>
    <row r="32" spans="1:8" x14ac:dyDescent="0.25">
      <c r="A32">
        <v>29</v>
      </c>
      <c r="B32" s="6">
        <v>111.35</v>
      </c>
      <c r="C32" s="39">
        <f t="shared" si="0"/>
        <v>108.19</v>
      </c>
      <c r="D32" s="39">
        <f t="shared" si="1"/>
        <v>-12.209000000000003</v>
      </c>
      <c r="E32" s="39">
        <f t="shared" si="2"/>
        <v>-11.038000000000011</v>
      </c>
      <c r="F32">
        <f t="shared" si="3"/>
        <v>134.76294200000018</v>
      </c>
      <c r="G32">
        <f t="shared" si="4"/>
        <v>149.05968100000007</v>
      </c>
      <c r="H32">
        <f t="shared" si="5"/>
        <v>121.83744400000025</v>
      </c>
    </row>
    <row r="33" spans="1:8" x14ac:dyDescent="0.25">
      <c r="A33">
        <v>30</v>
      </c>
      <c r="B33" s="6">
        <v>117.54</v>
      </c>
      <c r="C33" s="39">
        <f t="shared" si="0"/>
        <v>107.8</v>
      </c>
      <c r="D33" s="39">
        <f t="shared" si="1"/>
        <v>-6.0189999999999912</v>
      </c>
      <c r="E33" s="39">
        <f t="shared" si="2"/>
        <v>-11.428000000000011</v>
      </c>
      <c r="F33">
        <f t="shared" si="3"/>
        <v>68.785131999999976</v>
      </c>
      <c r="G33">
        <f t="shared" si="4"/>
        <v>36.228360999999893</v>
      </c>
      <c r="H33">
        <f t="shared" si="5"/>
        <v>130.59918400000026</v>
      </c>
    </row>
    <row r="34" spans="1:8" x14ac:dyDescent="0.25">
      <c r="A34">
        <v>31</v>
      </c>
      <c r="B34" s="6">
        <v>122.58</v>
      </c>
      <c r="C34" s="39">
        <f t="shared" si="0"/>
        <v>107.47</v>
      </c>
      <c r="D34" s="39">
        <f t="shared" si="1"/>
        <v>-0.9789999999999992</v>
      </c>
      <c r="E34" s="39">
        <f t="shared" si="2"/>
        <v>-11.75800000000001</v>
      </c>
      <c r="F34">
        <f t="shared" si="3"/>
        <v>11.511082</v>
      </c>
      <c r="G34">
        <f t="shared" si="4"/>
        <v>0.95844099999999843</v>
      </c>
      <c r="H34">
        <f t="shared" si="5"/>
        <v>138.25056400000022</v>
      </c>
    </row>
    <row r="35" spans="1:8" x14ac:dyDescent="0.25">
      <c r="A35">
        <v>32</v>
      </c>
      <c r="B35" s="6">
        <v>128.16</v>
      </c>
      <c r="C35" s="39">
        <f t="shared" si="0"/>
        <v>107.03</v>
      </c>
      <c r="D35" s="39">
        <f t="shared" si="1"/>
        <v>4.6009999999999991</v>
      </c>
      <c r="E35" s="39">
        <f t="shared" si="2"/>
        <v>-12.198000000000008</v>
      </c>
      <c r="F35">
        <f t="shared" si="3"/>
        <v>-56.122998000000024</v>
      </c>
      <c r="G35">
        <f t="shared" si="4"/>
        <v>21.16920099999999</v>
      </c>
      <c r="H35">
        <f t="shared" si="5"/>
        <v>148.79120400000019</v>
      </c>
    </row>
    <row r="36" spans="1:8" x14ac:dyDescent="0.25">
      <c r="A36">
        <v>33</v>
      </c>
      <c r="B36" s="6">
        <v>132.86000000000001</v>
      </c>
      <c r="C36" s="39">
        <f t="shared" si="0"/>
        <v>106.61</v>
      </c>
      <c r="D36" s="39">
        <f t="shared" si="1"/>
        <v>9.3010000000000161</v>
      </c>
      <c r="E36" s="39">
        <f t="shared" si="2"/>
        <v>-12.618000000000009</v>
      </c>
      <c r="F36">
        <f t="shared" si="3"/>
        <v>-117.3600180000003</v>
      </c>
      <c r="G36">
        <f t="shared" si="4"/>
        <v>86.508601000000297</v>
      </c>
      <c r="H36">
        <f t="shared" si="5"/>
        <v>159.21392400000022</v>
      </c>
    </row>
    <row r="37" spans="1:8" x14ac:dyDescent="0.25">
      <c r="A37">
        <v>34</v>
      </c>
      <c r="B37" s="6">
        <v>134.91999999999999</v>
      </c>
      <c r="C37" s="39">
        <f t="shared" si="0"/>
        <v>106.57</v>
      </c>
      <c r="D37" s="39">
        <f t="shared" si="1"/>
        <v>11.36099999999999</v>
      </c>
      <c r="E37" s="39">
        <f t="shared" si="2"/>
        <v>-12.658000000000015</v>
      </c>
      <c r="F37">
        <f t="shared" si="3"/>
        <v>-143.80753800000005</v>
      </c>
      <c r="G37">
        <f t="shared" si="4"/>
        <v>129.07232099999976</v>
      </c>
      <c r="H37">
        <f t="shared" si="5"/>
        <v>160.2249640000004</v>
      </c>
    </row>
    <row r="38" spans="1:8" x14ac:dyDescent="0.25">
      <c r="A38">
        <v>35</v>
      </c>
      <c r="B38" s="6">
        <v>135.69999999999999</v>
      </c>
      <c r="C38" s="39">
        <f t="shared" si="0"/>
        <v>106.49</v>
      </c>
      <c r="D38" s="39">
        <f t="shared" si="1"/>
        <v>12.140999999999991</v>
      </c>
      <c r="E38" s="39">
        <f t="shared" si="2"/>
        <v>-12.738000000000014</v>
      </c>
      <c r="F38">
        <f t="shared" si="3"/>
        <v>-154.65205800000007</v>
      </c>
      <c r="G38">
        <f t="shared" si="4"/>
        <v>147.40388099999979</v>
      </c>
      <c r="H38">
        <f t="shared" si="5"/>
        <v>162.25664400000036</v>
      </c>
    </row>
    <row r="39" spans="1:8" x14ac:dyDescent="0.25">
      <c r="A39">
        <v>36</v>
      </c>
      <c r="B39" s="6">
        <v>136.13999999999999</v>
      </c>
      <c r="C39" s="39">
        <f t="shared" si="0"/>
        <v>107.04</v>
      </c>
      <c r="D39" s="39">
        <f t="shared" si="1"/>
        <v>12.580999999999989</v>
      </c>
      <c r="E39" s="39">
        <f t="shared" si="2"/>
        <v>-12.188000000000002</v>
      </c>
      <c r="F39">
        <f t="shared" si="3"/>
        <v>-153.3372279999999</v>
      </c>
      <c r="G39">
        <f t="shared" si="4"/>
        <v>158.28156099999973</v>
      </c>
      <c r="H39">
        <f t="shared" si="5"/>
        <v>148.54734400000007</v>
      </c>
    </row>
    <row r="40" spans="1:8" x14ac:dyDescent="0.25">
      <c r="A40">
        <v>37</v>
      </c>
      <c r="B40" s="6">
        <v>140.15</v>
      </c>
      <c r="C40" s="39">
        <f t="shared" si="0"/>
        <v>111.35</v>
      </c>
      <c r="D40" s="39">
        <f t="shared" si="1"/>
        <v>16.591000000000008</v>
      </c>
      <c r="E40" s="39">
        <f t="shared" si="2"/>
        <v>-7.8780000000000143</v>
      </c>
      <c r="F40">
        <f t="shared" si="3"/>
        <v>-130.70389800000029</v>
      </c>
      <c r="G40">
        <f t="shared" si="4"/>
        <v>275.26128100000028</v>
      </c>
      <c r="H40">
        <f t="shared" si="5"/>
        <v>62.062884000000224</v>
      </c>
    </row>
    <row r="41" spans="1:8" x14ac:dyDescent="0.25">
      <c r="A41">
        <v>38</v>
      </c>
      <c r="B41" s="6">
        <v>140.09</v>
      </c>
      <c r="C41" s="39">
        <f t="shared" si="0"/>
        <v>117.54</v>
      </c>
      <c r="D41" s="39">
        <f t="shared" si="1"/>
        <v>16.531000000000006</v>
      </c>
      <c r="E41" s="39">
        <f t="shared" si="2"/>
        <v>-1.6880000000000024</v>
      </c>
      <c r="F41">
        <f t="shared" si="3"/>
        <v>-27.904328000000049</v>
      </c>
      <c r="G41">
        <f t="shared" si="4"/>
        <v>273.27396100000021</v>
      </c>
      <c r="H41">
        <f t="shared" si="5"/>
        <v>2.8493440000000079</v>
      </c>
    </row>
    <row r="42" spans="1:8" x14ac:dyDescent="0.25">
      <c r="A42">
        <v>39</v>
      </c>
      <c r="B42" s="6">
        <v>139.1</v>
      </c>
      <c r="C42" s="39">
        <f t="shared" si="0"/>
        <v>122.58</v>
      </c>
      <c r="D42" s="39">
        <f t="shared" si="1"/>
        <v>15.540999999999997</v>
      </c>
      <c r="E42" s="39">
        <f t="shared" si="2"/>
        <v>3.3519999999999897</v>
      </c>
      <c r="F42">
        <f t="shared" si="3"/>
        <v>52.093431999999829</v>
      </c>
      <c r="G42">
        <f t="shared" si="4"/>
        <v>241.52268099999989</v>
      </c>
      <c r="H42">
        <f t="shared" si="5"/>
        <v>11.23590399999993</v>
      </c>
    </row>
    <row r="43" spans="1:8" x14ac:dyDescent="0.25">
      <c r="A43">
        <v>40</v>
      </c>
      <c r="B43" s="6">
        <v>137.5</v>
      </c>
      <c r="C43" s="39">
        <f t="shared" si="0"/>
        <v>128.16</v>
      </c>
      <c r="D43" s="39">
        <f t="shared" si="1"/>
        <v>13.941000000000003</v>
      </c>
      <c r="E43" s="39">
        <f t="shared" si="2"/>
        <v>8.9319999999999879</v>
      </c>
      <c r="F43">
        <f t="shared" si="3"/>
        <v>124.52101199999986</v>
      </c>
      <c r="G43">
        <f t="shared" si="4"/>
        <v>194.35148100000006</v>
      </c>
      <c r="H43">
        <f t="shared" si="5"/>
        <v>79.78062399999979</v>
      </c>
    </row>
    <row r="44" spans="1:8" x14ac:dyDescent="0.25">
      <c r="A44">
        <v>41</v>
      </c>
      <c r="B44" s="6">
        <v>136.12</v>
      </c>
      <c r="C44" s="39">
        <f t="shared" si="0"/>
        <v>132.86000000000001</v>
      </c>
      <c r="D44" s="39">
        <f t="shared" si="1"/>
        <v>12.561000000000007</v>
      </c>
      <c r="E44" s="39">
        <f t="shared" si="2"/>
        <v>13.632000000000005</v>
      </c>
      <c r="F44">
        <f t="shared" si="3"/>
        <v>171.23155200000016</v>
      </c>
      <c r="G44">
        <f t="shared" si="4"/>
        <v>157.77872100000019</v>
      </c>
      <c r="H44">
        <f t="shared" si="5"/>
        <v>185.83142400000014</v>
      </c>
    </row>
    <row r="45" spans="1:8" x14ac:dyDescent="0.25">
      <c r="A45">
        <v>42</v>
      </c>
      <c r="B45" s="6">
        <v>135.22</v>
      </c>
      <c r="C45" s="39">
        <f t="shared" si="0"/>
        <v>134.91999999999999</v>
      </c>
      <c r="D45" s="39">
        <f t="shared" si="1"/>
        <v>11.661000000000001</v>
      </c>
      <c r="E45" s="39">
        <f t="shared" si="2"/>
        <v>15.691999999999979</v>
      </c>
      <c r="F45">
        <f t="shared" si="3"/>
        <v>182.98441199999976</v>
      </c>
      <c r="G45">
        <f t="shared" si="4"/>
        <v>135.97892100000004</v>
      </c>
      <c r="H45">
        <f t="shared" si="5"/>
        <v>246.23886399999932</v>
      </c>
    </row>
    <row r="46" spans="1:8" x14ac:dyDescent="0.25">
      <c r="A46">
        <v>43</v>
      </c>
      <c r="B46" s="6">
        <v>134.72999999999999</v>
      </c>
      <c r="C46" s="39">
        <f t="shared" si="0"/>
        <v>135.69999999999999</v>
      </c>
      <c r="D46" s="39">
        <f t="shared" si="1"/>
        <v>11.170999999999992</v>
      </c>
      <c r="E46" s="39">
        <f t="shared" si="2"/>
        <v>16.47199999999998</v>
      </c>
      <c r="F46">
        <f t="shared" si="3"/>
        <v>184.00871199999966</v>
      </c>
      <c r="G46">
        <f t="shared" si="4"/>
        <v>124.79124099999983</v>
      </c>
      <c r="H46">
        <f t="shared" si="5"/>
        <v>271.32678399999935</v>
      </c>
    </row>
    <row r="47" spans="1:8" x14ac:dyDescent="0.25">
      <c r="A47">
        <v>44</v>
      </c>
      <c r="B47" s="6">
        <v>134.38999999999999</v>
      </c>
      <c r="C47" s="39">
        <f t="shared" si="0"/>
        <v>136.13999999999999</v>
      </c>
      <c r="D47" s="39">
        <f t="shared" si="1"/>
        <v>10.830999999999989</v>
      </c>
      <c r="E47" s="39">
        <f t="shared" si="2"/>
        <v>16.911999999999978</v>
      </c>
      <c r="F47">
        <f t="shared" si="3"/>
        <v>183.17387199999956</v>
      </c>
      <c r="G47">
        <f t="shared" si="4"/>
        <v>117.31056099999977</v>
      </c>
      <c r="H47">
        <f t="shared" si="5"/>
        <v>286.01574399999924</v>
      </c>
    </row>
    <row r="48" spans="1:8" x14ac:dyDescent="0.25">
      <c r="A48">
        <v>45</v>
      </c>
      <c r="B48" s="6">
        <v>134.51</v>
      </c>
      <c r="C48" s="39">
        <f t="shared" si="0"/>
        <v>140.15</v>
      </c>
      <c r="D48" s="39">
        <f t="shared" si="1"/>
        <v>10.950999999999993</v>
      </c>
      <c r="E48" s="39">
        <f t="shared" si="2"/>
        <v>20.921999999999997</v>
      </c>
      <c r="F48">
        <f t="shared" si="3"/>
        <v>229.11682199999984</v>
      </c>
      <c r="G48">
        <f t="shared" si="4"/>
        <v>119.92440099999986</v>
      </c>
      <c r="H48">
        <f t="shared" si="5"/>
        <v>437.73008399999986</v>
      </c>
    </row>
    <row r="49" spans="1:8" x14ac:dyDescent="0.25">
      <c r="A49">
        <v>46</v>
      </c>
      <c r="B49" s="6">
        <v>134.46</v>
      </c>
      <c r="C49" s="39">
        <f t="shared" si="0"/>
        <v>140.09</v>
      </c>
      <c r="D49" s="39">
        <f t="shared" si="1"/>
        <v>10.90100000000001</v>
      </c>
      <c r="E49" s="39">
        <f t="shared" si="2"/>
        <v>20.861999999999995</v>
      </c>
      <c r="F49">
        <f t="shared" si="3"/>
        <v>227.41666200000017</v>
      </c>
      <c r="G49">
        <f t="shared" si="4"/>
        <v>118.83180100000023</v>
      </c>
      <c r="H49">
        <f t="shared" si="5"/>
        <v>435.22304399999979</v>
      </c>
    </row>
    <row r="50" spans="1:8" x14ac:dyDescent="0.25">
      <c r="A50">
        <v>47</v>
      </c>
      <c r="B50" s="6">
        <v>134.27000000000001</v>
      </c>
      <c r="C50" s="39">
        <f t="shared" si="0"/>
        <v>139.1</v>
      </c>
      <c r="D50" s="39">
        <f t="shared" si="1"/>
        <v>10.711000000000013</v>
      </c>
      <c r="E50" s="39">
        <f t="shared" si="2"/>
        <v>19.871999999999986</v>
      </c>
      <c r="F50">
        <f t="shared" si="3"/>
        <v>212.8489920000001</v>
      </c>
      <c r="G50">
        <f t="shared" si="4"/>
        <v>114.72552100000027</v>
      </c>
      <c r="H50">
        <f t="shared" si="5"/>
        <v>394.89638399999944</v>
      </c>
    </row>
    <row r="51" spans="1:8" x14ac:dyDescent="0.25">
      <c r="A51">
        <v>48</v>
      </c>
      <c r="B51" s="6">
        <v>133.72999999999999</v>
      </c>
      <c r="C51" s="39">
        <f t="shared" si="0"/>
        <v>137.5</v>
      </c>
      <c r="D51" s="39">
        <f t="shared" si="1"/>
        <v>10.170999999999992</v>
      </c>
      <c r="E51" s="39">
        <f t="shared" si="2"/>
        <v>18.271999999999991</v>
      </c>
      <c r="F51">
        <f t="shared" si="3"/>
        <v>185.84451199999978</v>
      </c>
      <c r="G51">
        <f t="shared" si="4"/>
        <v>103.44924099999984</v>
      </c>
      <c r="H51">
        <f t="shared" si="5"/>
        <v>333.86598399999968</v>
      </c>
    </row>
    <row r="52" spans="1:8" x14ac:dyDescent="0.25">
      <c r="A52">
        <v>49</v>
      </c>
      <c r="B52" s="6">
        <v>132.01</v>
      </c>
      <c r="C52" s="39">
        <f t="shared" si="0"/>
        <v>136.12</v>
      </c>
      <c r="D52" s="39">
        <f t="shared" si="1"/>
        <v>8.4509999999999934</v>
      </c>
      <c r="E52" s="39">
        <f t="shared" si="2"/>
        <v>16.891999999999996</v>
      </c>
      <c r="F52">
        <f t="shared" si="3"/>
        <v>142.75429199999985</v>
      </c>
      <c r="G52">
        <f t="shared" si="4"/>
        <v>71.419400999999894</v>
      </c>
      <c r="H52">
        <f t="shared" si="5"/>
        <v>285.33966399999986</v>
      </c>
    </row>
    <row r="53" spans="1:8" x14ac:dyDescent="0.25">
      <c r="A53">
        <v>50</v>
      </c>
      <c r="B53" s="6">
        <v>130.59</v>
      </c>
      <c r="C53" s="39">
        <f t="shared" si="0"/>
        <v>135.22</v>
      </c>
      <c r="D53" s="39">
        <f t="shared" si="1"/>
        <v>7.0310000000000059</v>
      </c>
      <c r="E53" s="39">
        <f t="shared" si="2"/>
        <v>15.99199999999999</v>
      </c>
      <c r="F53">
        <f t="shared" si="3"/>
        <v>112.43975200000003</v>
      </c>
      <c r="G53">
        <f t="shared" si="4"/>
        <v>49.434961000000087</v>
      </c>
      <c r="H53">
        <f t="shared" si="5"/>
        <v>255.7440639999997</v>
      </c>
    </row>
    <row r="54" spans="1:8" x14ac:dyDescent="0.25">
      <c r="A54">
        <v>51</v>
      </c>
      <c r="B54" s="6">
        <v>130.28</v>
      </c>
      <c r="C54" s="39">
        <f t="shared" si="0"/>
        <v>134.72999999999999</v>
      </c>
      <c r="D54" s="39">
        <f t="shared" si="1"/>
        <v>6.7210000000000036</v>
      </c>
      <c r="E54" s="39">
        <f t="shared" si="2"/>
        <v>15.501999999999981</v>
      </c>
      <c r="F54">
        <f t="shared" si="3"/>
        <v>104.18894199999993</v>
      </c>
      <c r="G54">
        <f t="shared" si="4"/>
        <v>45.17184100000005</v>
      </c>
      <c r="H54">
        <f t="shared" si="5"/>
        <v>240.3120039999994</v>
      </c>
    </row>
    <row r="55" spans="1:8" x14ac:dyDescent="0.25">
      <c r="A55">
        <v>52</v>
      </c>
      <c r="B55" s="6">
        <v>129.16</v>
      </c>
      <c r="C55" s="39">
        <f t="shared" si="0"/>
        <v>134.38999999999999</v>
      </c>
      <c r="D55" s="39">
        <f t="shared" si="1"/>
        <v>5.6009999999999991</v>
      </c>
      <c r="E55" s="39">
        <f t="shared" si="2"/>
        <v>15.161999999999978</v>
      </c>
      <c r="F55">
        <f t="shared" si="3"/>
        <v>84.922361999999865</v>
      </c>
      <c r="G55">
        <f t="shared" si="4"/>
        <v>31.371200999999989</v>
      </c>
      <c r="H55">
        <f t="shared" si="5"/>
        <v>229.88624399999932</v>
      </c>
    </row>
    <row r="56" spans="1:8" x14ac:dyDescent="0.25">
      <c r="A56">
        <v>53</v>
      </c>
      <c r="B56" s="6">
        <v>128.94</v>
      </c>
      <c r="C56" s="39">
        <f t="shared" si="0"/>
        <v>134.51</v>
      </c>
      <c r="D56" s="39">
        <f t="shared" si="1"/>
        <v>5.3810000000000002</v>
      </c>
      <c r="E56" s="39">
        <f t="shared" si="2"/>
        <v>15.281999999999982</v>
      </c>
      <c r="F56">
        <f t="shared" si="3"/>
        <v>82.232441999999907</v>
      </c>
      <c r="G56">
        <f t="shared" si="4"/>
        <v>28.955161000000004</v>
      </c>
      <c r="H56">
        <f t="shared" si="5"/>
        <v>233.53952399999946</v>
      </c>
    </row>
    <row r="57" spans="1:8" x14ac:dyDescent="0.25">
      <c r="A57">
        <v>54</v>
      </c>
      <c r="B57" s="6">
        <v>129.30000000000001</v>
      </c>
      <c r="C57" s="39">
        <f t="shared" si="0"/>
        <v>134.46</v>
      </c>
      <c r="D57" s="39">
        <f t="shared" si="1"/>
        <v>5.7410000000000139</v>
      </c>
      <c r="E57" s="39">
        <f t="shared" si="2"/>
        <v>15.231999999999999</v>
      </c>
      <c r="F57">
        <f t="shared" si="3"/>
        <v>87.446912000000211</v>
      </c>
      <c r="G57">
        <f t="shared" si="4"/>
        <v>32.959081000000161</v>
      </c>
      <c r="H57">
        <f t="shared" si="5"/>
        <v>232.01382399999997</v>
      </c>
    </row>
    <row r="58" spans="1:8" x14ac:dyDescent="0.25">
      <c r="A58">
        <v>55</v>
      </c>
      <c r="B58" s="6">
        <v>131.22</v>
      </c>
      <c r="C58" s="39">
        <f t="shared" si="0"/>
        <v>134.27000000000001</v>
      </c>
      <c r="D58" s="39">
        <f t="shared" si="1"/>
        <v>7.6610000000000014</v>
      </c>
      <c r="E58" s="39">
        <f t="shared" si="2"/>
        <v>15.042000000000002</v>
      </c>
      <c r="F58">
        <f t="shared" si="3"/>
        <v>115.23676200000003</v>
      </c>
      <c r="G58">
        <f t="shared" si="4"/>
        <v>58.690921000000024</v>
      </c>
      <c r="H58">
        <f t="shared" si="5"/>
        <v>226.26176400000006</v>
      </c>
    </row>
    <row r="59" spans="1:8" x14ac:dyDescent="0.25">
      <c r="A59">
        <v>56</v>
      </c>
      <c r="B59" s="6">
        <v>132.52000000000001</v>
      </c>
      <c r="C59" s="39">
        <f t="shared" si="0"/>
        <v>133.72999999999999</v>
      </c>
      <c r="D59" s="39">
        <f t="shared" si="1"/>
        <v>8.9610000000000127</v>
      </c>
      <c r="E59" s="39">
        <f t="shared" si="2"/>
        <v>14.501999999999981</v>
      </c>
      <c r="F59">
        <f t="shared" si="3"/>
        <v>129.95242200000001</v>
      </c>
      <c r="G59">
        <f t="shared" si="4"/>
        <v>80.299521000000226</v>
      </c>
      <c r="H59">
        <f t="shared" si="5"/>
        <v>210.30800399999944</v>
      </c>
    </row>
    <row r="60" spans="1:8" x14ac:dyDescent="0.25">
      <c r="A60">
        <v>57</v>
      </c>
      <c r="B60" s="6">
        <v>134.25</v>
      </c>
      <c r="C60" s="39">
        <f t="shared" si="0"/>
        <v>132.01</v>
      </c>
      <c r="D60" s="39">
        <f t="shared" si="1"/>
        <v>10.691000000000003</v>
      </c>
      <c r="E60" s="39">
        <f t="shared" si="2"/>
        <v>12.781999999999982</v>
      </c>
      <c r="F60">
        <f t="shared" si="3"/>
        <v>136.65236199999984</v>
      </c>
      <c r="G60">
        <f t="shared" si="4"/>
        <v>114.29748100000005</v>
      </c>
      <c r="H60">
        <f t="shared" si="5"/>
        <v>163.37952399999955</v>
      </c>
    </row>
    <row r="61" spans="1:8" x14ac:dyDescent="0.25">
      <c r="A61">
        <v>58</v>
      </c>
      <c r="B61" s="6">
        <v>136.06</v>
      </c>
      <c r="C61" s="39">
        <f t="shared" si="0"/>
        <v>130.59</v>
      </c>
      <c r="D61" s="39">
        <f t="shared" si="1"/>
        <v>12.501000000000005</v>
      </c>
      <c r="E61" s="39">
        <f t="shared" si="2"/>
        <v>11.361999999999995</v>
      </c>
      <c r="F61">
        <f t="shared" si="3"/>
        <v>142.036362</v>
      </c>
      <c r="G61">
        <f t="shared" si="4"/>
        <v>156.27500100000012</v>
      </c>
      <c r="H61">
        <f t="shared" si="5"/>
        <v>129.09504399999989</v>
      </c>
    </row>
    <row r="62" spans="1:8" x14ac:dyDescent="0.25">
      <c r="A62" t="s">
        <v>76</v>
      </c>
      <c r="B62" s="39">
        <f t="shared" ref="B62:H62" si="6">SUM(B4:B61)</f>
        <v>7013.130000000001</v>
      </c>
      <c r="C62" s="39">
        <f t="shared" si="6"/>
        <v>5961.4000000000005</v>
      </c>
      <c r="D62" s="39">
        <f t="shared" si="6"/>
        <v>2.8421709430404007E-14</v>
      </c>
      <c r="E62" s="39">
        <f t="shared" si="6"/>
        <v>-4.2632564145606011E-13</v>
      </c>
      <c r="F62" s="39">
        <f t="shared" si="6"/>
        <v>4573.6636000000017</v>
      </c>
      <c r="G62" s="39">
        <f t="shared" si="6"/>
        <v>7089.5782500000005</v>
      </c>
      <c r="H62" s="39">
        <f t="shared" si="6"/>
        <v>8631.2278000000006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119.22800000000001</v>
      </c>
    </row>
    <row r="65" spans="1:2" ht="18" x14ac:dyDescent="0.35">
      <c r="A65" t="s">
        <v>141</v>
      </c>
      <c r="B65" s="39">
        <f>SUM(B12:B61)/50</f>
        <v>123.559</v>
      </c>
    </row>
    <row r="66" spans="1:2" ht="18" x14ac:dyDescent="0.35">
      <c r="A66" t="s">
        <v>142</v>
      </c>
      <c r="B66">
        <f>SUM(C12:C61)/50</f>
        <v>119.22800000000001</v>
      </c>
    </row>
    <row r="68" spans="1:2" ht="18" x14ac:dyDescent="0.35">
      <c r="A68" t="s">
        <v>143</v>
      </c>
      <c r="B68">
        <f>F62/SQRT(G62*H62)</f>
        <v>0.58467931409654794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5" workbookViewId="0">
      <selection activeCell="G67" sqref="G67"/>
    </sheetView>
  </sheetViews>
  <sheetFormatPr defaultRowHeight="15" x14ac:dyDescent="0.25"/>
  <cols>
    <col min="6" max="6" width="17.140625" customWidth="1"/>
  </cols>
  <sheetData>
    <row r="2" spans="1:8" x14ac:dyDescent="0.25">
      <c r="A2" s="34">
        <v>1</v>
      </c>
      <c r="B2" s="34">
        <v>2</v>
      </c>
      <c r="C2" s="34">
        <v>3</v>
      </c>
      <c r="D2" s="34">
        <v>4</v>
      </c>
      <c r="E2" s="34">
        <v>5</v>
      </c>
      <c r="F2" s="34">
        <v>6</v>
      </c>
      <c r="G2" s="34">
        <v>7</v>
      </c>
      <c r="H2" s="34">
        <v>8</v>
      </c>
    </row>
    <row r="3" spans="1:8" ht="18" x14ac:dyDescent="0.25">
      <c r="A3" s="35" t="s">
        <v>67</v>
      </c>
      <c r="B3" s="35" t="s">
        <v>68</v>
      </c>
      <c r="C3" s="36" t="s">
        <v>144</v>
      </c>
      <c r="D3" s="36" t="s">
        <v>145</v>
      </c>
      <c r="E3" s="36" t="s">
        <v>146</v>
      </c>
      <c r="F3" s="37" t="s">
        <v>147</v>
      </c>
      <c r="G3" s="36" t="s">
        <v>148</v>
      </c>
      <c r="H3" s="36" t="s">
        <v>149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39">
        <f>B4</f>
        <v>102.32</v>
      </c>
      <c r="D13" s="39">
        <f>B13-$B$65</f>
        <v>-6.5581632653061206</v>
      </c>
      <c r="E13" s="39">
        <f>C13-$B$66</f>
        <v>-16.676122448979612</v>
      </c>
      <c r="F13">
        <f>D13*E13</f>
        <v>109.36473365264483</v>
      </c>
      <c r="G13">
        <f>D13*D13</f>
        <v>43.00950541441064</v>
      </c>
      <c r="H13">
        <f>E13*E13</f>
        <v>278.09305993336176</v>
      </c>
    </row>
    <row r="14" spans="1:8" x14ac:dyDescent="0.25">
      <c r="A14">
        <v>11</v>
      </c>
      <c r="B14" s="6">
        <v>117.61</v>
      </c>
      <c r="C14" s="39">
        <f t="shared" ref="C14:C61" si="0">B5</f>
        <v>102.21</v>
      </c>
      <c r="D14" s="39">
        <f t="shared" ref="D14:D61" si="1">B14-$B$65</f>
        <v>-6.1181632653061229</v>
      </c>
      <c r="E14" s="39">
        <f t="shared" ref="E14:E61" si="2">C14-$B$66</f>
        <v>-16.786122448979611</v>
      </c>
      <c r="F14">
        <f t="shared" ref="F14:F61" si="3">D14*E14</f>
        <v>102.70023773427751</v>
      </c>
      <c r="G14">
        <f t="shared" ref="G14:G61" si="4">D14*D14</f>
        <v>37.431921740941277</v>
      </c>
      <c r="H14">
        <f t="shared" ref="H14:H61" si="5">E14*E14</f>
        <v>281.77390687213727</v>
      </c>
    </row>
    <row r="15" spans="1:8" x14ac:dyDescent="0.25">
      <c r="A15">
        <v>12</v>
      </c>
      <c r="B15" s="6">
        <v>117.26</v>
      </c>
      <c r="C15" s="39">
        <f t="shared" si="0"/>
        <v>102.16</v>
      </c>
      <c r="D15" s="39">
        <f t="shared" si="1"/>
        <v>-6.4681632653061172</v>
      </c>
      <c r="E15" s="39">
        <f t="shared" si="2"/>
        <v>-16.836122448979609</v>
      </c>
      <c r="F15">
        <f t="shared" si="3"/>
        <v>108.89878875468557</v>
      </c>
      <c r="G15">
        <f t="shared" si="4"/>
        <v>41.837136026655493</v>
      </c>
      <c r="H15">
        <f t="shared" si="5"/>
        <v>283.45501911703514</v>
      </c>
    </row>
    <row r="16" spans="1:8" x14ac:dyDescent="0.25">
      <c r="A16">
        <v>13</v>
      </c>
      <c r="B16" s="6">
        <v>115.88</v>
      </c>
      <c r="C16" s="39">
        <f t="shared" si="0"/>
        <v>102.06</v>
      </c>
      <c r="D16" s="39">
        <f t="shared" si="1"/>
        <v>-7.8481632653061268</v>
      </c>
      <c r="E16" s="39">
        <f t="shared" si="2"/>
        <v>-16.936122448979603</v>
      </c>
      <c r="F16">
        <f t="shared" si="3"/>
        <v>132.91745406080815</v>
      </c>
      <c r="G16">
        <f t="shared" si="4"/>
        <v>61.59366663890053</v>
      </c>
      <c r="H16">
        <f t="shared" si="5"/>
        <v>286.83224360683084</v>
      </c>
    </row>
    <row r="17" spans="1:8" x14ac:dyDescent="0.25">
      <c r="A17">
        <v>14</v>
      </c>
      <c r="B17" s="6">
        <v>113.35</v>
      </c>
      <c r="C17" s="39">
        <f t="shared" si="0"/>
        <v>102.55</v>
      </c>
      <c r="D17" s="39">
        <f t="shared" si="1"/>
        <v>-10.378163265306128</v>
      </c>
      <c r="E17" s="39">
        <f t="shared" si="2"/>
        <v>-16.446122448979608</v>
      </c>
      <c r="F17">
        <f t="shared" si="3"/>
        <v>170.68054385672662</v>
      </c>
      <c r="G17">
        <f t="shared" si="4"/>
        <v>107.70627276134955</v>
      </c>
      <c r="H17">
        <f t="shared" si="5"/>
        <v>270.474943606831</v>
      </c>
    </row>
    <row r="18" spans="1:8" x14ac:dyDescent="0.25">
      <c r="A18">
        <v>15</v>
      </c>
      <c r="B18" s="6">
        <v>111.39</v>
      </c>
      <c r="C18" s="39">
        <f t="shared" si="0"/>
        <v>104.35</v>
      </c>
      <c r="D18" s="39">
        <f t="shared" si="1"/>
        <v>-12.338163265306122</v>
      </c>
      <c r="E18" s="39">
        <f t="shared" si="2"/>
        <v>-14.646122448979611</v>
      </c>
      <c r="F18">
        <f t="shared" si="3"/>
        <v>180.70624997917557</v>
      </c>
      <c r="G18">
        <f t="shared" si="4"/>
        <v>152.23027276134943</v>
      </c>
      <c r="H18">
        <f t="shared" si="5"/>
        <v>214.50890279050452</v>
      </c>
    </row>
    <row r="19" spans="1:8" x14ac:dyDescent="0.25">
      <c r="A19">
        <v>16</v>
      </c>
      <c r="B19" s="6">
        <v>109.76</v>
      </c>
      <c r="C19" s="39">
        <f t="shared" si="0"/>
        <v>107.57</v>
      </c>
      <c r="D19" s="39">
        <f t="shared" si="1"/>
        <v>-13.968163265306117</v>
      </c>
      <c r="E19" s="39">
        <f t="shared" si="2"/>
        <v>-11.426122448979612</v>
      </c>
      <c r="F19">
        <f t="shared" si="3"/>
        <v>159.60194385672659</v>
      </c>
      <c r="G19">
        <f t="shared" si="4"/>
        <v>195.10958500624724</v>
      </c>
      <c r="H19">
        <f t="shared" si="5"/>
        <v>130.55627421907585</v>
      </c>
    </row>
    <row r="20" spans="1:8" x14ac:dyDescent="0.25">
      <c r="A20">
        <v>17</v>
      </c>
      <c r="B20" s="6">
        <v>109.5</v>
      </c>
      <c r="C20" s="39">
        <f t="shared" si="0"/>
        <v>111.96</v>
      </c>
      <c r="D20" s="39">
        <f t="shared" si="1"/>
        <v>-14.228163265306122</v>
      </c>
      <c r="E20" s="39">
        <f t="shared" si="2"/>
        <v>-7.0361224489796115</v>
      </c>
      <c r="F20">
        <f t="shared" si="3"/>
        <v>100.11109895876746</v>
      </c>
      <c r="G20">
        <f t="shared" si="4"/>
        <v>202.44062990420659</v>
      </c>
      <c r="H20">
        <f t="shared" si="5"/>
        <v>49.507019117034844</v>
      </c>
    </row>
    <row r="21" spans="1:8" x14ac:dyDescent="0.25">
      <c r="A21">
        <v>18</v>
      </c>
      <c r="B21" s="6">
        <v>108.86</v>
      </c>
      <c r="C21" s="39">
        <f t="shared" si="0"/>
        <v>115.27</v>
      </c>
      <c r="D21" s="39">
        <f t="shared" si="1"/>
        <v>-14.868163265306123</v>
      </c>
      <c r="E21" s="39">
        <f t="shared" si="2"/>
        <v>-3.7261224489796092</v>
      </c>
      <c r="F21">
        <f t="shared" si="3"/>
        <v>55.400596917951113</v>
      </c>
      <c r="G21">
        <f t="shared" si="4"/>
        <v>221.06227888379843</v>
      </c>
      <c r="H21">
        <f t="shared" si="5"/>
        <v>13.8839885047898</v>
      </c>
    </row>
    <row r="22" spans="1:8" x14ac:dyDescent="0.25">
      <c r="A22">
        <v>19</v>
      </c>
      <c r="B22" s="6">
        <v>108.49</v>
      </c>
      <c r="C22" s="39">
        <f t="shared" si="0"/>
        <v>117.17</v>
      </c>
      <c r="D22" s="39">
        <f t="shared" si="1"/>
        <v>-15.238163265306127</v>
      </c>
      <c r="E22" s="39">
        <f t="shared" si="2"/>
        <v>-1.8261224489796035</v>
      </c>
      <c r="F22">
        <f t="shared" si="3"/>
        <v>27.826752019991858</v>
      </c>
      <c r="G22">
        <f t="shared" si="4"/>
        <v>232.20161970012509</v>
      </c>
      <c r="H22">
        <f t="shared" si="5"/>
        <v>3.3347231986672647</v>
      </c>
    </row>
    <row r="23" spans="1:8" x14ac:dyDescent="0.25">
      <c r="A23">
        <v>20</v>
      </c>
      <c r="B23" s="6">
        <v>108.36</v>
      </c>
      <c r="C23" s="39">
        <f t="shared" si="0"/>
        <v>117.61</v>
      </c>
      <c r="D23" s="39">
        <f t="shared" si="1"/>
        <v>-15.368163265306123</v>
      </c>
      <c r="E23" s="39">
        <f t="shared" si="2"/>
        <v>-1.3861224489796058</v>
      </c>
      <c r="F23">
        <f t="shared" si="3"/>
        <v>21.30215610162454</v>
      </c>
      <c r="G23">
        <f t="shared" si="4"/>
        <v>236.18044214910455</v>
      </c>
      <c r="H23">
        <f t="shared" si="5"/>
        <v>1.9213354435652199</v>
      </c>
    </row>
    <row r="24" spans="1:8" x14ac:dyDescent="0.25">
      <c r="A24">
        <v>21</v>
      </c>
      <c r="B24" s="6">
        <v>108.19</v>
      </c>
      <c r="C24" s="39">
        <f t="shared" si="0"/>
        <v>117.26</v>
      </c>
      <c r="D24" s="39">
        <f t="shared" si="1"/>
        <v>-15.538163265306125</v>
      </c>
      <c r="E24" s="39">
        <f t="shared" si="2"/>
        <v>-1.7361224489796001</v>
      </c>
      <c r="F24">
        <f t="shared" si="3"/>
        <v>26.976154060808128</v>
      </c>
      <c r="G24">
        <f t="shared" si="4"/>
        <v>241.43451765930868</v>
      </c>
      <c r="H24">
        <f t="shared" si="5"/>
        <v>3.0141211578509242</v>
      </c>
    </row>
    <row r="25" spans="1:8" x14ac:dyDescent="0.25">
      <c r="A25">
        <v>22</v>
      </c>
      <c r="B25" s="6">
        <v>107.8</v>
      </c>
      <c r="C25" s="39">
        <f t="shared" si="0"/>
        <v>115.88</v>
      </c>
      <c r="D25" s="39">
        <f t="shared" si="1"/>
        <v>-15.928163265306125</v>
      </c>
      <c r="E25" s="39">
        <f t="shared" si="2"/>
        <v>-3.1161224489796098</v>
      </c>
      <c r="F25">
        <f t="shared" si="3"/>
        <v>49.634107122032781</v>
      </c>
      <c r="G25">
        <f t="shared" si="4"/>
        <v>253.70638500624747</v>
      </c>
      <c r="H25">
        <f t="shared" si="5"/>
        <v>9.710219117034681</v>
      </c>
    </row>
    <row r="26" spans="1:8" x14ac:dyDescent="0.25">
      <c r="A26">
        <v>23</v>
      </c>
      <c r="B26" s="6">
        <v>107.47</v>
      </c>
      <c r="C26" s="39">
        <f t="shared" si="0"/>
        <v>113.35</v>
      </c>
      <c r="D26" s="39">
        <f t="shared" si="1"/>
        <v>-16.258163265306123</v>
      </c>
      <c r="E26" s="39">
        <f t="shared" si="2"/>
        <v>-5.6461224489796109</v>
      </c>
      <c r="F26">
        <f t="shared" si="3"/>
        <v>91.79558059142056</v>
      </c>
      <c r="G26">
        <f t="shared" si="4"/>
        <v>264.32787276134945</v>
      </c>
      <c r="H26">
        <f t="shared" si="5"/>
        <v>31.878698708871518</v>
      </c>
    </row>
    <row r="27" spans="1:8" x14ac:dyDescent="0.25">
      <c r="A27">
        <v>24</v>
      </c>
      <c r="B27" s="6">
        <v>107.03</v>
      </c>
      <c r="C27" s="39">
        <f t="shared" si="0"/>
        <v>111.39</v>
      </c>
      <c r="D27" s="39">
        <f t="shared" si="1"/>
        <v>-16.698163265306121</v>
      </c>
      <c r="E27" s="39">
        <f t="shared" si="2"/>
        <v>-7.6061224489796047</v>
      </c>
      <c r="F27">
        <f t="shared" si="3"/>
        <v>127.00827446897146</v>
      </c>
      <c r="G27">
        <f t="shared" si="4"/>
        <v>278.82865643481881</v>
      </c>
      <c r="H27">
        <f t="shared" si="5"/>
        <v>57.853098708871499</v>
      </c>
    </row>
    <row r="28" spans="1:8" x14ac:dyDescent="0.25">
      <c r="A28">
        <v>25</v>
      </c>
      <c r="B28" s="6">
        <v>106.61</v>
      </c>
      <c r="C28" s="39">
        <f t="shared" si="0"/>
        <v>109.76</v>
      </c>
      <c r="D28" s="39">
        <f t="shared" si="1"/>
        <v>-17.118163265306123</v>
      </c>
      <c r="E28" s="39">
        <f t="shared" si="2"/>
        <v>-9.2361224489796001</v>
      </c>
      <c r="F28">
        <f t="shared" si="3"/>
        <v>158.10545201999182</v>
      </c>
      <c r="G28">
        <f t="shared" si="4"/>
        <v>293.03151357767598</v>
      </c>
      <c r="H28">
        <f t="shared" si="5"/>
        <v>85.305957892544924</v>
      </c>
    </row>
    <row r="29" spans="1:8" x14ac:dyDescent="0.25">
      <c r="A29">
        <v>26</v>
      </c>
      <c r="B29" s="6">
        <v>106.57</v>
      </c>
      <c r="C29" s="39">
        <f t="shared" si="0"/>
        <v>109.5</v>
      </c>
      <c r="D29" s="39">
        <f t="shared" si="1"/>
        <v>-17.158163265306129</v>
      </c>
      <c r="E29" s="39">
        <f t="shared" si="2"/>
        <v>-9.4961224489796052</v>
      </c>
      <c r="F29">
        <f t="shared" si="3"/>
        <v>162.93601936693074</v>
      </c>
      <c r="G29">
        <f t="shared" si="4"/>
        <v>294.40256663890068</v>
      </c>
      <c r="H29">
        <f t="shared" si="5"/>
        <v>90.176341566014415</v>
      </c>
    </row>
    <row r="30" spans="1:8" x14ac:dyDescent="0.25">
      <c r="A30">
        <v>27</v>
      </c>
      <c r="B30" s="6">
        <v>106.49</v>
      </c>
      <c r="C30" s="39">
        <f t="shared" si="0"/>
        <v>108.86</v>
      </c>
      <c r="D30" s="39">
        <f t="shared" si="1"/>
        <v>-17.238163265306127</v>
      </c>
      <c r="E30" s="39">
        <f t="shared" si="2"/>
        <v>-10.136122448979606</v>
      </c>
      <c r="F30">
        <f t="shared" si="3"/>
        <v>174.72813365264503</v>
      </c>
      <c r="G30">
        <f t="shared" si="4"/>
        <v>297.1542727613496</v>
      </c>
      <c r="H30">
        <f t="shared" si="5"/>
        <v>102.74097830070832</v>
      </c>
    </row>
    <row r="31" spans="1:8" x14ac:dyDescent="0.25">
      <c r="A31">
        <v>28</v>
      </c>
      <c r="B31" s="6">
        <v>107.04</v>
      </c>
      <c r="C31" s="39">
        <f t="shared" si="0"/>
        <v>108.49</v>
      </c>
      <c r="D31" s="39">
        <f t="shared" si="1"/>
        <v>-16.688163265306116</v>
      </c>
      <c r="E31" s="39">
        <f t="shared" si="2"/>
        <v>-10.50612244897961</v>
      </c>
      <c r="F31">
        <f t="shared" si="3"/>
        <v>175.32788671386947</v>
      </c>
      <c r="G31">
        <f t="shared" si="4"/>
        <v>278.49479316951249</v>
      </c>
      <c r="H31">
        <f t="shared" si="5"/>
        <v>110.37860891295333</v>
      </c>
    </row>
    <row r="32" spans="1:8" x14ac:dyDescent="0.25">
      <c r="A32">
        <v>29</v>
      </c>
      <c r="B32" s="6">
        <v>111.35</v>
      </c>
      <c r="C32" s="39">
        <f t="shared" si="0"/>
        <v>108.36</v>
      </c>
      <c r="D32" s="39">
        <f t="shared" si="1"/>
        <v>-12.378163265306128</v>
      </c>
      <c r="E32" s="39">
        <f t="shared" si="2"/>
        <v>-10.636122448979606</v>
      </c>
      <c r="F32">
        <f t="shared" si="3"/>
        <v>131.6556601832572</v>
      </c>
      <c r="G32">
        <f t="shared" si="4"/>
        <v>153.21892582257408</v>
      </c>
      <c r="H32">
        <f t="shared" si="5"/>
        <v>113.12710074968793</v>
      </c>
    </row>
    <row r="33" spans="1:8" x14ac:dyDescent="0.25">
      <c r="A33">
        <v>30</v>
      </c>
      <c r="B33" s="6">
        <v>117.54</v>
      </c>
      <c r="C33" s="39">
        <f t="shared" si="0"/>
        <v>108.19</v>
      </c>
      <c r="D33" s="39">
        <f t="shared" si="1"/>
        <v>-6.188163265306116</v>
      </c>
      <c r="E33" s="39">
        <f t="shared" si="2"/>
        <v>-10.806122448979607</v>
      </c>
      <c r="F33">
        <f t="shared" si="3"/>
        <v>66.870049979175377</v>
      </c>
      <c r="G33">
        <f t="shared" si="4"/>
        <v>38.293364598084054</v>
      </c>
      <c r="H33">
        <f t="shared" si="5"/>
        <v>116.77228238234103</v>
      </c>
    </row>
    <row r="34" spans="1:8" x14ac:dyDescent="0.25">
      <c r="A34">
        <v>31</v>
      </c>
      <c r="B34" s="6">
        <v>122.58</v>
      </c>
      <c r="C34" s="39">
        <f t="shared" si="0"/>
        <v>107.8</v>
      </c>
      <c r="D34" s="39">
        <f t="shared" si="1"/>
        <v>-1.148163265306124</v>
      </c>
      <c r="E34" s="39">
        <f t="shared" si="2"/>
        <v>-11.196122448979608</v>
      </c>
      <c r="F34">
        <f t="shared" si="3"/>
        <v>12.854976509787624</v>
      </c>
      <c r="G34">
        <f t="shared" si="4"/>
        <v>1.318278883798421</v>
      </c>
      <c r="H34">
        <f t="shared" si="5"/>
        <v>125.35315789254514</v>
      </c>
    </row>
    <row r="35" spans="1:8" x14ac:dyDescent="0.25">
      <c r="A35">
        <v>32</v>
      </c>
      <c r="B35" s="6">
        <v>128.16</v>
      </c>
      <c r="C35" s="39">
        <f t="shared" si="0"/>
        <v>107.47</v>
      </c>
      <c r="D35" s="39">
        <f t="shared" si="1"/>
        <v>4.4318367346938743</v>
      </c>
      <c r="E35" s="39">
        <f t="shared" si="2"/>
        <v>-11.526122448979606</v>
      </c>
      <c r="F35">
        <f t="shared" si="3"/>
        <v>-51.08189287796754</v>
      </c>
      <c r="G35">
        <f t="shared" si="4"/>
        <v>19.641176842982063</v>
      </c>
      <c r="H35">
        <f t="shared" si="5"/>
        <v>132.85149870887165</v>
      </c>
    </row>
    <row r="36" spans="1:8" x14ac:dyDescent="0.25">
      <c r="A36">
        <v>33</v>
      </c>
      <c r="B36" s="6">
        <v>132.86000000000001</v>
      </c>
      <c r="C36" s="39">
        <f t="shared" si="0"/>
        <v>107.03</v>
      </c>
      <c r="D36" s="39">
        <f t="shared" si="1"/>
        <v>9.1318367346938913</v>
      </c>
      <c r="E36" s="39">
        <f t="shared" si="2"/>
        <v>-11.966122448979604</v>
      </c>
      <c r="F36">
        <f t="shared" si="3"/>
        <v>-109.27267655143717</v>
      </c>
      <c r="G36">
        <f t="shared" si="4"/>
        <v>83.390442149104786</v>
      </c>
      <c r="H36">
        <f t="shared" si="5"/>
        <v>143.18808646397363</v>
      </c>
    </row>
    <row r="37" spans="1:8" x14ac:dyDescent="0.25">
      <c r="A37">
        <v>34</v>
      </c>
      <c r="B37" s="6">
        <v>134.91999999999999</v>
      </c>
      <c r="C37" s="39">
        <f t="shared" si="0"/>
        <v>106.61</v>
      </c>
      <c r="D37" s="39">
        <f t="shared" si="1"/>
        <v>11.191836734693865</v>
      </c>
      <c r="E37" s="39">
        <f t="shared" si="2"/>
        <v>-12.386122448979606</v>
      </c>
      <c r="F37">
        <f t="shared" si="3"/>
        <v>-138.6234602249063</v>
      </c>
      <c r="G37">
        <f t="shared" si="4"/>
        <v>125.25720949604303</v>
      </c>
      <c r="H37">
        <f t="shared" si="5"/>
        <v>153.41602932111655</v>
      </c>
    </row>
    <row r="38" spans="1:8" x14ac:dyDescent="0.25">
      <c r="A38">
        <v>35</v>
      </c>
      <c r="B38" s="6">
        <v>135.69999999999999</v>
      </c>
      <c r="C38" s="39">
        <f t="shared" si="0"/>
        <v>106.57</v>
      </c>
      <c r="D38" s="39">
        <f t="shared" si="1"/>
        <v>11.971836734693866</v>
      </c>
      <c r="E38" s="39">
        <f t="shared" si="2"/>
        <v>-12.426122448979612</v>
      </c>
      <c r="F38">
        <f t="shared" si="3"/>
        <v>-148.76350920449823</v>
      </c>
      <c r="G38">
        <f t="shared" si="4"/>
        <v>143.32487480216548</v>
      </c>
      <c r="H38">
        <f t="shared" si="5"/>
        <v>154.40851911703507</v>
      </c>
    </row>
    <row r="39" spans="1:8" x14ac:dyDescent="0.25">
      <c r="A39">
        <v>36</v>
      </c>
      <c r="B39" s="6">
        <v>136.13999999999999</v>
      </c>
      <c r="C39" s="39">
        <f t="shared" si="0"/>
        <v>106.49</v>
      </c>
      <c r="D39" s="39">
        <f t="shared" si="1"/>
        <v>12.411836734693864</v>
      </c>
      <c r="E39" s="39">
        <f t="shared" si="2"/>
        <v>-12.50612244897961</v>
      </c>
      <c r="F39">
        <f t="shared" si="3"/>
        <v>-155.22395002082473</v>
      </c>
      <c r="G39">
        <f t="shared" si="4"/>
        <v>154.05369112869604</v>
      </c>
      <c r="H39">
        <f t="shared" si="5"/>
        <v>156.40309870887177</v>
      </c>
    </row>
    <row r="40" spans="1:8" x14ac:dyDescent="0.25">
      <c r="A40">
        <v>37</v>
      </c>
      <c r="B40" s="6">
        <v>140.15</v>
      </c>
      <c r="C40" s="39">
        <f t="shared" si="0"/>
        <v>107.04</v>
      </c>
      <c r="D40" s="39">
        <f t="shared" si="1"/>
        <v>16.421836734693883</v>
      </c>
      <c r="E40" s="39">
        <f t="shared" si="2"/>
        <v>-11.956122448979599</v>
      </c>
      <c r="F40">
        <f t="shared" si="3"/>
        <v>-196.34149083715138</v>
      </c>
      <c r="G40">
        <f t="shared" si="4"/>
        <v>269.67672174094145</v>
      </c>
      <c r="H40">
        <f t="shared" si="5"/>
        <v>142.94886401499392</v>
      </c>
    </row>
    <row r="41" spans="1:8" x14ac:dyDescent="0.25">
      <c r="A41">
        <v>38</v>
      </c>
      <c r="B41" s="6">
        <v>140.09</v>
      </c>
      <c r="C41" s="39">
        <f t="shared" si="0"/>
        <v>111.35</v>
      </c>
      <c r="D41" s="39">
        <f t="shared" si="1"/>
        <v>16.361836734693881</v>
      </c>
      <c r="E41" s="39">
        <f t="shared" si="2"/>
        <v>-7.6461224489796109</v>
      </c>
      <c r="F41">
        <f t="shared" si="3"/>
        <v>-125.10460716368213</v>
      </c>
      <c r="G41">
        <f t="shared" si="4"/>
        <v>267.70970133277814</v>
      </c>
      <c r="H41">
        <f t="shared" si="5"/>
        <v>58.463188504789962</v>
      </c>
    </row>
    <row r="42" spans="1:8" x14ac:dyDescent="0.25">
      <c r="A42">
        <v>39</v>
      </c>
      <c r="B42" s="6">
        <v>139.1</v>
      </c>
      <c r="C42" s="39">
        <f t="shared" si="0"/>
        <v>117.54</v>
      </c>
      <c r="D42" s="39">
        <f t="shared" si="1"/>
        <v>15.371836734693872</v>
      </c>
      <c r="E42" s="39">
        <f t="shared" si="2"/>
        <v>-1.456122448979599</v>
      </c>
      <c r="F42">
        <f t="shared" si="3"/>
        <v>-22.383276551437003</v>
      </c>
      <c r="G42">
        <f t="shared" si="4"/>
        <v>236.29336459808397</v>
      </c>
      <c r="H42">
        <f t="shared" si="5"/>
        <v>2.120292586422345</v>
      </c>
    </row>
    <row r="43" spans="1:8" x14ac:dyDescent="0.25">
      <c r="A43">
        <v>40</v>
      </c>
      <c r="B43" s="6">
        <v>137.5</v>
      </c>
      <c r="C43" s="39">
        <f t="shared" si="0"/>
        <v>122.58</v>
      </c>
      <c r="D43" s="39">
        <f t="shared" si="1"/>
        <v>13.771836734693878</v>
      </c>
      <c r="E43" s="39">
        <f t="shared" si="2"/>
        <v>3.5838775510203931</v>
      </c>
      <c r="F43">
        <f t="shared" si="3"/>
        <v>49.356576509787381</v>
      </c>
      <c r="G43">
        <f t="shared" si="4"/>
        <v>189.66348704706374</v>
      </c>
      <c r="H43">
        <f t="shared" si="5"/>
        <v>12.844178300707931</v>
      </c>
    </row>
    <row r="44" spans="1:8" x14ac:dyDescent="0.25">
      <c r="A44">
        <v>41</v>
      </c>
      <c r="B44" s="6">
        <v>136.12</v>
      </c>
      <c r="C44" s="39">
        <f t="shared" si="0"/>
        <v>128.16</v>
      </c>
      <c r="D44" s="39">
        <f t="shared" si="1"/>
        <v>12.391836734693882</v>
      </c>
      <c r="E44" s="39">
        <f t="shared" si="2"/>
        <v>9.1638775510203914</v>
      </c>
      <c r="F44">
        <f t="shared" si="3"/>
        <v>113.5572744689711</v>
      </c>
      <c r="G44">
        <f t="shared" si="4"/>
        <v>153.55761765930873</v>
      </c>
      <c r="H44">
        <f t="shared" si="5"/>
        <v>83.976651770095486</v>
      </c>
    </row>
    <row r="45" spans="1:8" x14ac:dyDescent="0.25">
      <c r="A45">
        <v>42</v>
      </c>
      <c r="B45" s="6">
        <v>135.22</v>
      </c>
      <c r="C45" s="39">
        <f t="shared" si="0"/>
        <v>132.86000000000001</v>
      </c>
      <c r="D45" s="39">
        <f t="shared" si="1"/>
        <v>11.491836734693877</v>
      </c>
      <c r="E45" s="39">
        <f t="shared" si="2"/>
        <v>13.863877551020408</v>
      </c>
      <c r="F45">
        <f t="shared" si="3"/>
        <v>159.3214173261141</v>
      </c>
      <c r="G45">
        <f t="shared" si="4"/>
        <v>132.06231153685962</v>
      </c>
      <c r="H45">
        <f t="shared" si="5"/>
        <v>192.20710074968764</v>
      </c>
    </row>
    <row r="46" spans="1:8" x14ac:dyDescent="0.25">
      <c r="A46">
        <v>43</v>
      </c>
      <c r="B46" s="6">
        <v>134.72999999999999</v>
      </c>
      <c r="C46" s="39">
        <f t="shared" si="0"/>
        <v>134.91999999999999</v>
      </c>
      <c r="D46" s="39">
        <f t="shared" si="1"/>
        <v>11.001836734693867</v>
      </c>
      <c r="E46" s="39">
        <f t="shared" si="2"/>
        <v>15.923877551020382</v>
      </c>
      <c r="F46">
        <f t="shared" si="3"/>
        <v>175.19190099958305</v>
      </c>
      <c r="G46">
        <f t="shared" si="4"/>
        <v>121.04041153685942</v>
      </c>
      <c r="H46">
        <f t="shared" si="5"/>
        <v>253.56987625989089</v>
      </c>
    </row>
    <row r="47" spans="1:8" x14ac:dyDescent="0.25">
      <c r="A47">
        <v>44</v>
      </c>
      <c r="B47" s="6">
        <v>134.38999999999999</v>
      </c>
      <c r="C47" s="39">
        <f t="shared" si="0"/>
        <v>135.69999999999999</v>
      </c>
      <c r="D47" s="39">
        <f t="shared" si="1"/>
        <v>10.661836734693864</v>
      </c>
      <c r="E47" s="39">
        <f t="shared" si="2"/>
        <v>16.703877551020383</v>
      </c>
      <c r="F47">
        <f t="shared" si="3"/>
        <v>178.0940152852973</v>
      </c>
      <c r="G47">
        <f t="shared" si="4"/>
        <v>113.67476255726751</v>
      </c>
      <c r="H47">
        <f t="shared" si="5"/>
        <v>279.01952523948273</v>
      </c>
    </row>
    <row r="48" spans="1:8" x14ac:dyDescent="0.25">
      <c r="A48">
        <v>45</v>
      </c>
      <c r="B48" s="6">
        <v>134.51</v>
      </c>
      <c r="C48" s="39">
        <f t="shared" si="0"/>
        <v>136.13999999999999</v>
      </c>
      <c r="D48" s="39">
        <f t="shared" si="1"/>
        <v>10.781836734693869</v>
      </c>
      <c r="E48" s="39">
        <f t="shared" si="2"/>
        <v>17.143877551020381</v>
      </c>
      <c r="F48">
        <f t="shared" si="3"/>
        <v>184.84248875468509</v>
      </c>
      <c r="G48">
        <f t="shared" si="4"/>
        <v>116.24800337359414</v>
      </c>
      <c r="H48">
        <f t="shared" si="5"/>
        <v>293.91253748438061</v>
      </c>
    </row>
    <row r="49" spans="1:8" x14ac:dyDescent="0.25">
      <c r="A49">
        <v>46</v>
      </c>
      <c r="B49" s="6">
        <v>134.46</v>
      </c>
      <c r="C49" s="39">
        <f t="shared" si="0"/>
        <v>140.15</v>
      </c>
      <c r="D49" s="39">
        <f t="shared" si="1"/>
        <v>10.731836734693886</v>
      </c>
      <c r="E49" s="39">
        <f t="shared" si="2"/>
        <v>21.1538775510204</v>
      </c>
      <c r="F49">
        <f t="shared" si="3"/>
        <v>227.01996018325707</v>
      </c>
      <c r="G49">
        <f t="shared" si="4"/>
        <v>115.17231970012512</v>
      </c>
      <c r="H49">
        <f t="shared" si="5"/>
        <v>447.48653544356483</v>
      </c>
    </row>
    <row r="50" spans="1:8" x14ac:dyDescent="0.25">
      <c r="A50">
        <v>47</v>
      </c>
      <c r="B50" s="6">
        <v>134.27000000000001</v>
      </c>
      <c r="C50" s="39">
        <f t="shared" si="0"/>
        <v>140.09</v>
      </c>
      <c r="D50" s="39">
        <f t="shared" si="1"/>
        <v>10.541836734693888</v>
      </c>
      <c r="E50" s="39">
        <f t="shared" si="2"/>
        <v>21.093877551020398</v>
      </c>
      <c r="F50">
        <f t="shared" si="3"/>
        <v>222.36821324448158</v>
      </c>
      <c r="G50">
        <f t="shared" si="4"/>
        <v>111.1303217409415</v>
      </c>
      <c r="H50">
        <f t="shared" si="5"/>
        <v>444.95167013744231</v>
      </c>
    </row>
    <row r="51" spans="1:8" x14ac:dyDescent="0.25">
      <c r="A51">
        <v>48</v>
      </c>
      <c r="B51" s="6">
        <v>133.72999999999999</v>
      </c>
      <c r="C51" s="39">
        <f t="shared" si="0"/>
        <v>139.1</v>
      </c>
      <c r="D51" s="39">
        <f t="shared" si="1"/>
        <v>10.001836734693867</v>
      </c>
      <c r="E51" s="39">
        <f t="shared" si="2"/>
        <v>20.103877551020389</v>
      </c>
      <c r="F51">
        <f t="shared" si="3"/>
        <v>201.07570099958312</v>
      </c>
      <c r="G51">
        <f t="shared" si="4"/>
        <v>100.03673806747169</v>
      </c>
      <c r="H51">
        <f t="shared" si="5"/>
        <v>404.16589258642153</v>
      </c>
    </row>
    <row r="52" spans="1:8" x14ac:dyDescent="0.25">
      <c r="A52">
        <v>49</v>
      </c>
      <c r="B52" s="6">
        <v>132.01</v>
      </c>
      <c r="C52" s="39">
        <f t="shared" si="0"/>
        <v>137.5</v>
      </c>
      <c r="D52" s="39">
        <f t="shared" si="1"/>
        <v>8.2818367346938686</v>
      </c>
      <c r="E52" s="39">
        <f t="shared" si="2"/>
        <v>18.503877551020395</v>
      </c>
      <c r="F52">
        <f t="shared" si="3"/>
        <v>153.24609283631793</v>
      </c>
      <c r="G52">
        <f t="shared" si="4"/>
        <v>68.588819700124802</v>
      </c>
      <c r="H52">
        <f t="shared" si="5"/>
        <v>342.39348442315651</v>
      </c>
    </row>
    <row r="53" spans="1:8" x14ac:dyDescent="0.25">
      <c r="A53">
        <v>50</v>
      </c>
      <c r="B53" s="6">
        <v>130.59</v>
      </c>
      <c r="C53" s="39">
        <f t="shared" si="0"/>
        <v>136.12</v>
      </c>
      <c r="D53" s="39">
        <f t="shared" si="1"/>
        <v>6.8618367346938811</v>
      </c>
      <c r="E53" s="39">
        <f t="shared" si="2"/>
        <v>17.123877551020399</v>
      </c>
      <c r="F53">
        <f t="shared" si="3"/>
        <v>117.50125201999167</v>
      </c>
      <c r="G53">
        <f t="shared" si="4"/>
        <v>47.084803373594383</v>
      </c>
      <c r="H53">
        <f t="shared" si="5"/>
        <v>293.2271823823404</v>
      </c>
    </row>
    <row r="54" spans="1:8" x14ac:dyDescent="0.25">
      <c r="A54">
        <v>51</v>
      </c>
      <c r="B54" s="6">
        <v>130.28</v>
      </c>
      <c r="C54" s="39">
        <f t="shared" si="0"/>
        <v>135.22</v>
      </c>
      <c r="D54" s="39">
        <f t="shared" si="1"/>
        <v>6.5518367346938788</v>
      </c>
      <c r="E54" s="39">
        <f t="shared" si="2"/>
        <v>16.223877551020394</v>
      </c>
      <c r="F54">
        <f t="shared" si="3"/>
        <v>106.29619691795078</v>
      </c>
      <c r="G54">
        <f t="shared" si="4"/>
        <v>42.926564598084148</v>
      </c>
      <c r="H54">
        <f t="shared" si="5"/>
        <v>263.21420279050346</v>
      </c>
    </row>
    <row r="55" spans="1:8" x14ac:dyDescent="0.25">
      <c r="A55">
        <v>52</v>
      </c>
      <c r="B55" s="6">
        <v>129.16</v>
      </c>
      <c r="C55" s="39">
        <f t="shared" si="0"/>
        <v>134.72999999999999</v>
      </c>
      <c r="D55" s="39">
        <f t="shared" si="1"/>
        <v>5.4318367346938743</v>
      </c>
      <c r="E55" s="39">
        <f t="shared" si="2"/>
        <v>15.733877551020385</v>
      </c>
      <c r="F55">
        <f t="shared" si="3"/>
        <v>85.463854060807819</v>
      </c>
      <c r="G55">
        <f t="shared" si="4"/>
        <v>29.504850312369811</v>
      </c>
      <c r="H55">
        <f t="shared" si="5"/>
        <v>247.55490279050321</v>
      </c>
    </row>
    <row r="56" spans="1:8" x14ac:dyDescent="0.25">
      <c r="A56">
        <v>53</v>
      </c>
      <c r="B56" s="6">
        <v>128.94</v>
      </c>
      <c r="C56" s="39">
        <f t="shared" si="0"/>
        <v>134.38999999999999</v>
      </c>
      <c r="D56" s="39">
        <f t="shared" si="1"/>
        <v>5.2118367346938754</v>
      </c>
      <c r="E56" s="39">
        <f t="shared" si="2"/>
        <v>15.393877551020381</v>
      </c>
      <c r="F56">
        <f t="shared" si="3"/>
        <v>80.230376509787419</v>
      </c>
      <c r="G56">
        <f t="shared" si="4"/>
        <v>27.163242149104519</v>
      </c>
      <c r="H56">
        <f t="shared" si="5"/>
        <v>236.97146605580926</v>
      </c>
    </row>
    <row r="57" spans="1:8" x14ac:dyDescent="0.25">
      <c r="A57">
        <v>54</v>
      </c>
      <c r="B57" s="6">
        <v>129.30000000000001</v>
      </c>
      <c r="C57" s="39">
        <f t="shared" si="0"/>
        <v>134.51</v>
      </c>
      <c r="D57" s="39">
        <f t="shared" si="1"/>
        <v>5.5718367346938891</v>
      </c>
      <c r="E57" s="39">
        <f t="shared" si="2"/>
        <v>15.513877551020386</v>
      </c>
      <c r="F57">
        <f t="shared" si="3"/>
        <v>86.440792836318252</v>
      </c>
      <c r="G57">
        <f t="shared" si="4"/>
        <v>31.045364598084259</v>
      </c>
      <c r="H57">
        <f t="shared" si="5"/>
        <v>240.68039666805427</v>
      </c>
    </row>
    <row r="58" spans="1:8" x14ac:dyDescent="0.25">
      <c r="A58">
        <v>55</v>
      </c>
      <c r="B58" s="6">
        <v>131.22</v>
      </c>
      <c r="C58" s="39">
        <f t="shared" si="0"/>
        <v>134.46</v>
      </c>
      <c r="D58" s="39">
        <f t="shared" si="1"/>
        <v>7.4918367346938766</v>
      </c>
      <c r="E58" s="39">
        <f t="shared" si="2"/>
        <v>15.463877551020403</v>
      </c>
      <c r="F58">
        <f t="shared" si="3"/>
        <v>115.85284589754264</v>
      </c>
      <c r="G58">
        <f t="shared" si="4"/>
        <v>56.127617659308605</v>
      </c>
      <c r="H58">
        <f t="shared" si="5"/>
        <v>239.13150891295277</v>
      </c>
    </row>
    <row r="59" spans="1:8" x14ac:dyDescent="0.25">
      <c r="A59">
        <v>56</v>
      </c>
      <c r="B59" s="6">
        <v>132.52000000000001</v>
      </c>
      <c r="C59" s="39">
        <f t="shared" si="0"/>
        <v>134.27000000000001</v>
      </c>
      <c r="D59" s="39">
        <f t="shared" si="1"/>
        <v>8.7918367346938879</v>
      </c>
      <c r="E59" s="39">
        <f t="shared" si="2"/>
        <v>15.273877551020405</v>
      </c>
      <c r="F59">
        <f t="shared" si="3"/>
        <v>134.28543773427751</v>
      </c>
      <c r="G59">
        <f t="shared" si="4"/>
        <v>77.296393169512882</v>
      </c>
      <c r="H59">
        <f t="shared" si="5"/>
        <v>233.29133544356509</v>
      </c>
    </row>
    <row r="60" spans="1:8" x14ac:dyDescent="0.25">
      <c r="A60">
        <v>57</v>
      </c>
      <c r="B60" s="6">
        <v>134.25</v>
      </c>
      <c r="C60" s="39">
        <f t="shared" si="0"/>
        <v>133.72999999999999</v>
      </c>
      <c r="D60" s="39">
        <f t="shared" si="1"/>
        <v>10.521836734693878</v>
      </c>
      <c r="E60" s="39">
        <f t="shared" si="2"/>
        <v>14.733877551020385</v>
      </c>
      <c r="F60">
        <f t="shared" si="3"/>
        <v>155.02745406080774</v>
      </c>
      <c r="G60">
        <f t="shared" si="4"/>
        <v>110.70904827155353</v>
      </c>
      <c r="H60">
        <f t="shared" si="5"/>
        <v>217.08714768846244</v>
      </c>
    </row>
    <row r="61" spans="1:8" x14ac:dyDescent="0.25">
      <c r="A61">
        <v>58</v>
      </c>
      <c r="B61" s="6">
        <v>136.06</v>
      </c>
      <c r="C61" s="39">
        <f t="shared" si="0"/>
        <v>132.01</v>
      </c>
      <c r="D61" s="39">
        <f t="shared" si="1"/>
        <v>12.33183673469388</v>
      </c>
      <c r="E61" s="39">
        <f t="shared" si="2"/>
        <v>13.013877551020386</v>
      </c>
      <c r="F61">
        <f t="shared" si="3"/>
        <v>160.48501324448122</v>
      </c>
      <c r="G61">
        <f t="shared" si="4"/>
        <v>152.07419725114542</v>
      </c>
      <c r="H61">
        <f t="shared" si="5"/>
        <v>169.36100891295234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5830.81</v>
      </c>
      <c r="D62" s="39">
        <f t="shared" si="6"/>
        <v>-1.4210854715202004E-14</v>
      </c>
      <c r="E62" s="39">
        <f t="shared" si="6"/>
        <v>-8.2422957348171622E-13</v>
      </c>
      <c r="F62" s="39">
        <f t="shared" si="6"/>
        <v>4106.2648510204081</v>
      </c>
      <c r="G62" s="39">
        <f t="shared" si="6"/>
        <v>7019.4685346938759</v>
      </c>
      <c r="H62" s="39">
        <f t="shared" si="6"/>
        <v>8499.4981632653071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118.99612244897961</v>
      </c>
    </row>
    <row r="65" spans="1:2" ht="18" x14ac:dyDescent="0.35">
      <c r="A65" t="s">
        <v>150</v>
      </c>
      <c r="B65" s="39">
        <f>SUM(B13:B61)/49</f>
        <v>123.72816326530612</v>
      </c>
    </row>
    <row r="66" spans="1:2" ht="18" x14ac:dyDescent="0.35">
      <c r="A66" t="s">
        <v>151</v>
      </c>
      <c r="B66">
        <f>SUM(C13:C61)/49</f>
        <v>118.99612244897961</v>
      </c>
    </row>
    <row r="68" spans="1:2" ht="18" x14ac:dyDescent="0.35">
      <c r="A68" t="s">
        <v>152</v>
      </c>
      <c r="B68">
        <f>F62/SQRT(G62*H62)</f>
        <v>0.53161619122699022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0" workbookViewId="0">
      <selection activeCell="F65" sqref="F65"/>
    </sheetView>
  </sheetViews>
  <sheetFormatPr defaultRowHeight="15" x14ac:dyDescent="0.25"/>
  <cols>
    <col min="6" max="6" width="16.28515625" customWidth="1"/>
  </cols>
  <sheetData>
    <row r="2" spans="1:8" x14ac:dyDescent="0.25">
      <c r="A2" s="34">
        <v>1</v>
      </c>
      <c r="B2" s="34">
        <v>2</v>
      </c>
      <c r="C2" s="19">
        <v>3</v>
      </c>
      <c r="D2" s="19">
        <v>4</v>
      </c>
      <c r="E2" s="19">
        <v>5</v>
      </c>
      <c r="F2" s="19">
        <v>6</v>
      </c>
      <c r="G2" s="19">
        <v>7</v>
      </c>
      <c r="H2" s="19">
        <v>8</v>
      </c>
    </row>
    <row r="3" spans="1:8" ht="18" x14ac:dyDescent="0.25">
      <c r="A3" s="35" t="s">
        <v>67</v>
      </c>
      <c r="B3" s="35" t="s">
        <v>68</v>
      </c>
      <c r="C3" s="45" t="s">
        <v>153</v>
      </c>
      <c r="D3" s="45" t="s">
        <v>154</v>
      </c>
      <c r="E3" s="45" t="s">
        <v>155</v>
      </c>
      <c r="F3" s="46" t="s">
        <v>156</v>
      </c>
      <c r="G3" s="45" t="s">
        <v>157</v>
      </c>
      <c r="H3" s="45" t="s">
        <v>158</v>
      </c>
    </row>
    <row r="4" spans="1:8" x14ac:dyDescent="0.25">
      <c r="A4">
        <v>1</v>
      </c>
      <c r="B4" s="11">
        <v>102.32</v>
      </c>
      <c r="C4" s="38" t="s">
        <v>75</v>
      </c>
      <c r="D4" s="38" t="s">
        <v>75</v>
      </c>
      <c r="E4" s="38" t="s">
        <v>75</v>
      </c>
      <c r="F4" s="38" t="s">
        <v>75</v>
      </c>
      <c r="G4" s="38" t="s">
        <v>75</v>
      </c>
      <c r="H4" s="38" t="s">
        <v>75</v>
      </c>
    </row>
    <row r="5" spans="1:8" x14ac:dyDescent="0.25">
      <c r="A5">
        <v>2</v>
      </c>
      <c r="B5" s="6">
        <v>102.21</v>
      </c>
      <c r="C5" s="38" t="s">
        <v>75</v>
      </c>
      <c r="D5" s="38" t="s">
        <v>75</v>
      </c>
      <c r="E5" s="38" t="s">
        <v>75</v>
      </c>
      <c r="F5" s="38" t="s">
        <v>75</v>
      </c>
      <c r="G5" s="38" t="s">
        <v>75</v>
      </c>
      <c r="H5" s="38" t="s">
        <v>75</v>
      </c>
    </row>
    <row r="6" spans="1:8" x14ac:dyDescent="0.25">
      <c r="A6">
        <v>3</v>
      </c>
      <c r="B6" s="6">
        <v>102.16</v>
      </c>
      <c r="C6" s="38" t="s">
        <v>75</v>
      </c>
      <c r="D6" s="38" t="s">
        <v>75</v>
      </c>
      <c r="E6" s="38" t="s">
        <v>75</v>
      </c>
      <c r="F6" s="38" t="s">
        <v>75</v>
      </c>
      <c r="G6" s="38" t="s">
        <v>75</v>
      </c>
      <c r="H6" s="38" t="s">
        <v>75</v>
      </c>
    </row>
    <row r="7" spans="1:8" x14ac:dyDescent="0.25">
      <c r="A7">
        <v>4</v>
      </c>
      <c r="B7" s="6">
        <v>102.06</v>
      </c>
      <c r="C7" s="38" t="s">
        <v>75</v>
      </c>
      <c r="D7" s="38" t="s">
        <v>75</v>
      </c>
      <c r="E7" s="38" t="s">
        <v>75</v>
      </c>
      <c r="F7" s="38" t="s">
        <v>75</v>
      </c>
      <c r="G7" s="38" t="s">
        <v>75</v>
      </c>
      <c r="H7" s="38" t="s">
        <v>75</v>
      </c>
    </row>
    <row r="8" spans="1:8" x14ac:dyDescent="0.25">
      <c r="A8">
        <v>5</v>
      </c>
      <c r="B8" s="6">
        <v>102.55</v>
      </c>
      <c r="C8" s="38" t="s">
        <v>75</v>
      </c>
      <c r="D8" s="38" t="s">
        <v>75</v>
      </c>
      <c r="E8" s="38" t="s">
        <v>75</v>
      </c>
      <c r="F8" s="38" t="s">
        <v>75</v>
      </c>
      <c r="G8" s="38" t="s">
        <v>75</v>
      </c>
      <c r="H8" s="38" t="s">
        <v>75</v>
      </c>
    </row>
    <row r="9" spans="1:8" x14ac:dyDescent="0.25">
      <c r="A9">
        <v>6</v>
      </c>
      <c r="B9" s="6">
        <v>104.35</v>
      </c>
      <c r="C9" s="38" t="s">
        <v>75</v>
      </c>
      <c r="D9" s="38" t="s">
        <v>75</v>
      </c>
      <c r="E9" s="38" t="s">
        <v>75</v>
      </c>
      <c r="F9" s="38" t="s">
        <v>75</v>
      </c>
      <c r="G9" s="38" t="s">
        <v>75</v>
      </c>
      <c r="H9" s="38" t="s">
        <v>75</v>
      </c>
    </row>
    <row r="10" spans="1:8" x14ac:dyDescent="0.25">
      <c r="A10">
        <v>7</v>
      </c>
      <c r="B10" s="6">
        <v>107.57</v>
      </c>
      <c r="C10" s="38" t="s">
        <v>75</v>
      </c>
      <c r="D10" s="38" t="s">
        <v>75</v>
      </c>
      <c r="E10" s="38" t="s">
        <v>75</v>
      </c>
      <c r="F10" s="38" t="s">
        <v>75</v>
      </c>
      <c r="G10" s="38" t="s">
        <v>75</v>
      </c>
      <c r="H10" s="38" t="s">
        <v>75</v>
      </c>
    </row>
    <row r="11" spans="1:8" x14ac:dyDescent="0.25">
      <c r="A11">
        <v>8</v>
      </c>
      <c r="B11" s="6">
        <v>111.96</v>
      </c>
      <c r="C11" s="38" t="s">
        <v>75</v>
      </c>
      <c r="D11" s="38" t="s">
        <v>75</v>
      </c>
      <c r="E11" s="38" t="s">
        <v>75</v>
      </c>
      <c r="F11" s="38" t="s">
        <v>75</v>
      </c>
      <c r="G11" s="38" t="s">
        <v>75</v>
      </c>
      <c r="H11" s="38" t="s">
        <v>75</v>
      </c>
    </row>
    <row r="12" spans="1:8" x14ac:dyDescent="0.25">
      <c r="A12">
        <v>9</v>
      </c>
      <c r="B12" s="6">
        <v>115.27</v>
      </c>
      <c r="C12" s="38" t="s">
        <v>75</v>
      </c>
      <c r="D12" s="38" t="s">
        <v>75</v>
      </c>
      <c r="E12" s="38" t="s">
        <v>75</v>
      </c>
      <c r="F12" s="38" t="s">
        <v>75</v>
      </c>
      <c r="G12" s="38" t="s">
        <v>75</v>
      </c>
      <c r="H12" s="38" t="s">
        <v>75</v>
      </c>
    </row>
    <row r="13" spans="1:8" x14ac:dyDescent="0.25">
      <c r="A13">
        <v>10</v>
      </c>
      <c r="B13" s="6">
        <v>117.17</v>
      </c>
      <c r="C13" s="38" t="s">
        <v>75</v>
      </c>
      <c r="D13" s="38" t="s">
        <v>75</v>
      </c>
      <c r="E13" s="38" t="s">
        <v>75</v>
      </c>
      <c r="F13" s="38" t="s">
        <v>75</v>
      </c>
      <c r="G13" s="38" t="s">
        <v>75</v>
      </c>
      <c r="H13" s="38" t="s">
        <v>75</v>
      </c>
    </row>
    <row r="14" spans="1:8" x14ac:dyDescent="0.25">
      <c r="A14">
        <v>11</v>
      </c>
      <c r="B14" s="6">
        <v>117.61</v>
      </c>
      <c r="C14" s="39">
        <f>B4</f>
        <v>102.32</v>
      </c>
      <c r="D14" s="39">
        <f>B14-$B$65</f>
        <v>-6.2547916666666765</v>
      </c>
      <c r="E14" s="39">
        <f>C14-$B$66</f>
        <v>-16.405000000000015</v>
      </c>
      <c r="F14">
        <f>D14*E14</f>
        <v>102.60985729166693</v>
      </c>
      <c r="G14">
        <f>D14*D14</f>
        <v>39.1224187934029</v>
      </c>
      <c r="H14">
        <f>E14*E14</f>
        <v>269.12402500000053</v>
      </c>
    </row>
    <row r="15" spans="1:8" x14ac:dyDescent="0.25">
      <c r="A15">
        <v>12</v>
      </c>
      <c r="B15" s="6">
        <v>117.26</v>
      </c>
      <c r="C15" s="39">
        <f t="shared" ref="C15:C61" si="0">B5</f>
        <v>102.21</v>
      </c>
      <c r="D15" s="39">
        <f t="shared" ref="D15:D61" si="1">B15-$B$65</f>
        <v>-6.6047916666666708</v>
      </c>
      <c r="E15" s="39">
        <f t="shared" ref="E15:E61" si="2">C15-$B$66</f>
        <v>-16.515000000000015</v>
      </c>
      <c r="F15">
        <f t="shared" ref="F15:F61" si="3">D15*E15</f>
        <v>109.07813437500016</v>
      </c>
      <c r="G15">
        <f t="shared" ref="G15:G61" si="4">D15*D15</f>
        <v>43.6232729600695</v>
      </c>
      <c r="H15">
        <f t="shared" ref="H15:H61" si="5">E15*E15</f>
        <v>272.74522500000052</v>
      </c>
    </row>
    <row r="16" spans="1:8" x14ac:dyDescent="0.25">
      <c r="A16">
        <v>13</v>
      </c>
      <c r="B16" s="6">
        <v>115.88</v>
      </c>
      <c r="C16" s="39">
        <f t="shared" si="0"/>
        <v>102.16</v>
      </c>
      <c r="D16" s="39">
        <f t="shared" si="1"/>
        <v>-7.9847916666666805</v>
      </c>
      <c r="E16" s="39">
        <f t="shared" si="2"/>
        <v>-16.565000000000012</v>
      </c>
      <c r="F16">
        <f t="shared" si="3"/>
        <v>132.26807395833364</v>
      </c>
      <c r="G16">
        <f t="shared" si="4"/>
        <v>63.756897960069665</v>
      </c>
      <c r="H16">
        <f t="shared" si="5"/>
        <v>274.3992250000004</v>
      </c>
    </row>
    <row r="17" spans="1:8" x14ac:dyDescent="0.25">
      <c r="A17">
        <v>14</v>
      </c>
      <c r="B17" s="6">
        <v>113.35</v>
      </c>
      <c r="C17" s="39">
        <f t="shared" si="0"/>
        <v>102.06</v>
      </c>
      <c r="D17" s="39">
        <f t="shared" si="1"/>
        <v>-10.514791666666682</v>
      </c>
      <c r="E17" s="39">
        <f t="shared" si="2"/>
        <v>-16.665000000000006</v>
      </c>
      <c r="F17">
        <f t="shared" si="3"/>
        <v>175.2290031250003</v>
      </c>
      <c r="G17">
        <f t="shared" si="4"/>
        <v>110.56084379340309</v>
      </c>
      <c r="H17">
        <f t="shared" si="5"/>
        <v>277.72222500000021</v>
      </c>
    </row>
    <row r="18" spans="1:8" x14ac:dyDescent="0.25">
      <c r="A18">
        <v>15</v>
      </c>
      <c r="B18" s="6">
        <v>111.39</v>
      </c>
      <c r="C18" s="39">
        <f t="shared" si="0"/>
        <v>102.55</v>
      </c>
      <c r="D18" s="39">
        <f t="shared" si="1"/>
        <v>-12.474791666666675</v>
      </c>
      <c r="E18" s="39">
        <f t="shared" si="2"/>
        <v>-16.175000000000011</v>
      </c>
      <c r="F18">
        <f t="shared" si="3"/>
        <v>201.77975520833363</v>
      </c>
      <c r="G18">
        <f t="shared" si="4"/>
        <v>155.62042712673633</v>
      </c>
      <c r="H18">
        <f t="shared" si="5"/>
        <v>261.63062500000035</v>
      </c>
    </row>
    <row r="19" spans="1:8" x14ac:dyDescent="0.25">
      <c r="A19">
        <v>16</v>
      </c>
      <c r="B19" s="6">
        <v>109.76</v>
      </c>
      <c r="C19" s="39">
        <f t="shared" si="0"/>
        <v>104.35</v>
      </c>
      <c r="D19" s="39">
        <f t="shared" si="1"/>
        <v>-14.104791666666671</v>
      </c>
      <c r="E19" s="39">
        <f t="shared" si="2"/>
        <v>-14.375000000000014</v>
      </c>
      <c r="F19">
        <f t="shared" si="3"/>
        <v>202.75638020833358</v>
      </c>
      <c r="G19">
        <f t="shared" si="4"/>
        <v>198.94514796006956</v>
      </c>
      <c r="H19">
        <f t="shared" si="5"/>
        <v>206.6406250000004</v>
      </c>
    </row>
    <row r="20" spans="1:8" x14ac:dyDescent="0.25">
      <c r="A20">
        <v>17</v>
      </c>
      <c r="B20" s="6">
        <v>109.5</v>
      </c>
      <c r="C20" s="39">
        <f t="shared" si="0"/>
        <v>107.57</v>
      </c>
      <c r="D20" s="39">
        <f t="shared" si="1"/>
        <v>-14.364791666666676</v>
      </c>
      <c r="E20" s="39">
        <f t="shared" si="2"/>
        <v>-11.155000000000015</v>
      </c>
      <c r="F20">
        <f t="shared" si="3"/>
        <v>160.23925104166699</v>
      </c>
      <c r="G20">
        <f t="shared" si="4"/>
        <v>206.34723962673638</v>
      </c>
      <c r="H20">
        <f t="shared" si="5"/>
        <v>124.43402500000035</v>
      </c>
    </row>
    <row r="21" spans="1:8" x14ac:dyDescent="0.25">
      <c r="A21">
        <v>18</v>
      </c>
      <c r="B21" s="6">
        <v>108.86</v>
      </c>
      <c r="C21" s="39">
        <f t="shared" si="0"/>
        <v>111.96</v>
      </c>
      <c r="D21" s="39">
        <f t="shared" si="1"/>
        <v>-15.004791666666677</v>
      </c>
      <c r="E21" s="39">
        <f t="shared" si="2"/>
        <v>-6.7650000000000148</v>
      </c>
      <c r="F21">
        <f t="shared" si="3"/>
        <v>101.50741562500029</v>
      </c>
      <c r="G21">
        <f t="shared" si="4"/>
        <v>225.14377296006975</v>
      </c>
      <c r="H21">
        <f t="shared" si="5"/>
        <v>45.7652250000002</v>
      </c>
    </row>
    <row r="22" spans="1:8" x14ac:dyDescent="0.25">
      <c r="A22">
        <v>19</v>
      </c>
      <c r="B22" s="6">
        <v>108.49</v>
      </c>
      <c r="C22" s="39">
        <f t="shared" si="0"/>
        <v>115.27</v>
      </c>
      <c r="D22" s="39">
        <f t="shared" si="1"/>
        <v>-15.374791666666681</v>
      </c>
      <c r="E22" s="39">
        <f t="shared" si="2"/>
        <v>-3.4550000000000125</v>
      </c>
      <c r="F22">
        <f t="shared" si="3"/>
        <v>53.119905208333577</v>
      </c>
      <c r="G22">
        <f t="shared" si="4"/>
        <v>236.38421879340322</v>
      </c>
      <c r="H22">
        <f t="shared" si="5"/>
        <v>11.937025000000087</v>
      </c>
    </row>
    <row r="23" spans="1:8" x14ac:dyDescent="0.25">
      <c r="A23">
        <v>20</v>
      </c>
      <c r="B23" s="6">
        <v>108.36</v>
      </c>
      <c r="C23" s="39">
        <f t="shared" si="0"/>
        <v>117.17</v>
      </c>
      <c r="D23" s="39">
        <f t="shared" si="1"/>
        <v>-15.504791666666677</v>
      </c>
      <c r="E23" s="39">
        <f t="shared" si="2"/>
        <v>-1.5550000000000068</v>
      </c>
      <c r="F23">
        <f t="shared" si="3"/>
        <v>24.109951041666786</v>
      </c>
      <c r="G23">
        <f t="shared" si="4"/>
        <v>240.39856462673643</v>
      </c>
      <c r="H23">
        <f t="shared" si="5"/>
        <v>2.4180250000000214</v>
      </c>
    </row>
    <row r="24" spans="1:8" x14ac:dyDescent="0.25">
      <c r="A24">
        <v>21</v>
      </c>
      <c r="B24" s="6">
        <v>108.19</v>
      </c>
      <c r="C24" s="39">
        <f t="shared" si="0"/>
        <v>117.61</v>
      </c>
      <c r="D24" s="39">
        <f t="shared" si="1"/>
        <v>-15.674791666666678</v>
      </c>
      <c r="E24" s="39">
        <f t="shared" si="2"/>
        <v>-1.1150000000000091</v>
      </c>
      <c r="F24">
        <f t="shared" si="3"/>
        <v>17.47739270833349</v>
      </c>
      <c r="G24">
        <f t="shared" si="4"/>
        <v>245.69909379340314</v>
      </c>
      <c r="H24">
        <f t="shared" si="5"/>
        <v>1.2432250000000202</v>
      </c>
    </row>
    <row r="25" spans="1:8" x14ac:dyDescent="0.25">
      <c r="A25">
        <v>22</v>
      </c>
      <c r="B25" s="6">
        <v>107.8</v>
      </c>
      <c r="C25" s="39">
        <f t="shared" si="0"/>
        <v>117.26</v>
      </c>
      <c r="D25" s="39">
        <f t="shared" si="1"/>
        <v>-16.064791666666679</v>
      </c>
      <c r="E25" s="39">
        <f t="shared" si="2"/>
        <v>-1.4650000000000034</v>
      </c>
      <c r="F25">
        <f t="shared" si="3"/>
        <v>23.534919791666738</v>
      </c>
      <c r="G25">
        <f t="shared" si="4"/>
        <v>258.07753129340318</v>
      </c>
      <c r="H25">
        <f t="shared" si="5"/>
        <v>2.14622500000001</v>
      </c>
    </row>
    <row r="26" spans="1:8" x14ac:dyDescent="0.25">
      <c r="A26">
        <v>23</v>
      </c>
      <c r="B26" s="6">
        <v>107.47</v>
      </c>
      <c r="C26" s="39">
        <f t="shared" si="0"/>
        <v>115.88</v>
      </c>
      <c r="D26" s="39">
        <f t="shared" si="1"/>
        <v>-16.394791666666677</v>
      </c>
      <c r="E26" s="39">
        <f t="shared" si="2"/>
        <v>-2.8450000000000131</v>
      </c>
      <c r="F26">
        <f t="shared" si="3"/>
        <v>46.643182291666911</v>
      </c>
      <c r="G26">
        <f t="shared" si="4"/>
        <v>268.78919379340311</v>
      </c>
      <c r="H26">
        <f t="shared" si="5"/>
        <v>8.0940250000000749</v>
      </c>
    </row>
    <row r="27" spans="1:8" x14ac:dyDescent="0.25">
      <c r="A27">
        <v>24</v>
      </c>
      <c r="B27" s="6">
        <v>107.03</v>
      </c>
      <c r="C27" s="39">
        <f t="shared" si="0"/>
        <v>113.35</v>
      </c>
      <c r="D27" s="39">
        <f t="shared" si="1"/>
        <v>-16.834791666666675</v>
      </c>
      <c r="E27" s="39">
        <f t="shared" si="2"/>
        <v>-5.3750000000000142</v>
      </c>
      <c r="F27">
        <f t="shared" si="3"/>
        <v>90.487005208333613</v>
      </c>
      <c r="G27">
        <f t="shared" si="4"/>
        <v>283.41021046006972</v>
      </c>
      <c r="H27">
        <f t="shared" si="5"/>
        <v>28.890625000000153</v>
      </c>
    </row>
    <row r="28" spans="1:8" x14ac:dyDescent="0.25">
      <c r="A28">
        <v>25</v>
      </c>
      <c r="B28" s="6">
        <v>106.61</v>
      </c>
      <c r="C28" s="39">
        <f t="shared" si="0"/>
        <v>111.39</v>
      </c>
      <c r="D28" s="39">
        <f t="shared" si="1"/>
        <v>-17.254791666666677</v>
      </c>
      <c r="E28" s="39">
        <f t="shared" si="2"/>
        <v>-7.335000000000008</v>
      </c>
      <c r="F28">
        <f t="shared" si="3"/>
        <v>126.56389687500021</v>
      </c>
      <c r="G28">
        <f t="shared" si="4"/>
        <v>297.7278354600698</v>
      </c>
      <c r="H28">
        <f t="shared" si="5"/>
        <v>53.802225000000114</v>
      </c>
    </row>
    <row r="29" spans="1:8" x14ac:dyDescent="0.25">
      <c r="A29">
        <v>26</v>
      </c>
      <c r="B29" s="6">
        <v>106.57</v>
      </c>
      <c r="C29" s="39">
        <f t="shared" si="0"/>
        <v>109.76</v>
      </c>
      <c r="D29" s="39">
        <f t="shared" si="1"/>
        <v>-17.294791666666683</v>
      </c>
      <c r="E29" s="39">
        <f t="shared" si="2"/>
        <v>-8.9650000000000034</v>
      </c>
      <c r="F29">
        <f t="shared" si="3"/>
        <v>155.04780729166686</v>
      </c>
      <c r="G29">
        <f t="shared" si="4"/>
        <v>299.10981879340335</v>
      </c>
      <c r="H29">
        <f t="shared" si="5"/>
        <v>80.371225000000067</v>
      </c>
    </row>
    <row r="30" spans="1:8" x14ac:dyDescent="0.25">
      <c r="A30">
        <v>27</v>
      </c>
      <c r="B30" s="6">
        <v>106.49</v>
      </c>
      <c r="C30" s="39">
        <f t="shared" si="0"/>
        <v>109.5</v>
      </c>
      <c r="D30" s="39">
        <f t="shared" si="1"/>
        <v>-17.374791666666681</v>
      </c>
      <c r="E30" s="39">
        <f t="shared" si="2"/>
        <v>-9.2250000000000085</v>
      </c>
      <c r="F30">
        <f t="shared" si="3"/>
        <v>160.28245312500027</v>
      </c>
      <c r="G30">
        <f t="shared" si="4"/>
        <v>301.88338546006992</v>
      </c>
      <c r="H30">
        <f t="shared" si="5"/>
        <v>85.100625000000164</v>
      </c>
    </row>
    <row r="31" spans="1:8" x14ac:dyDescent="0.25">
      <c r="A31">
        <v>28</v>
      </c>
      <c r="B31" s="6">
        <v>107.04</v>
      </c>
      <c r="C31" s="39">
        <f t="shared" si="0"/>
        <v>108.86</v>
      </c>
      <c r="D31" s="39">
        <f t="shared" si="1"/>
        <v>-16.82479166666667</v>
      </c>
      <c r="E31" s="39">
        <f t="shared" si="2"/>
        <v>-9.8650000000000091</v>
      </c>
      <c r="F31">
        <f t="shared" si="3"/>
        <v>165.97656979166686</v>
      </c>
      <c r="G31">
        <f t="shared" si="4"/>
        <v>283.07361462673623</v>
      </c>
      <c r="H31">
        <f t="shared" si="5"/>
        <v>97.318225000000183</v>
      </c>
    </row>
    <row r="32" spans="1:8" x14ac:dyDescent="0.25">
      <c r="A32">
        <v>29</v>
      </c>
      <c r="B32" s="6">
        <v>111.35</v>
      </c>
      <c r="C32" s="39">
        <f t="shared" si="0"/>
        <v>108.49</v>
      </c>
      <c r="D32" s="39">
        <f t="shared" si="1"/>
        <v>-12.514791666666682</v>
      </c>
      <c r="E32" s="39">
        <f t="shared" si="2"/>
        <v>-10.235000000000014</v>
      </c>
      <c r="F32">
        <f t="shared" si="3"/>
        <v>128.08889270833365</v>
      </c>
      <c r="G32">
        <f t="shared" si="4"/>
        <v>156.62001046006981</v>
      </c>
      <c r="H32">
        <f t="shared" si="5"/>
        <v>104.75522500000028</v>
      </c>
    </row>
    <row r="33" spans="1:8" x14ac:dyDescent="0.25">
      <c r="A33">
        <v>30</v>
      </c>
      <c r="B33" s="6">
        <v>117.54</v>
      </c>
      <c r="C33" s="39">
        <f t="shared" si="0"/>
        <v>108.36</v>
      </c>
      <c r="D33" s="39">
        <f t="shared" si="1"/>
        <v>-6.3247916666666697</v>
      </c>
      <c r="E33" s="39">
        <f t="shared" si="2"/>
        <v>-10.365000000000009</v>
      </c>
      <c r="F33">
        <f t="shared" si="3"/>
        <v>65.556465625000087</v>
      </c>
      <c r="G33">
        <f t="shared" si="4"/>
        <v>40.002989626736152</v>
      </c>
      <c r="H33">
        <f t="shared" si="5"/>
        <v>107.43322500000019</v>
      </c>
    </row>
    <row r="34" spans="1:8" x14ac:dyDescent="0.25">
      <c r="A34">
        <v>31</v>
      </c>
      <c r="B34" s="6">
        <v>122.58</v>
      </c>
      <c r="C34" s="39">
        <f t="shared" si="0"/>
        <v>108.19</v>
      </c>
      <c r="D34" s="39">
        <f t="shared" si="1"/>
        <v>-1.2847916666666777</v>
      </c>
      <c r="E34" s="39">
        <f t="shared" si="2"/>
        <v>-10.535000000000011</v>
      </c>
      <c r="F34">
        <f t="shared" si="3"/>
        <v>13.535280208333463</v>
      </c>
      <c r="G34">
        <f t="shared" si="4"/>
        <v>1.6506896267361393</v>
      </c>
      <c r="H34">
        <f t="shared" si="5"/>
        <v>110.98622500000023</v>
      </c>
    </row>
    <row r="35" spans="1:8" x14ac:dyDescent="0.25">
      <c r="A35">
        <v>32</v>
      </c>
      <c r="B35" s="6">
        <v>128.16</v>
      </c>
      <c r="C35" s="39">
        <f t="shared" si="0"/>
        <v>107.8</v>
      </c>
      <c r="D35" s="39">
        <f t="shared" si="1"/>
        <v>4.2952083333333206</v>
      </c>
      <c r="E35" s="39">
        <f t="shared" si="2"/>
        <v>-10.925000000000011</v>
      </c>
      <c r="F35">
        <f t="shared" si="3"/>
        <v>-46.925151041666574</v>
      </c>
      <c r="G35">
        <f t="shared" si="4"/>
        <v>18.448814626736002</v>
      </c>
      <c r="H35">
        <f t="shared" si="5"/>
        <v>119.35562500000024</v>
      </c>
    </row>
    <row r="36" spans="1:8" x14ac:dyDescent="0.25">
      <c r="A36">
        <v>33</v>
      </c>
      <c r="B36" s="6">
        <v>132.86000000000001</v>
      </c>
      <c r="C36" s="39">
        <f t="shared" si="0"/>
        <v>107.47</v>
      </c>
      <c r="D36" s="39">
        <f t="shared" si="1"/>
        <v>8.9952083333333377</v>
      </c>
      <c r="E36" s="39">
        <f t="shared" si="2"/>
        <v>-11.25500000000001</v>
      </c>
      <c r="F36">
        <f t="shared" si="3"/>
        <v>-101.2410697916668</v>
      </c>
      <c r="G36">
        <f t="shared" si="4"/>
        <v>80.913772960069522</v>
      </c>
      <c r="H36">
        <f t="shared" si="5"/>
        <v>126.67502500000022</v>
      </c>
    </row>
    <row r="37" spans="1:8" x14ac:dyDescent="0.25">
      <c r="A37">
        <v>34</v>
      </c>
      <c r="B37" s="6">
        <v>134.91999999999999</v>
      </c>
      <c r="C37" s="39">
        <f t="shared" si="0"/>
        <v>107.03</v>
      </c>
      <c r="D37" s="39">
        <f t="shared" si="1"/>
        <v>11.055208333333312</v>
      </c>
      <c r="E37" s="39">
        <f t="shared" si="2"/>
        <v>-11.695000000000007</v>
      </c>
      <c r="F37">
        <f t="shared" si="3"/>
        <v>-129.29066145833315</v>
      </c>
      <c r="G37">
        <f t="shared" si="4"/>
        <v>122.21763129340229</v>
      </c>
      <c r="H37">
        <f t="shared" si="5"/>
        <v>136.77302500000016</v>
      </c>
    </row>
    <row r="38" spans="1:8" x14ac:dyDescent="0.25">
      <c r="A38">
        <v>35</v>
      </c>
      <c r="B38" s="6">
        <v>135.69999999999999</v>
      </c>
      <c r="C38" s="39">
        <f t="shared" si="0"/>
        <v>106.61</v>
      </c>
      <c r="D38" s="39">
        <f t="shared" si="1"/>
        <v>11.835208333333313</v>
      </c>
      <c r="E38" s="39">
        <f t="shared" si="2"/>
        <v>-12.115000000000009</v>
      </c>
      <c r="F38">
        <f t="shared" si="3"/>
        <v>-143.38354895833319</v>
      </c>
      <c r="G38">
        <f t="shared" si="4"/>
        <v>140.07215629340229</v>
      </c>
      <c r="H38">
        <f t="shared" si="5"/>
        <v>146.77322500000022</v>
      </c>
    </row>
    <row r="39" spans="1:8" x14ac:dyDescent="0.25">
      <c r="A39">
        <v>36</v>
      </c>
      <c r="B39" s="6">
        <v>136.13999999999999</v>
      </c>
      <c r="C39" s="39">
        <f t="shared" si="0"/>
        <v>106.57</v>
      </c>
      <c r="D39" s="39">
        <f t="shared" si="1"/>
        <v>12.27520833333331</v>
      </c>
      <c r="E39" s="39">
        <f t="shared" si="2"/>
        <v>-12.155000000000015</v>
      </c>
      <c r="F39">
        <f t="shared" si="3"/>
        <v>-149.20515729166658</v>
      </c>
      <c r="G39">
        <f t="shared" si="4"/>
        <v>150.68073962673554</v>
      </c>
      <c r="H39">
        <f t="shared" si="5"/>
        <v>147.74402500000036</v>
      </c>
    </row>
    <row r="40" spans="1:8" x14ac:dyDescent="0.25">
      <c r="A40">
        <v>37</v>
      </c>
      <c r="B40" s="6">
        <v>140.15</v>
      </c>
      <c r="C40" s="39">
        <f t="shared" si="0"/>
        <v>106.49</v>
      </c>
      <c r="D40" s="39">
        <f t="shared" si="1"/>
        <v>16.28520833333333</v>
      </c>
      <c r="E40" s="39">
        <f t="shared" si="2"/>
        <v>-12.235000000000014</v>
      </c>
      <c r="F40">
        <f t="shared" si="3"/>
        <v>-199.2495239583335</v>
      </c>
      <c r="G40">
        <f t="shared" si="4"/>
        <v>265.20801046006932</v>
      </c>
      <c r="H40">
        <f t="shared" si="5"/>
        <v>149.69522500000033</v>
      </c>
    </row>
    <row r="41" spans="1:8" x14ac:dyDescent="0.25">
      <c r="A41">
        <v>38</v>
      </c>
      <c r="B41" s="6">
        <v>140.09</v>
      </c>
      <c r="C41" s="39">
        <f t="shared" si="0"/>
        <v>107.04</v>
      </c>
      <c r="D41" s="39">
        <f t="shared" si="1"/>
        <v>16.225208333333327</v>
      </c>
      <c r="E41" s="39">
        <f t="shared" si="2"/>
        <v>-11.685000000000002</v>
      </c>
      <c r="F41">
        <f t="shared" si="3"/>
        <v>-189.59155937499997</v>
      </c>
      <c r="G41">
        <f t="shared" si="4"/>
        <v>263.25738546006926</v>
      </c>
      <c r="H41">
        <f t="shared" si="5"/>
        <v>136.53922500000004</v>
      </c>
    </row>
    <row r="42" spans="1:8" x14ac:dyDescent="0.25">
      <c r="A42">
        <v>39</v>
      </c>
      <c r="B42" s="6">
        <v>139.1</v>
      </c>
      <c r="C42" s="39">
        <f t="shared" si="0"/>
        <v>111.35</v>
      </c>
      <c r="D42" s="39">
        <f t="shared" si="1"/>
        <v>15.235208333333318</v>
      </c>
      <c r="E42" s="39">
        <f t="shared" si="2"/>
        <v>-7.3750000000000142</v>
      </c>
      <c r="F42">
        <f t="shared" si="3"/>
        <v>-112.35966145833343</v>
      </c>
      <c r="G42">
        <f t="shared" si="4"/>
        <v>232.111572960069</v>
      </c>
      <c r="H42">
        <f t="shared" si="5"/>
        <v>54.390625000000213</v>
      </c>
    </row>
    <row r="43" spans="1:8" x14ac:dyDescent="0.25">
      <c r="A43">
        <v>40</v>
      </c>
      <c r="B43" s="6">
        <v>137.5</v>
      </c>
      <c r="C43" s="39">
        <f t="shared" si="0"/>
        <v>117.54</v>
      </c>
      <c r="D43" s="39">
        <f t="shared" si="1"/>
        <v>13.635208333333324</v>
      </c>
      <c r="E43" s="39">
        <f t="shared" si="2"/>
        <v>-1.1850000000000023</v>
      </c>
      <c r="F43">
        <f t="shared" si="3"/>
        <v>-16.157721875000021</v>
      </c>
      <c r="G43">
        <f t="shared" si="4"/>
        <v>185.91890629340253</v>
      </c>
      <c r="H43">
        <f t="shared" si="5"/>
        <v>1.4042250000000054</v>
      </c>
    </row>
    <row r="44" spans="1:8" x14ac:dyDescent="0.25">
      <c r="A44">
        <v>41</v>
      </c>
      <c r="B44" s="6">
        <v>136.12</v>
      </c>
      <c r="C44" s="39">
        <f t="shared" si="0"/>
        <v>122.58</v>
      </c>
      <c r="D44" s="39">
        <f t="shared" si="1"/>
        <v>12.255208333333329</v>
      </c>
      <c r="E44" s="39">
        <f t="shared" si="2"/>
        <v>3.8549999999999898</v>
      </c>
      <c r="F44">
        <f t="shared" si="3"/>
        <v>47.243828124999858</v>
      </c>
      <c r="G44">
        <f t="shared" si="4"/>
        <v>150.19013129340266</v>
      </c>
      <c r="H44">
        <f t="shared" si="5"/>
        <v>14.861024999999922</v>
      </c>
    </row>
    <row r="45" spans="1:8" x14ac:dyDescent="0.25">
      <c r="A45">
        <v>42</v>
      </c>
      <c r="B45" s="6">
        <v>135.22</v>
      </c>
      <c r="C45" s="39">
        <f t="shared" si="0"/>
        <v>128.16</v>
      </c>
      <c r="D45" s="39">
        <f t="shared" si="1"/>
        <v>11.355208333333323</v>
      </c>
      <c r="E45" s="39">
        <f t="shared" si="2"/>
        <v>9.4349999999999881</v>
      </c>
      <c r="F45">
        <f t="shared" si="3"/>
        <v>107.13639062499976</v>
      </c>
      <c r="G45">
        <f t="shared" si="4"/>
        <v>128.94075629340253</v>
      </c>
      <c r="H45">
        <f t="shared" si="5"/>
        <v>89.019224999999778</v>
      </c>
    </row>
    <row r="46" spans="1:8" x14ac:dyDescent="0.25">
      <c r="A46">
        <v>43</v>
      </c>
      <c r="B46" s="6">
        <v>134.72999999999999</v>
      </c>
      <c r="C46" s="39">
        <f t="shared" si="0"/>
        <v>132.86000000000001</v>
      </c>
      <c r="D46" s="39">
        <f t="shared" si="1"/>
        <v>10.865208333333314</v>
      </c>
      <c r="E46" s="39">
        <f t="shared" si="2"/>
        <v>14.135000000000005</v>
      </c>
      <c r="F46">
        <f t="shared" si="3"/>
        <v>153.57971979166643</v>
      </c>
      <c r="G46">
        <f t="shared" si="4"/>
        <v>118.05275212673568</v>
      </c>
      <c r="H46">
        <f t="shared" si="5"/>
        <v>199.79822500000014</v>
      </c>
    </row>
    <row r="47" spans="1:8" x14ac:dyDescent="0.25">
      <c r="A47">
        <v>44</v>
      </c>
      <c r="B47" s="6">
        <v>134.38999999999999</v>
      </c>
      <c r="C47" s="39">
        <f t="shared" si="0"/>
        <v>134.91999999999999</v>
      </c>
      <c r="D47" s="39">
        <f t="shared" si="1"/>
        <v>10.52520833333331</v>
      </c>
      <c r="E47" s="39">
        <f t="shared" si="2"/>
        <v>16.194999999999979</v>
      </c>
      <c r="F47">
        <f t="shared" si="3"/>
        <v>170.45574895833275</v>
      </c>
      <c r="G47">
        <f t="shared" si="4"/>
        <v>110.78001046006897</v>
      </c>
      <c r="H47">
        <f t="shared" si="5"/>
        <v>262.27802499999933</v>
      </c>
    </row>
    <row r="48" spans="1:8" x14ac:dyDescent="0.25">
      <c r="A48">
        <v>45</v>
      </c>
      <c r="B48" s="6">
        <v>134.51</v>
      </c>
      <c r="C48" s="39">
        <f t="shared" si="0"/>
        <v>135.69999999999999</v>
      </c>
      <c r="D48" s="39">
        <f t="shared" si="1"/>
        <v>10.645208333333315</v>
      </c>
      <c r="E48" s="39">
        <f t="shared" si="2"/>
        <v>16.97499999999998</v>
      </c>
      <c r="F48">
        <f t="shared" si="3"/>
        <v>180.70241145833282</v>
      </c>
      <c r="G48">
        <f t="shared" si="4"/>
        <v>113.32046046006906</v>
      </c>
      <c r="H48">
        <f t="shared" si="5"/>
        <v>288.15062499999931</v>
      </c>
    </row>
    <row r="49" spans="1:8" x14ac:dyDescent="0.25">
      <c r="A49">
        <v>46</v>
      </c>
      <c r="B49" s="6">
        <v>134.46</v>
      </c>
      <c r="C49" s="39">
        <f t="shared" si="0"/>
        <v>136.13999999999999</v>
      </c>
      <c r="D49" s="39">
        <f t="shared" si="1"/>
        <v>10.595208333333332</v>
      </c>
      <c r="E49" s="39">
        <f t="shared" si="2"/>
        <v>17.414999999999978</v>
      </c>
      <c r="F49">
        <f t="shared" si="3"/>
        <v>184.51555312499974</v>
      </c>
      <c r="G49">
        <f t="shared" si="4"/>
        <v>112.25843962673608</v>
      </c>
      <c r="H49">
        <f t="shared" si="5"/>
        <v>303.28222499999924</v>
      </c>
    </row>
    <row r="50" spans="1:8" x14ac:dyDescent="0.25">
      <c r="A50">
        <v>47</v>
      </c>
      <c r="B50" s="6">
        <v>134.27000000000001</v>
      </c>
      <c r="C50" s="39">
        <f t="shared" si="0"/>
        <v>140.15</v>
      </c>
      <c r="D50" s="39">
        <f t="shared" si="1"/>
        <v>10.405208333333334</v>
      </c>
      <c r="E50" s="39">
        <f t="shared" si="2"/>
        <v>21.424999999999997</v>
      </c>
      <c r="F50">
        <f t="shared" si="3"/>
        <v>222.93158854166666</v>
      </c>
      <c r="G50">
        <f t="shared" si="4"/>
        <v>108.26836046006946</v>
      </c>
      <c r="H50">
        <f t="shared" si="5"/>
        <v>459.03062499999987</v>
      </c>
    </row>
    <row r="51" spans="1:8" x14ac:dyDescent="0.25">
      <c r="A51">
        <v>48</v>
      </c>
      <c r="B51" s="6">
        <v>133.72999999999999</v>
      </c>
      <c r="C51" s="39">
        <f t="shared" si="0"/>
        <v>140.09</v>
      </c>
      <c r="D51" s="39">
        <f t="shared" si="1"/>
        <v>9.8652083333333138</v>
      </c>
      <c r="E51" s="39">
        <f t="shared" si="2"/>
        <v>21.364999999999995</v>
      </c>
      <c r="F51">
        <f t="shared" si="3"/>
        <v>210.77017604166619</v>
      </c>
      <c r="G51">
        <f t="shared" si="4"/>
        <v>97.322335460069056</v>
      </c>
      <c r="H51">
        <f t="shared" si="5"/>
        <v>456.4632249999998</v>
      </c>
    </row>
    <row r="52" spans="1:8" x14ac:dyDescent="0.25">
      <c r="A52">
        <v>49</v>
      </c>
      <c r="B52" s="6">
        <v>132.01</v>
      </c>
      <c r="C52" s="39">
        <f t="shared" si="0"/>
        <v>139.1</v>
      </c>
      <c r="D52" s="39">
        <f t="shared" si="1"/>
        <v>8.145208333333315</v>
      </c>
      <c r="E52" s="39">
        <f t="shared" si="2"/>
        <v>20.374999999999986</v>
      </c>
      <c r="F52">
        <f t="shared" si="3"/>
        <v>165.95861979166617</v>
      </c>
      <c r="G52">
        <f t="shared" si="4"/>
        <v>66.344418793402482</v>
      </c>
      <c r="H52">
        <f t="shared" si="5"/>
        <v>415.14062499999943</v>
      </c>
    </row>
    <row r="53" spans="1:8" x14ac:dyDescent="0.25">
      <c r="A53">
        <v>50</v>
      </c>
      <c r="B53" s="6">
        <v>130.59</v>
      </c>
      <c r="C53" s="39">
        <f t="shared" si="0"/>
        <v>137.5</v>
      </c>
      <c r="D53" s="39">
        <f t="shared" si="1"/>
        <v>6.7252083333333275</v>
      </c>
      <c r="E53" s="39">
        <f t="shared" si="2"/>
        <v>18.774999999999991</v>
      </c>
      <c r="F53">
        <f t="shared" si="3"/>
        <v>126.26578645833317</v>
      </c>
      <c r="G53">
        <f t="shared" si="4"/>
        <v>45.22842712673603</v>
      </c>
      <c r="H53">
        <f t="shared" si="5"/>
        <v>352.50062499999967</v>
      </c>
    </row>
    <row r="54" spans="1:8" x14ac:dyDescent="0.25">
      <c r="A54">
        <v>51</v>
      </c>
      <c r="B54" s="6">
        <v>130.28</v>
      </c>
      <c r="C54" s="39">
        <f t="shared" si="0"/>
        <v>136.12</v>
      </c>
      <c r="D54" s="39">
        <f t="shared" si="1"/>
        <v>6.4152083333333252</v>
      </c>
      <c r="E54" s="39">
        <f t="shared" si="2"/>
        <v>17.394999999999996</v>
      </c>
      <c r="F54">
        <f t="shared" si="3"/>
        <v>111.59254895833317</v>
      </c>
      <c r="G54">
        <f t="shared" si="4"/>
        <v>41.154897960069341</v>
      </c>
      <c r="H54">
        <f t="shared" si="5"/>
        <v>302.58602499999984</v>
      </c>
    </row>
    <row r="55" spans="1:8" x14ac:dyDescent="0.25">
      <c r="A55">
        <v>52</v>
      </c>
      <c r="B55" s="6">
        <v>129.16</v>
      </c>
      <c r="C55" s="39">
        <f t="shared" si="0"/>
        <v>135.22</v>
      </c>
      <c r="D55" s="39">
        <f t="shared" si="1"/>
        <v>5.2952083333333206</v>
      </c>
      <c r="E55" s="39">
        <f t="shared" si="2"/>
        <v>16.49499999999999</v>
      </c>
      <c r="F55">
        <f t="shared" si="3"/>
        <v>87.344461458333072</v>
      </c>
      <c r="G55">
        <f t="shared" si="4"/>
        <v>28.039231293402644</v>
      </c>
      <c r="H55">
        <f t="shared" si="5"/>
        <v>272.08502499999969</v>
      </c>
    </row>
    <row r="56" spans="1:8" x14ac:dyDescent="0.25">
      <c r="A56">
        <v>53</v>
      </c>
      <c r="B56" s="6">
        <v>128.94</v>
      </c>
      <c r="C56" s="39">
        <f t="shared" si="0"/>
        <v>134.72999999999999</v>
      </c>
      <c r="D56" s="39">
        <f t="shared" si="1"/>
        <v>5.0752083333333218</v>
      </c>
      <c r="E56" s="39">
        <f t="shared" si="2"/>
        <v>16.004999999999981</v>
      </c>
      <c r="F56">
        <f t="shared" si="3"/>
        <v>81.228709374999724</v>
      </c>
      <c r="G56">
        <f t="shared" si="4"/>
        <v>25.757739626735994</v>
      </c>
      <c r="H56">
        <f t="shared" si="5"/>
        <v>256.16002499999939</v>
      </c>
    </row>
    <row r="57" spans="1:8" x14ac:dyDescent="0.25">
      <c r="A57">
        <v>54</v>
      </c>
      <c r="B57" s="6">
        <v>129.30000000000001</v>
      </c>
      <c r="C57" s="39">
        <f t="shared" si="0"/>
        <v>134.38999999999999</v>
      </c>
      <c r="D57" s="39">
        <f t="shared" si="1"/>
        <v>5.4352083333333354</v>
      </c>
      <c r="E57" s="39">
        <f t="shared" si="2"/>
        <v>15.664999999999978</v>
      </c>
      <c r="F57">
        <f t="shared" si="3"/>
        <v>85.142538541666582</v>
      </c>
      <c r="G57">
        <f t="shared" si="4"/>
        <v>29.541489626736134</v>
      </c>
      <c r="H57">
        <f t="shared" si="5"/>
        <v>245.39222499999931</v>
      </c>
    </row>
    <row r="58" spans="1:8" x14ac:dyDescent="0.25">
      <c r="A58">
        <v>55</v>
      </c>
      <c r="B58" s="6">
        <v>131.22</v>
      </c>
      <c r="C58" s="39">
        <f t="shared" si="0"/>
        <v>134.51</v>
      </c>
      <c r="D58" s="39">
        <f t="shared" si="1"/>
        <v>7.3552083333333229</v>
      </c>
      <c r="E58" s="39">
        <f t="shared" si="2"/>
        <v>15.784999999999982</v>
      </c>
      <c r="F58">
        <f t="shared" si="3"/>
        <v>116.10196354166638</v>
      </c>
      <c r="G58">
        <f t="shared" si="4"/>
        <v>54.09908962673596</v>
      </c>
      <c r="H58">
        <f t="shared" si="5"/>
        <v>249.16622499999946</v>
      </c>
    </row>
    <row r="59" spans="1:8" x14ac:dyDescent="0.25">
      <c r="A59">
        <v>56</v>
      </c>
      <c r="B59" s="6">
        <v>132.52000000000001</v>
      </c>
      <c r="C59" s="39">
        <f t="shared" si="0"/>
        <v>134.46</v>
      </c>
      <c r="D59" s="39">
        <f t="shared" si="1"/>
        <v>8.6552083333333343</v>
      </c>
      <c r="E59" s="39">
        <f t="shared" si="2"/>
        <v>15.734999999999999</v>
      </c>
      <c r="F59">
        <f t="shared" si="3"/>
        <v>136.18970312500002</v>
      </c>
      <c r="G59">
        <f t="shared" si="4"/>
        <v>74.912631293402796</v>
      </c>
      <c r="H59">
        <f t="shared" si="5"/>
        <v>247.59022499999998</v>
      </c>
    </row>
    <row r="60" spans="1:8" x14ac:dyDescent="0.25">
      <c r="A60">
        <v>57</v>
      </c>
      <c r="B60" s="6">
        <v>134.25</v>
      </c>
      <c r="C60" s="39">
        <f t="shared" si="0"/>
        <v>134.27000000000001</v>
      </c>
      <c r="D60" s="39">
        <f t="shared" si="1"/>
        <v>10.385208333333324</v>
      </c>
      <c r="E60" s="39">
        <f t="shared" si="2"/>
        <v>15.545000000000002</v>
      </c>
      <c r="F60">
        <f t="shared" si="3"/>
        <v>161.43806354166654</v>
      </c>
      <c r="G60">
        <f t="shared" si="4"/>
        <v>107.85255212673592</v>
      </c>
      <c r="H60">
        <f t="shared" si="5"/>
        <v>241.64702500000004</v>
      </c>
    </row>
    <row r="61" spans="1:8" x14ac:dyDescent="0.25">
      <c r="A61">
        <v>58</v>
      </c>
      <c r="B61" s="6">
        <v>136.06</v>
      </c>
      <c r="C61" s="39">
        <f t="shared" si="0"/>
        <v>133.72999999999999</v>
      </c>
      <c r="D61" s="39">
        <f t="shared" si="1"/>
        <v>12.195208333333326</v>
      </c>
      <c r="E61" s="39">
        <f t="shared" si="2"/>
        <v>15.004999999999981</v>
      </c>
      <c r="F61">
        <f t="shared" si="3"/>
        <v>182.98910104166634</v>
      </c>
      <c r="G61">
        <f t="shared" si="4"/>
        <v>148.72310629340259</v>
      </c>
      <c r="H61">
        <f t="shared" si="5"/>
        <v>225.15002499999943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5698.8</v>
      </c>
      <c r="D62" s="39">
        <f t="shared" si="6"/>
        <v>-4.8316906031686813E-13</v>
      </c>
      <c r="E62" s="39">
        <f t="shared" si="6"/>
        <v>-5.2580162446247414E-13</v>
      </c>
      <c r="F62" s="39">
        <f t="shared" si="6"/>
        <v>3700.0744500000001</v>
      </c>
      <c r="G62" s="39">
        <f t="shared" si="6"/>
        <v>6975.562997916667</v>
      </c>
      <c r="H62" s="39">
        <f t="shared" si="6"/>
        <v>8326.6087999999963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118.72500000000001</v>
      </c>
    </row>
    <row r="65" spans="1:2" ht="18" x14ac:dyDescent="0.35">
      <c r="A65" t="s">
        <v>159</v>
      </c>
      <c r="B65" s="39">
        <f>SUM(B14:B61)/48</f>
        <v>123.86479166666668</v>
      </c>
    </row>
    <row r="66" spans="1:2" ht="18" x14ac:dyDescent="0.35">
      <c r="A66" t="s">
        <v>160</v>
      </c>
      <c r="B66">
        <f>SUM(C14:C61)/48</f>
        <v>118.72500000000001</v>
      </c>
    </row>
    <row r="68" spans="1:2" ht="18" x14ac:dyDescent="0.35">
      <c r="A68" t="s">
        <v>161</v>
      </c>
      <c r="B68">
        <f>F62/SQRT(G62*H62)</f>
        <v>0.48549722226763931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49" workbookViewId="0">
      <selection activeCell="B68" sqref="B68"/>
    </sheetView>
  </sheetViews>
  <sheetFormatPr defaultRowHeight="15" x14ac:dyDescent="0.25"/>
  <cols>
    <col min="6" max="6" width="16.5703125" customWidth="1"/>
  </cols>
  <sheetData>
    <row r="2" spans="1:8" x14ac:dyDescent="0.25">
      <c r="A2" s="34">
        <v>1</v>
      </c>
      <c r="B2" s="34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H2" s="40">
        <v>8</v>
      </c>
    </row>
    <row r="3" spans="1:8" ht="18" x14ac:dyDescent="0.35">
      <c r="A3" s="35" t="s">
        <v>67</v>
      </c>
      <c r="B3" s="35" t="s">
        <v>68</v>
      </c>
      <c r="C3" s="41" t="s">
        <v>162</v>
      </c>
      <c r="D3" s="41" t="s">
        <v>163</v>
      </c>
      <c r="E3" s="41" t="s">
        <v>164</v>
      </c>
      <c r="F3" s="42" t="s">
        <v>165</v>
      </c>
      <c r="G3" s="41" t="s">
        <v>166</v>
      </c>
      <c r="H3" s="41" t="s">
        <v>167</v>
      </c>
    </row>
    <row r="4" spans="1:8" x14ac:dyDescent="0.25">
      <c r="A4">
        <v>1</v>
      </c>
      <c r="B4" s="11">
        <v>102.32</v>
      </c>
      <c r="C4" s="38" t="s">
        <v>75</v>
      </c>
      <c r="D4" s="38" t="s">
        <v>75</v>
      </c>
      <c r="E4" s="38" t="s">
        <v>75</v>
      </c>
      <c r="F4" s="38" t="s">
        <v>75</v>
      </c>
      <c r="G4" s="38" t="s">
        <v>75</v>
      </c>
      <c r="H4" s="38" t="s">
        <v>75</v>
      </c>
    </row>
    <row r="5" spans="1:8" x14ac:dyDescent="0.25">
      <c r="A5">
        <v>2</v>
      </c>
      <c r="B5" s="6">
        <v>102.21</v>
      </c>
      <c r="C5" s="38" t="s">
        <v>75</v>
      </c>
      <c r="D5" s="38" t="s">
        <v>75</v>
      </c>
      <c r="E5" s="38" t="s">
        <v>75</v>
      </c>
      <c r="F5" s="38" t="s">
        <v>75</v>
      </c>
      <c r="G5" s="38" t="s">
        <v>75</v>
      </c>
      <c r="H5" s="38" t="s">
        <v>75</v>
      </c>
    </row>
    <row r="6" spans="1:8" x14ac:dyDescent="0.25">
      <c r="A6">
        <v>3</v>
      </c>
      <c r="B6" s="6">
        <v>102.16</v>
      </c>
      <c r="C6" s="38" t="s">
        <v>75</v>
      </c>
      <c r="D6" s="38" t="s">
        <v>75</v>
      </c>
      <c r="E6" s="38" t="s">
        <v>75</v>
      </c>
      <c r="F6" s="38" t="s">
        <v>75</v>
      </c>
      <c r="G6" s="38" t="s">
        <v>75</v>
      </c>
      <c r="H6" s="38" t="s">
        <v>75</v>
      </c>
    </row>
    <row r="7" spans="1:8" x14ac:dyDescent="0.25">
      <c r="A7">
        <v>4</v>
      </c>
      <c r="B7" s="6">
        <v>102.06</v>
      </c>
      <c r="C7" s="38" t="s">
        <v>75</v>
      </c>
      <c r="D7" s="38" t="s">
        <v>75</v>
      </c>
      <c r="E7" s="38" t="s">
        <v>75</v>
      </c>
      <c r="F7" s="38" t="s">
        <v>75</v>
      </c>
      <c r="G7" s="38" t="s">
        <v>75</v>
      </c>
      <c r="H7" s="38" t="s">
        <v>75</v>
      </c>
    </row>
    <row r="8" spans="1:8" x14ac:dyDescent="0.25">
      <c r="A8">
        <v>5</v>
      </c>
      <c r="B8" s="6">
        <v>102.55</v>
      </c>
      <c r="C8" s="38" t="s">
        <v>75</v>
      </c>
      <c r="D8" s="38" t="s">
        <v>75</v>
      </c>
      <c r="E8" s="38" t="s">
        <v>75</v>
      </c>
      <c r="F8" s="38" t="s">
        <v>75</v>
      </c>
      <c r="G8" s="38" t="s">
        <v>75</v>
      </c>
      <c r="H8" s="38" t="s">
        <v>75</v>
      </c>
    </row>
    <row r="9" spans="1:8" x14ac:dyDescent="0.25">
      <c r="A9">
        <v>6</v>
      </c>
      <c r="B9" s="6">
        <v>104.35</v>
      </c>
      <c r="C9" s="38" t="s">
        <v>75</v>
      </c>
      <c r="D9" s="38" t="s">
        <v>75</v>
      </c>
      <c r="E9" s="38" t="s">
        <v>75</v>
      </c>
      <c r="F9" s="38" t="s">
        <v>75</v>
      </c>
      <c r="G9" s="38" t="s">
        <v>75</v>
      </c>
      <c r="H9" s="38" t="s">
        <v>75</v>
      </c>
    </row>
    <row r="10" spans="1:8" x14ac:dyDescent="0.25">
      <c r="A10">
        <v>7</v>
      </c>
      <c r="B10" s="6">
        <v>107.57</v>
      </c>
      <c r="C10" s="38" t="s">
        <v>75</v>
      </c>
      <c r="D10" s="38" t="s">
        <v>75</v>
      </c>
      <c r="E10" s="38" t="s">
        <v>75</v>
      </c>
      <c r="F10" s="38" t="s">
        <v>75</v>
      </c>
      <c r="G10" s="38" t="s">
        <v>75</v>
      </c>
      <c r="H10" s="38" t="s">
        <v>75</v>
      </c>
    </row>
    <row r="11" spans="1:8" x14ac:dyDescent="0.25">
      <c r="A11">
        <v>8</v>
      </c>
      <c r="B11" s="6">
        <v>111.96</v>
      </c>
      <c r="C11" s="38" t="s">
        <v>75</v>
      </c>
      <c r="D11" s="38" t="s">
        <v>75</v>
      </c>
      <c r="E11" s="38" t="s">
        <v>75</v>
      </c>
      <c r="F11" s="38" t="s">
        <v>75</v>
      </c>
      <c r="G11" s="38" t="s">
        <v>75</v>
      </c>
      <c r="H11" s="38" t="s">
        <v>75</v>
      </c>
    </row>
    <row r="12" spans="1:8" x14ac:dyDescent="0.25">
      <c r="A12">
        <v>9</v>
      </c>
      <c r="B12" s="6">
        <v>115.27</v>
      </c>
      <c r="C12" s="38" t="s">
        <v>75</v>
      </c>
      <c r="D12" s="38" t="s">
        <v>75</v>
      </c>
      <c r="E12" s="38" t="s">
        <v>75</v>
      </c>
      <c r="F12" s="38" t="s">
        <v>75</v>
      </c>
      <c r="G12" s="38" t="s">
        <v>75</v>
      </c>
      <c r="H12" s="38" t="s">
        <v>75</v>
      </c>
    </row>
    <row r="13" spans="1:8" x14ac:dyDescent="0.25">
      <c r="A13">
        <v>10</v>
      </c>
      <c r="B13" s="6">
        <v>117.17</v>
      </c>
      <c r="C13" s="38" t="s">
        <v>75</v>
      </c>
      <c r="D13" s="38" t="s">
        <v>75</v>
      </c>
      <c r="E13" s="38" t="s">
        <v>75</v>
      </c>
      <c r="F13" s="38" t="s">
        <v>75</v>
      </c>
      <c r="G13" s="38" t="s">
        <v>75</v>
      </c>
      <c r="H13" s="38" t="s">
        <v>75</v>
      </c>
    </row>
    <row r="14" spans="1:8" x14ac:dyDescent="0.25">
      <c r="A14">
        <v>11</v>
      </c>
      <c r="B14" s="6">
        <v>117.61</v>
      </c>
      <c r="C14" s="38" t="s">
        <v>75</v>
      </c>
      <c r="D14" s="38" t="s">
        <v>75</v>
      </c>
      <c r="E14" s="38" t="s">
        <v>75</v>
      </c>
      <c r="F14" s="38" t="s">
        <v>75</v>
      </c>
      <c r="G14" s="38" t="s">
        <v>75</v>
      </c>
      <c r="H14" s="38" t="s">
        <v>75</v>
      </c>
    </row>
    <row r="15" spans="1:8" x14ac:dyDescent="0.25">
      <c r="A15">
        <v>12</v>
      </c>
      <c r="B15" s="6">
        <v>117.26</v>
      </c>
      <c r="C15" s="39">
        <f>B4</f>
        <v>102.32</v>
      </c>
      <c r="D15" s="39">
        <f>B15-$B$65</f>
        <v>-6.7378723404255254</v>
      </c>
      <c r="E15" s="39">
        <f>C15-$B$66</f>
        <v>-16.085744680851079</v>
      </c>
      <c r="F15">
        <f>D15*E15</f>
        <v>108.3836941602535</v>
      </c>
      <c r="G15">
        <f>D15*D15</f>
        <v>45.398923675871345</v>
      </c>
      <c r="H15">
        <f>E15*E15</f>
        <v>258.75118193752877</v>
      </c>
    </row>
    <row r="16" spans="1:8" x14ac:dyDescent="0.25">
      <c r="A16">
        <v>13</v>
      </c>
      <c r="B16" s="6">
        <v>115.88</v>
      </c>
      <c r="C16" s="39">
        <f t="shared" ref="C16:C61" si="0">B5</f>
        <v>102.21</v>
      </c>
      <c r="D16" s="39">
        <f t="shared" ref="D16:D61" si="1">B16-$B$65</f>
        <v>-8.1178723404255351</v>
      </c>
      <c r="E16" s="39">
        <f t="shared" ref="E16:E61" si="2">C16-$B$66</f>
        <v>-16.195744680851078</v>
      </c>
      <c r="F16">
        <f t="shared" ref="F16:F61" si="3">D16*E16</f>
        <v>131.47498777727495</v>
      </c>
      <c r="G16">
        <f t="shared" ref="G16:G61" si="4">D16*D16</f>
        <v>65.899851335445959</v>
      </c>
      <c r="H16">
        <f t="shared" ref="H16:H61" si="5">E16*E16</f>
        <v>262.30214576731601</v>
      </c>
    </row>
    <row r="17" spans="1:8" x14ac:dyDescent="0.25">
      <c r="A17">
        <v>14</v>
      </c>
      <c r="B17" s="6">
        <v>113.35</v>
      </c>
      <c r="C17" s="39">
        <f t="shared" si="0"/>
        <v>102.16</v>
      </c>
      <c r="D17" s="39">
        <f t="shared" si="1"/>
        <v>-10.647872340425536</v>
      </c>
      <c r="E17" s="39">
        <f t="shared" si="2"/>
        <v>-16.245744680851075</v>
      </c>
      <c r="F17">
        <f t="shared" si="3"/>
        <v>172.98261543684944</v>
      </c>
      <c r="G17">
        <f t="shared" si="4"/>
        <v>113.37718537799918</v>
      </c>
      <c r="H17">
        <f t="shared" si="5"/>
        <v>263.92422023540098</v>
      </c>
    </row>
    <row r="18" spans="1:8" x14ac:dyDescent="0.25">
      <c r="A18">
        <v>15</v>
      </c>
      <c r="B18" s="6">
        <v>111.39</v>
      </c>
      <c r="C18" s="39">
        <f t="shared" si="0"/>
        <v>102.06</v>
      </c>
      <c r="D18" s="39">
        <f t="shared" si="1"/>
        <v>-12.60787234042553</v>
      </c>
      <c r="E18" s="39">
        <f t="shared" si="2"/>
        <v>-16.34574468085107</v>
      </c>
      <c r="F18">
        <f t="shared" si="3"/>
        <v>206.08506224535992</v>
      </c>
      <c r="G18">
        <f t="shared" si="4"/>
        <v>158.95844495246712</v>
      </c>
      <c r="H18">
        <f t="shared" si="5"/>
        <v>267.18336917157103</v>
      </c>
    </row>
    <row r="19" spans="1:8" x14ac:dyDescent="0.25">
      <c r="A19">
        <v>16</v>
      </c>
      <c r="B19" s="6">
        <v>109.76</v>
      </c>
      <c r="C19" s="39">
        <f t="shared" si="0"/>
        <v>102.55</v>
      </c>
      <c r="D19" s="39">
        <f t="shared" si="1"/>
        <v>-14.237872340425525</v>
      </c>
      <c r="E19" s="39">
        <f t="shared" si="2"/>
        <v>-15.855744680851075</v>
      </c>
      <c r="F19">
        <f t="shared" si="3"/>
        <v>225.75206862833866</v>
      </c>
      <c r="G19">
        <f t="shared" si="4"/>
        <v>202.71700878225423</v>
      </c>
      <c r="H19">
        <f t="shared" si="5"/>
        <v>251.40463938433714</v>
      </c>
    </row>
    <row r="20" spans="1:8" x14ac:dyDescent="0.25">
      <c r="A20">
        <v>17</v>
      </c>
      <c r="B20" s="6">
        <v>109.5</v>
      </c>
      <c r="C20" s="39">
        <f t="shared" si="0"/>
        <v>104.35</v>
      </c>
      <c r="D20" s="39">
        <f t="shared" si="1"/>
        <v>-14.497872340425531</v>
      </c>
      <c r="E20" s="39">
        <f t="shared" si="2"/>
        <v>-14.055744680851078</v>
      </c>
      <c r="F20">
        <f t="shared" si="3"/>
        <v>203.77839203259413</v>
      </c>
      <c r="G20">
        <f t="shared" si="4"/>
        <v>210.18830239927564</v>
      </c>
      <c r="H20">
        <f t="shared" si="5"/>
        <v>197.56395853327336</v>
      </c>
    </row>
    <row r="21" spans="1:8" x14ac:dyDescent="0.25">
      <c r="A21">
        <v>18</v>
      </c>
      <c r="B21" s="6">
        <v>108.86</v>
      </c>
      <c r="C21" s="39">
        <f t="shared" si="0"/>
        <v>107.57</v>
      </c>
      <c r="D21" s="39">
        <f t="shared" si="1"/>
        <v>-15.137872340425531</v>
      </c>
      <c r="E21" s="39">
        <f t="shared" si="2"/>
        <v>-10.835744680851079</v>
      </c>
      <c r="F21">
        <f t="shared" si="3"/>
        <v>164.03011969216863</v>
      </c>
      <c r="G21">
        <f t="shared" si="4"/>
        <v>229.15517899502035</v>
      </c>
      <c r="H21">
        <f t="shared" si="5"/>
        <v>117.41336278859245</v>
      </c>
    </row>
    <row r="22" spans="1:8" x14ac:dyDescent="0.25">
      <c r="A22">
        <v>19</v>
      </c>
      <c r="B22" s="6">
        <v>108.49</v>
      </c>
      <c r="C22" s="39">
        <f t="shared" si="0"/>
        <v>111.96</v>
      </c>
      <c r="D22" s="39">
        <f t="shared" si="1"/>
        <v>-15.507872340425536</v>
      </c>
      <c r="E22" s="39">
        <f t="shared" si="2"/>
        <v>-6.4457446808510781</v>
      </c>
      <c r="F22">
        <f t="shared" si="3"/>
        <v>99.959785649615455</v>
      </c>
      <c r="G22">
        <f t="shared" si="4"/>
        <v>240.49410452693539</v>
      </c>
      <c r="H22">
        <f t="shared" si="5"/>
        <v>41.547624490719969</v>
      </c>
    </row>
    <row r="23" spans="1:8" x14ac:dyDescent="0.25">
      <c r="A23">
        <v>20</v>
      </c>
      <c r="B23" s="6">
        <v>108.36</v>
      </c>
      <c r="C23" s="39">
        <f t="shared" si="0"/>
        <v>115.27</v>
      </c>
      <c r="D23" s="39">
        <f t="shared" si="1"/>
        <v>-15.637872340425531</v>
      </c>
      <c r="E23" s="39">
        <f t="shared" si="2"/>
        <v>-3.1357446808510758</v>
      </c>
      <c r="F23">
        <f t="shared" si="3"/>
        <v>49.036375011317524</v>
      </c>
      <c r="G23">
        <f t="shared" si="4"/>
        <v>244.54305133544588</v>
      </c>
      <c r="H23">
        <f t="shared" si="5"/>
        <v>9.832894703485815</v>
      </c>
    </row>
    <row r="24" spans="1:8" x14ac:dyDescent="0.25">
      <c r="A24">
        <v>21</v>
      </c>
      <c r="B24" s="6">
        <v>108.19</v>
      </c>
      <c r="C24" s="39">
        <f t="shared" si="0"/>
        <v>117.17</v>
      </c>
      <c r="D24" s="39">
        <f t="shared" si="1"/>
        <v>-15.807872340425533</v>
      </c>
      <c r="E24" s="39">
        <f t="shared" si="2"/>
        <v>-1.2357446808510701</v>
      </c>
      <c r="F24">
        <f t="shared" si="3"/>
        <v>19.534494160253608</v>
      </c>
      <c r="G24">
        <f t="shared" si="4"/>
        <v>249.8888279311906</v>
      </c>
      <c r="H24">
        <f t="shared" si="5"/>
        <v>1.5270649162517131</v>
      </c>
    </row>
    <row r="25" spans="1:8" x14ac:dyDescent="0.25">
      <c r="A25">
        <v>22</v>
      </c>
      <c r="B25" s="6">
        <v>107.8</v>
      </c>
      <c r="C25" s="39">
        <f t="shared" si="0"/>
        <v>117.61</v>
      </c>
      <c r="D25" s="39">
        <f t="shared" si="1"/>
        <v>-16.197872340425533</v>
      </c>
      <c r="E25" s="39">
        <f t="shared" si="2"/>
        <v>-0.79574468085107242</v>
      </c>
      <c r="F25">
        <f t="shared" si="3"/>
        <v>12.88937075599833</v>
      </c>
      <c r="G25">
        <f t="shared" si="4"/>
        <v>262.37106835672256</v>
      </c>
      <c r="H25">
        <f t="shared" si="5"/>
        <v>0.63320959710277513</v>
      </c>
    </row>
    <row r="26" spans="1:8" x14ac:dyDescent="0.25">
      <c r="A26">
        <v>23</v>
      </c>
      <c r="B26" s="6">
        <v>107.47</v>
      </c>
      <c r="C26" s="39">
        <f t="shared" si="0"/>
        <v>117.26</v>
      </c>
      <c r="D26" s="39">
        <f t="shared" si="1"/>
        <v>-16.527872340425532</v>
      </c>
      <c r="E26" s="39">
        <f t="shared" si="2"/>
        <v>-1.1457446808510667</v>
      </c>
      <c r="F26">
        <f t="shared" si="3"/>
        <v>18.936721819828023</v>
      </c>
      <c r="G26">
        <f t="shared" si="4"/>
        <v>273.17056410140333</v>
      </c>
      <c r="H26">
        <f t="shared" si="5"/>
        <v>1.3127308736985128</v>
      </c>
    </row>
    <row r="27" spans="1:8" x14ac:dyDescent="0.25">
      <c r="A27">
        <v>24</v>
      </c>
      <c r="B27" s="6">
        <v>107.03</v>
      </c>
      <c r="C27" s="39">
        <f t="shared" si="0"/>
        <v>115.88</v>
      </c>
      <c r="D27" s="39">
        <f t="shared" si="1"/>
        <v>-16.967872340425529</v>
      </c>
      <c r="E27" s="39">
        <f t="shared" si="2"/>
        <v>-2.5257446808510764</v>
      </c>
      <c r="F27">
        <f t="shared" si="3"/>
        <v>42.856513309189886</v>
      </c>
      <c r="G27">
        <f t="shared" si="4"/>
        <v>287.90869176097772</v>
      </c>
      <c r="H27">
        <f t="shared" si="5"/>
        <v>6.3793861928475062</v>
      </c>
    </row>
    <row r="28" spans="1:8" x14ac:dyDescent="0.25">
      <c r="A28">
        <v>25</v>
      </c>
      <c r="B28" s="6">
        <v>106.61</v>
      </c>
      <c r="C28" s="39">
        <f t="shared" si="0"/>
        <v>113.35</v>
      </c>
      <c r="D28" s="39">
        <f t="shared" si="1"/>
        <v>-17.387872340425531</v>
      </c>
      <c r="E28" s="39">
        <f t="shared" si="2"/>
        <v>-5.0557446808510775</v>
      </c>
      <c r="F28">
        <f t="shared" si="3"/>
        <v>87.908643096423958</v>
      </c>
      <c r="G28">
        <f t="shared" si="4"/>
        <v>302.33810452693524</v>
      </c>
      <c r="H28">
        <f t="shared" si="5"/>
        <v>25.560554277953965</v>
      </c>
    </row>
    <row r="29" spans="1:8" x14ac:dyDescent="0.25">
      <c r="A29">
        <v>26</v>
      </c>
      <c r="B29" s="6">
        <v>106.57</v>
      </c>
      <c r="C29" s="39">
        <f t="shared" si="0"/>
        <v>111.39</v>
      </c>
      <c r="D29" s="39">
        <f t="shared" si="1"/>
        <v>-17.427872340425537</v>
      </c>
      <c r="E29" s="39">
        <f t="shared" si="2"/>
        <v>-7.0157446808510713</v>
      </c>
      <c r="F29">
        <f t="shared" si="3"/>
        <v>122.26950267089198</v>
      </c>
      <c r="G29">
        <f t="shared" si="4"/>
        <v>303.73073431416952</v>
      </c>
      <c r="H29">
        <f t="shared" si="5"/>
        <v>49.220673426890102</v>
      </c>
    </row>
    <row r="30" spans="1:8" x14ac:dyDescent="0.25">
      <c r="A30">
        <v>27</v>
      </c>
      <c r="B30" s="6">
        <v>106.49</v>
      </c>
      <c r="C30" s="39">
        <f t="shared" si="0"/>
        <v>109.76</v>
      </c>
      <c r="D30" s="39">
        <f t="shared" si="1"/>
        <v>-17.507872340425536</v>
      </c>
      <c r="E30" s="39">
        <f t="shared" si="2"/>
        <v>-8.6457446808510667</v>
      </c>
      <c r="F30">
        <f t="shared" si="3"/>
        <v>151.36859416025359</v>
      </c>
      <c r="G30">
        <f t="shared" si="4"/>
        <v>306.5255938886375</v>
      </c>
      <c r="H30">
        <f t="shared" si="5"/>
        <v>74.748901086464514</v>
      </c>
    </row>
    <row r="31" spans="1:8" x14ac:dyDescent="0.25">
      <c r="A31">
        <v>28</v>
      </c>
      <c r="B31" s="6">
        <v>107.04</v>
      </c>
      <c r="C31" s="39">
        <f t="shared" si="0"/>
        <v>109.5</v>
      </c>
      <c r="D31" s="39">
        <f t="shared" si="1"/>
        <v>-16.957872340425524</v>
      </c>
      <c r="E31" s="39">
        <f t="shared" si="2"/>
        <v>-8.9057446808510718</v>
      </c>
      <c r="F31">
        <f t="shared" si="3"/>
        <v>151.02248139429614</v>
      </c>
      <c r="G31">
        <f t="shared" si="4"/>
        <v>287.56943431416903</v>
      </c>
      <c r="H31">
        <f t="shared" si="5"/>
        <v>79.312288320507164</v>
      </c>
    </row>
    <row r="32" spans="1:8" x14ac:dyDescent="0.25">
      <c r="A32">
        <v>29</v>
      </c>
      <c r="B32" s="6">
        <v>111.35</v>
      </c>
      <c r="C32" s="39">
        <f t="shared" si="0"/>
        <v>108.86</v>
      </c>
      <c r="D32" s="39">
        <f t="shared" si="1"/>
        <v>-12.647872340425536</v>
      </c>
      <c r="E32" s="39">
        <f t="shared" si="2"/>
        <v>-9.5457446808510724</v>
      </c>
      <c r="F32">
        <f t="shared" si="3"/>
        <v>120.73336011770047</v>
      </c>
      <c r="G32">
        <f t="shared" si="4"/>
        <v>159.96867473970133</v>
      </c>
      <c r="H32">
        <f t="shared" si="5"/>
        <v>91.121241511996544</v>
      </c>
    </row>
    <row r="33" spans="1:8" x14ac:dyDescent="0.25">
      <c r="A33">
        <v>30</v>
      </c>
      <c r="B33" s="6">
        <v>117.54</v>
      </c>
      <c r="C33" s="39">
        <f t="shared" si="0"/>
        <v>108.49</v>
      </c>
      <c r="D33" s="39">
        <f t="shared" si="1"/>
        <v>-6.4578723404255243</v>
      </c>
      <c r="E33" s="39">
        <f t="shared" si="2"/>
        <v>-9.915744680851077</v>
      </c>
      <c r="F33">
        <f t="shared" si="3"/>
        <v>64.034613309189695</v>
      </c>
      <c r="G33">
        <f t="shared" si="4"/>
        <v>41.704115165233041</v>
      </c>
      <c r="H33">
        <f t="shared" si="5"/>
        <v>98.321992575826428</v>
      </c>
    </row>
    <row r="34" spans="1:8" x14ac:dyDescent="0.25">
      <c r="A34">
        <v>31</v>
      </c>
      <c r="B34" s="6">
        <v>122.58</v>
      </c>
      <c r="C34" s="39">
        <f t="shared" si="0"/>
        <v>108.36</v>
      </c>
      <c r="D34" s="39">
        <f t="shared" si="1"/>
        <v>-1.4178723404255322</v>
      </c>
      <c r="E34" s="39">
        <f t="shared" si="2"/>
        <v>-10.045744680851072</v>
      </c>
      <c r="F34">
        <f t="shared" si="3"/>
        <v>14.243583521955651</v>
      </c>
      <c r="G34">
        <f t="shared" si="4"/>
        <v>2.0103619737437763</v>
      </c>
      <c r="H34">
        <f t="shared" si="5"/>
        <v>100.91698619284762</v>
      </c>
    </row>
    <row r="35" spans="1:8" x14ac:dyDescent="0.25">
      <c r="A35">
        <v>32</v>
      </c>
      <c r="B35" s="6">
        <v>128.16</v>
      </c>
      <c r="C35" s="39">
        <f t="shared" si="0"/>
        <v>108.19</v>
      </c>
      <c r="D35" s="39">
        <f t="shared" si="1"/>
        <v>4.1621276595744661</v>
      </c>
      <c r="E35" s="39">
        <f t="shared" si="2"/>
        <v>-10.215744680851074</v>
      </c>
      <c r="F35">
        <f t="shared" si="3"/>
        <v>-42.519233499320983</v>
      </c>
      <c r="G35">
        <f t="shared" si="4"/>
        <v>17.323306654594823</v>
      </c>
      <c r="H35">
        <f t="shared" si="5"/>
        <v>104.36143938433702</v>
      </c>
    </row>
    <row r="36" spans="1:8" x14ac:dyDescent="0.25">
      <c r="A36">
        <v>33</v>
      </c>
      <c r="B36" s="6">
        <v>132.86000000000001</v>
      </c>
      <c r="C36" s="39">
        <f t="shared" si="0"/>
        <v>107.8</v>
      </c>
      <c r="D36" s="39">
        <f t="shared" si="1"/>
        <v>8.8621276595744831</v>
      </c>
      <c r="E36" s="39">
        <f t="shared" si="2"/>
        <v>-10.605744680851075</v>
      </c>
      <c r="F36">
        <f t="shared" si="3"/>
        <v>-93.989463286555264</v>
      </c>
      <c r="G36">
        <f t="shared" si="4"/>
        <v>78.537306654595099</v>
      </c>
      <c r="H36">
        <f t="shared" si="5"/>
        <v>112.48182023540086</v>
      </c>
    </row>
    <row r="37" spans="1:8" x14ac:dyDescent="0.25">
      <c r="A37">
        <v>34</v>
      </c>
      <c r="B37" s="6">
        <v>134.91999999999999</v>
      </c>
      <c r="C37" s="39">
        <f t="shared" si="0"/>
        <v>107.47</v>
      </c>
      <c r="D37" s="39">
        <f t="shared" si="1"/>
        <v>10.922127659574457</v>
      </c>
      <c r="E37" s="39">
        <f t="shared" si="2"/>
        <v>-10.935744680851073</v>
      </c>
      <c r="F37">
        <f t="shared" si="3"/>
        <v>-119.44159945676775</v>
      </c>
      <c r="G37">
        <f t="shared" si="4"/>
        <v>119.29287261204141</v>
      </c>
      <c r="H37">
        <f t="shared" si="5"/>
        <v>119.59051172476254</v>
      </c>
    </row>
    <row r="38" spans="1:8" x14ac:dyDescent="0.25">
      <c r="A38">
        <v>35</v>
      </c>
      <c r="B38" s="6">
        <v>135.69999999999999</v>
      </c>
      <c r="C38" s="39">
        <f t="shared" si="0"/>
        <v>107.03</v>
      </c>
      <c r="D38" s="39">
        <f t="shared" si="1"/>
        <v>11.702127659574458</v>
      </c>
      <c r="E38" s="39">
        <f t="shared" si="2"/>
        <v>-11.375744680851071</v>
      </c>
      <c r="F38">
        <f t="shared" si="3"/>
        <v>-133.12041647804432</v>
      </c>
      <c r="G38">
        <f t="shared" si="4"/>
        <v>136.93979176097758</v>
      </c>
      <c r="H38">
        <f t="shared" si="5"/>
        <v>129.40756704391143</v>
      </c>
    </row>
    <row r="39" spans="1:8" x14ac:dyDescent="0.25">
      <c r="A39">
        <v>36</v>
      </c>
      <c r="B39" s="6">
        <v>136.13999999999999</v>
      </c>
      <c r="C39" s="39">
        <f t="shared" si="0"/>
        <v>106.61</v>
      </c>
      <c r="D39" s="39">
        <f t="shared" si="1"/>
        <v>12.142127659574456</v>
      </c>
      <c r="E39" s="39">
        <f t="shared" si="2"/>
        <v>-11.795744680851072</v>
      </c>
      <c r="F39">
        <f t="shared" si="3"/>
        <v>-143.22543775464007</v>
      </c>
      <c r="G39">
        <f t="shared" si="4"/>
        <v>147.43126410140306</v>
      </c>
      <c r="H39">
        <f t="shared" si="5"/>
        <v>139.13959257582636</v>
      </c>
    </row>
    <row r="40" spans="1:8" x14ac:dyDescent="0.25">
      <c r="A40">
        <v>37</v>
      </c>
      <c r="B40" s="6">
        <v>140.15</v>
      </c>
      <c r="C40" s="39">
        <f t="shared" si="0"/>
        <v>106.57</v>
      </c>
      <c r="D40" s="39">
        <f t="shared" si="1"/>
        <v>16.152127659574475</v>
      </c>
      <c r="E40" s="39">
        <f t="shared" si="2"/>
        <v>-11.835744680851079</v>
      </c>
      <c r="F40">
        <f t="shared" si="3"/>
        <v>-191.17245903123617</v>
      </c>
      <c r="G40">
        <f t="shared" si="4"/>
        <v>260.89122793119083</v>
      </c>
      <c r="H40">
        <f t="shared" si="5"/>
        <v>140.08485215029461</v>
      </c>
    </row>
    <row r="41" spans="1:8" x14ac:dyDescent="0.25">
      <c r="A41">
        <v>38</v>
      </c>
      <c r="B41" s="6">
        <v>140.09</v>
      </c>
      <c r="C41" s="39">
        <f t="shared" si="0"/>
        <v>106.49</v>
      </c>
      <c r="D41" s="39">
        <f t="shared" si="1"/>
        <v>16.092127659574473</v>
      </c>
      <c r="E41" s="39">
        <f t="shared" si="2"/>
        <v>-11.915744680851077</v>
      </c>
      <c r="F41">
        <f t="shared" si="3"/>
        <v>-191.74968456315102</v>
      </c>
      <c r="G41">
        <f t="shared" si="4"/>
        <v>258.95657261204178</v>
      </c>
      <c r="H41">
        <f t="shared" si="5"/>
        <v>141.98497129923072</v>
      </c>
    </row>
    <row r="42" spans="1:8" x14ac:dyDescent="0.25">
      <c r="A42">
        <v>39</v>
      </c>
      <c r="B42" s="6">
        <v>139.1</v>
      </c>
      <c r="C42" s="39">
        <f t="shared" si="0"/>
        <v>107.04</v>
      </c>
      <c r="D42" s="39">
        <f t="shared" si="1"/>
        <v>15.102127659574464</v>
      </c>
      <c r="E42" s="39">
        <f t="shared" si="2"/>
        <v>-11.365744680851066</v>
      </c>
      <c r="F42">
        <f t="shared" si="3"/>
        <v>-171.64692711634223</v>
      </c>
      <c r="G42">
        <f t="shared" si="4"/>
        <v>228.07425984608406</v>
      </c>
      <c r="H42">
        <f t="shared" si="5"/>
        <v>129.1801521502943</v>
      </c>
    </row>
    <row r="43" spans="1:8" x14ac:dyDescent="0.25">
      <c r="A43">
        <v>40</v>
      </c>
      <c r="B43" s="6">
        <v>137.5</v>
      </c>
      <c r="C43" s="39">
        <f t="shared" si="0"/>
        <v>111.35</v>
      </c>
      <c r="D43" s="39">
        <f t="shared" si="1"/>
        <v>13.502127659574469</v>
      </c>
      <c r="E43" s="39">
        <f t="shared" si="2"/>
        <v>-7.0557446808510775</v>
      </c>
      <c r="F43">
        <f t="shared" si="3"/>
        <v>-95.267565414214772</v>
      </c>
      <c r="G43">
        <f t="shared" si="4"/>
        <v>182.30745133544593</v>
      </c>
      <c r="H43">
        <f t="shared" si="5"/>
        <v>49.783533001358272</v>
      </c>
    </row>
    <row r="44" spans="1:8" x14ac:dyDescent="0.25">
      <c r="A44">
        <v>41</v>
      </c>
      <c r="B44" s="6">
        <v>136.12</v>
      </c>
      <c r="C44" s="39">
        <f t="shared" si="0"/>
        <v>117.54</v>
      </c>
      <c r="D44" s="39">
        <f t="shared" si="1"/>
        <v>12.122127659574474</v>
      </c>
      <c r="E44" s="39">
        <f t="shared" si="2"/>
        <v>-0.8657446808510656</v>
      </c>
      <c r="F44">
        <f t="shared" si="3"/>
        <v>-10.494667541874177</v>
      </c>
      <c r="G44">
        <f t="shared" si="4"/>
        <v>146.94597899502051</v>
      </c>
      <c r="H44">
        <f t="shared" si="5"/>
        <v>0.74951385242191337</v>
      </c>
    </row>
    <row r="45" spans="1:8" x14ac:dyDescent="0.25">
      <c r="A45">
        <v>42</v>
      </c>
      <c r="B45" s="6">
        <v>135.22</v>
      </c>
      <c r="C45" s="39">
        <f t="shared" si="0"/>
        <v>122.58</v>
      </c>
      <c r="D45" s="39">
        <f t="shared" si="1"/>
        <v>11.222127659574468</v>
      </c>
      <c r="E45" s="39">
        <f t="shared" si="2"/>
        <v>4.1742553191489264</v>
      </c>
      <c r="F45">
        <f t="shared" si="3"/>
        <v>46.844026075147021</v>
      </c>
      <c r="G45">
        <f t="shared" si="4"/>
        <v>125.93614920778633</v>
      </c>
      <c r="H45">
        <f t="shared" si="5"/>
        <v>17.424407469443107</v>
      </c>
    </row>
    <row r="46" spans="1:8" x14ac:dyDescent="0.25">
      <c r="A46">
        <v>43</v>
      </c>
      <c r="B46" s="6">
        <v>134.72999999999999</v>
      </c>
      <c r="C46" s="39">
        <f t="shared" si="0"/>
        <v>128.16</v>
      </c>
      <c r="D46" s="39">
        <f t="shared" si="1"/>
        <v>10.732127659574459</v>
      </c>
      <c r="E46" s="39">
        <f t="shared" si="2"/>
        <v>9.7542553191489247</v>
      </c>
      <c r="F46">
        <f t="shared" si="3"/>
        <v>104.68391330918946</v>
      </c>
      <c r="G46">
        <f t="shared" si="4"/>
        <v>115.17856410140315</v>
      </c>
      <c r="H46">
        <f t="shared" si="5"/>
        <v>95.145496831145095</v>
      </c>
    </row>
    <row r="47" spans="1:8" x14ac:dyDescent="0.25">
      <c r="A47">
        <v>44</v>
      </c>
      <c r="B47" s="6">
        <v>134.38999999999999</v>
      </c>
      <c r="C47" s="39">
        <f t="shared" si="0"/>
        <v>132.86000000000001</v>
      </c>
      <c r="D47" s="39">
        <f t="shared" si="1"/>
        <v>10.392127659574456</v>
      </c>
      <c r="E47" s="39">
        <f t="shared" si="2"/>
        <v>14.454255319148942</v>
      </c>
      <c r="F47">
        <f t="shared" si="3"/>
        <v>150.21046650067893</v>
      </c>
      <c r="G47">
        <f t="shared" si="4"/>
        <v>107.99631729289246</v>
      </c>
      <c r="H47">
        <f t="shared" si="5"/>
        <v>208.92549683114547</v>
      </c>
    </row>
    <row r="48" spans="1:8" x14ac:dyDescent="0.25">
      <c r="A48">
        <v>45</v>
      </c>
      <c r="B48" s="6">
        <v>134.51</v>
      </c>
      <c r="C48" s="39">
        <f t="shared" si="0"/>
        <v>134.91999999999999</v>
      </c>
      <c r="D48" s="39">
        <f t="shared" si="1"/>
        <v>10.51212765957446</v>
      </c>
      <c r="E48" s="39">
        <f t="shared" si="2"/>
        <v>16.514255319148916</v>
      </c>
      <c r="F48">
        <f t="shared" si="3"/>
        <v>173.59996011769996</v>
      </c>
      <c r="G48">
        <f t="shared" si="4"/>
        <v>110.50482793119042</v>
      </c>
      <c r="H48">
        <f t="shared" si="5"/>
        <v>272.72062874603824</v>
      </c>
    </row>
    <row r="49" spans="1:8" x14ac:dyDescent="0.25">
      <c r="A49">
        <v>46</v>
      </c>
      <c r="B49" s="6">
        <v>134.46</v>
      </c>
      <c r="C49" s="39">
        <f t="shared" si="0"/>
        <v>135.69999999999999</v>
      </c>
      <c r="D49" s="39">
        <f t="shared" si="1"/>
        <v>10.462127659574477</v>
      </c>
      <c r="E49" s="39">
        <f t="shared" si="2"/>
        <v>17.294255319148917</v>
      </c>
      <c r="F49">
        <f t="shared" si="3"/>
        <v>180.93470692621091</v>
      </c>
      <c r="G49">
        <f t="shared" si="4"/>
        <v>109.45611516523333</v>
      </c>
      <c r="H49">
        <f t="shared" si="5"/>
        <v>299.09126704391059</v>
      </c>
    </row>
    <row r="50" spans="1:8" x14ac:dyDescent="0.25">
      <c r="A50">
        <v>47</v>
      </c>
      <c r="B50" s="6">
        <v>134.27000000000001</v>
      </c>
      <c r="C50" s="39">
        <f t="shared" si="0"/>
        <v>136.13999999999999</v>
      </c>
      <c r="D50" s="39">
        <f t="shared" si="1"/>
        <v>10.27212765957448</v>
      </c>
      <c r="E50" s="39">
        <f t="shared" si="2"/>
        <v>17.734255319148915</v>
      </c>
      <c r="F50">
        <f t="shared" si="3"/>
        <v>182.16853458578541</v>
      </c>
      <c r="G50">
        <f t="shared" si="4"/>
        <v>105.51660665459508</v>
      </c>
      <c r="H50">
        <f t="shared" si="5"/>
        <v>314.50381172476159</v>
      </c>
    </row>
    <row r="51" spans="1:8" x14ac:dyDescent="0.25">
      <c r="A51">
        <v>48</v>
      </c>
      <c r="B51" s="6">
        <v>133.72999999999999</v>
      </c>
      <c r="C51" s="39">
        <f t="shared" si="0"/>
        <v>140.15</v>
      </c>
      <c r="D51" s="39">
        <f t="shared" si="1"/>
        <v>9.7321276595744592</v>
      </c>
      <c r="E51" s="39">
        <f t="shared" si="2"/>
        <v>21.744255319148934</v>
      </c>
      <c r="F51">
        <f t="shared" si="3"/>
        <v>211.61786862833841</v>
      </c>
      <c r="G51">
        <f t="shared" si="4"/>
        <v>94.714308782254236</v>
      </c>
      <c r="H51">
        <f t="shared" si="5"/>
        <v>472.81263938433671</v>
      </c>
    </row>
    <row r="52" spans="1:8" x14ac:dyDescent="0.25">
      <c r="A52">
        <v>49</v>
      </c>
      <c r="B52" s="6">
        <v>132.01</v>
      </c>
      <c r="C52" s="39">
        <f t="shared" si="0"/>
        <v>140.09</v>
      </c>
      <c r="D52" s="39">
        <f t="shared" si="1"/>
        <v>8.0121276595744604</v>
      </c>
      <c r="E52" s="39">
        <f t="shared" si="2"/>
        <v>21.684255319148932</v>
      </c>
      <c r="F52">
        <f t="shared" si="3"/>
        <v>173.73702181982776</v>
      </c>
      <c r="G52">
        <f t="shared" si="4"/>
        <v>64.194189633318118</v>
      </c>
      <c r="H52">
        <f t="shared" si="5"/>
        <v>470.20692874603873</v>
      </c>
    </row>
    <row r="53" spans="1:8" x14ac:dyDescent="0.25">
      <c r="A53">
        <v>50</v>
      </c>
      <c r="B53" s="6">
        <v>130.59</v>
      </c>
      <c r="C53" s="39">
        <f t="shared" si="0"/>
        <v>139.1</v>
      </c>
      <c r="D53" s="39">
        <f t="shared" si="1"/>
        <v>6.5921276595744729</v>
      </c>
      <c r="E53" s="39">
        <f t="shared" si="2"/>
        <v>20.694255319148922</v>
      </c>
      <c r="F53">
        <f t="shared" si="3"/>
        <v>136.41917288365778</v>
      </c>
      <c r="G53">
        <f t="shared" si="4"/>
        <v>43.456147080126819</v>
      </c>
      <c r="H53">
        <f t="shared" si="5"/>
        <v>428.25220321412348</v>
      </c>
    </row>
    <row r="54" spans="1:8" x14ac:dyDescent="0.25">
      <c r="A54">
        <v>51</v>
      </c>
      <c r="B54" s="6">
        <v>130.28</v>
      </c>
      <c r="C54" s="39">
        <f t="shared" si="0"/>
        <v>137.5</v>
      </c>
      <c r="D54" s="39">
        <f t="shared" si="1"/>
        <v>6.2821276595744706</v>
      </c>
      <c r="E54" s="39">
        <f t="shared" si="2"/>
        <v>19.094255319148928</v>
      </c>
      <c r="F54">
        <f t="shared" si="3"/>
        <v>119.95254947940244</v>
      </c>
      <c r="G54">
        <f t="shared" si="4"/>
        <v>39.465127931190615</v>
      </c>
      <c r="H54">
        <f t="shared" si="5"/>
        <v>364.59058619284713</v>
      </c>
    </row>
    <row r="55" spans="1:8" x14ac:dyDescent="0.25">
      <c r="A55">
        <v>52</v>
      </c>
      <c r="B55" s="6">
        <v>129.16</v>
      </c>
      <c r="C55" s="39">
        <f t="shared" si="0"/>
        <v>136.12</v>
      </c>
      <c r="D55" s="39">
        <f t="shared" si="1"/>
        <v>5.1621276595744661</v>
      </c>
      <c r="E55" s="39">
        <f t="shared" si="2"/>
        <v>17.714255319148933</v>
      </c>
      <c r="F55">
        <f t="shared" si="3"/>
        <v>91.443247351742812</v>
      </c>
      <c r="G55">
        <f t="shared" si="4"/>
        <v>26.647561973743755</v>
      </c>
      <c r="H55">
        <f t="shared" si="5"/>
        <v>313.79484151199625</v>
      </c>
    </row>
    <row r="56" spans="1:8" x14ac:dyDescent="0.25">
      <c r="A56">
        <v>53</v>
      </c>
      <c r="B56" s="6">
        <v>128.94</v>
      </c>
      <c r="C56" s="39">
        <f t="shared" si="0"/>
        <v>135.22</v>
      </c>
      <c r="D56" s="39">
        <f t="shared" si="1"/>
        <v>4.9421276595744672</v>
      </c>
      <c r="E56" s="39">
        <f t="shared" si="2"/>
        <v>16.814255319148927</v>
      </c>
      <c r="F56">
        <f t="shared" si="3"/>
        <v>83.098196287913026</v>
      </c>
      <c r="G56">
        <f t="shared" si="4"/>
        <v>24.424625803531001</v>
      </c>
      <c r="H56">
        <f t="shared" si="5"/>
        <v>282.71918193752799</v>
      </c>
    </row>
    <row r="57" spans="1:8" x14ac:dyDescent="0.25">
      <c r="A57">
        <v>54</v>
      </c>
      <c r="B57" s="6">
        <v>129.30000000000001</v>
      </c>
      <c r="C57" s="39">
        <f t="shared" si="0"/>
        <v>134.72999999999999</v>
      </c>
      <c r="D57" s="39">
        <f t="shared" si="1"/>
        <v>5.3021276595744808</v>
      </c>
      <c r="E57" s="39">
        <f t="shared" si="2"/>
        <v>16.324255319148918</v>
      </c>
      <c r="F57">
        <f t="shared" si="3"/>
        <v>86.553285649615319</v>
      </c>
      <c r="G57">
        <f t="shared" si="4"/>
        <v>28.11255771842476</v>
      </c>
      <c r="H57">
        <f t="shared" si="5"/>
        <v>266.48131172476172</v>
      </c>
    </row>
    <row r="58" spans="1:8" x14ac:dyDescent="0.25">
      <c r="A58">
        <v>55</v>
      </c>
      <c r="B58" s="6">
        <v>131.22</v>
      </c>
      <c r="C58" s="39">
        <f t="shared" si="0"/>
        <v>134.38999999999999</v>
      </c>
      <c r="D58" s="39">
        <f t="shared" si="1"/>
        <v>7.2221276595744683</v>
      </c>
      <c r="E58" s="39">
        <f t="shared" si="2"/>
        <v>15.984255319148915</v>
      </c>
      <c r="F58">
        <f t="shared" si="3"/>
        <v>115.4403324581257</v>
      </c>
      <c r="G58">
        <f t="shared" si="4"/>
        <v>52.159127931190589</v>
      </c>
      <c r="H58">
        <f t="shared" si="5"/>
        <v>255.49641810774037</v>
      </c>
    </row>
    <row r="59" spans="1:8" x14ac:dyDescent="0.25">
      <c r="A59">
        <v>56</v>
      </c>
      <c r="B59" s="6">
        <v>132.52000000000001</v>
      </c>
      <c r="C59" s="39">
        <f t="shared" si="0"/>
        <v>134.51</v>
      </c>
      <c r="D59" s="39">
        <f t="shared" si="1"/>
        <v>8.5221276595744797</v>
      </c>
      <c r="E59" s="39">
        <f t="shared" si="2"/>
        <v>16.104255319148919</v>
      </c>
      <c r="F59">
        <f t="shared" si="3"/>
        <v>137.24251969216846</v>
      </c>
      <c r="G59">
        <f t="shared" si="4"/>
        <v>72.626659846084394</v>
      </c>
      <c r="H59">
        <f t="shared" si="5"/>
        <v>259.34703938433626</v>
      </c>
    </row>
    <row r="60" spans="1:8" x14ac:dyDescent="0.25">
      <c r="A60">
        <v>57</v>
      </c>
      <c r="B60" s="6">
        <v>134.25</v>
      </c>
      <c r="C60" s="39">
        <f t="shared" si="0"/>
        <v>134.46</v>
      </c>
      <c r="D60" s="39">
        <f t="shared" si="1"/>
        <v>10.252127659574469</v>
      </c>
      <c r="E60" s="39">
        <f t="shared" si="2"/>
        <v>16.054255319148936</v>
      </c>
      <c r="F60">
        <f t="shared" si="3"/>
        <v>164.59027501131737</v>
      </c>
      <c r="G60">
        <f t="shared" si="4"/>
        <v>105.10612154821189</v>
      </c>
      <c r="H60">
        <f t="shared" si="5"/>
        <v>257.73911385242189</v>
      </c>
    </row>
    <row r="61" spans="1:8" x14ac:dyDescent="0.25">
      <c r="A61">
        <v>58</v>
      </c>
      <c r="B61" s="6">
        <v>136.06</v>
      </c>
      <c r="C61" s="39">
        <f t="shared" si="0"/>
        <v>134.27000000000001</v>
      </c>
      <c r="D61" s="39">
        <f t="shared" si="1"/>
        <v>12.062127659574472</v>
      </c>
      <c r="E61" s="39">
        <f t="shared" si="2"/>
        <v>15.864255319148938</v>
      </c>
      <c r="F61">
        <f t="shared" si="3"/>
        <v>191.35667288365784</v>
      </c>
      <c r="G61">
        <f t="shared" si="4"/>
        <v>145.49492367587152</v>
      </c>
      <c r="H61">
        <f t="shared" si="5"/>
        <v>251.67459683114538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5565.0700000000006</v>
      </c>
      <c r="D62" s="39">
        <f t="shared" si="6"/>
        <v>8.5265128291212022E-14</v>
      </c>
      <c r="E62" s="39">
        <f t="shared" si="6"/>
        <v>-5.1159076974727213E-13</v>
      </c>
      <c r="F62" s="39">
        <f t="shared" si="6"/>
        <v>3324.5462744680863</v>
      </c>
      <c r="G62" s="39">
        <f t="shared" si="6"/>
        <v>6935.6081872340428</v>
      </c>
      <c r="H62" s="39">
        <f t="shared" si="6"/>
        <v>8096.6683489361694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118.40574468085107</v>
      </c>
    </row>
    <row r="65" spans="1:2" ht="18" x14ac:dyDescent="0.35">
      <c r="A65" t="s">
        <v>168</v>
      </c>
      <c r="B65" s="39">
        <f>SUM(B15:B61)/47</f>
        <v>123.99787234042553</v>
      </c>
    </row>
    <row r="66" spans="1:2" ht="18" x14ac:dyDescent="0.35">
      <c r="A66" t="s">
        <v>169</v>
      </c>
      <c r="B66">
        <f>SUM(C15:C61)/47</f>
        <v>118.40574468085107</v>
      </c>
    </row>
    <row r="68" spans="1:2" ht="18" x14ac:dyDescent="0.35">
      <c r="A68" t="s">
        <v>170</v>
      </c>
      <c r="B68">
        <f>F62/SQRT(G62*H62)</f>
        <v>0.44364636942936164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49" workbookViewId="0">
      <selection activeCell="G66" sqref="G66"/>
    </sheetView>
  </sheetViews>
  <sheetFormatPr defaultRowHeight="15" x14ac:dyDescent="0.25"/>
  <cols>
    <col min="6" max="6" width="18.140625" customWidth="1"/>
  </cols>
  <sheetData>
    <row r="2" spans="1:8" x14ac:dyDescent="0.25">
      <c r="A2" s="34">
        <v>1</v>
      </c>
      <c r="B2" s="34">
        <v>2</v>
      </c>
      <c r="C2" s="34">
        <v>3</v>
      </c>
      <c r="D2" s="34">
        <v>4</v>
      </c>
      <c r="E2" s="34">
        <v>5</v>
      </c>
      <c r="F2" s="34">
        <v>6</v>
      </c>
      <c r="G2" s="34">
        <v>7</v>
      </c>
      <c r="H2" s="34">
        <v>8</v>
      </c>
    </row>
    <row r="3" spans="1:8" ht="18" x14ac:dyDescent="0.25">
      <c r="A3" s="35" t="s">
        <v>67</v>
      </c>
      <c r="B3" s="35" t="s">
        <v>68</v>
      </c>
      <c r="C3" s="36" t="s">
        <v>171</v>
      </c>
      <c r="D3" s="36" t="s">
        <v>172</v>
      </c>
      <c r="E3" s="36" t="s">
        <v>173</v>
      </c>
      <c r="F3" s="37" t="s">
        <v>174</v>
      </c>
      <c r="G3" s="36" t="s">
        <v>175</v>
      </c>
      <c r="H3" s="36" t="s">
        <v>176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39">
        <f>B4</f>
        <v>102.32</v>
      </c>
      <c r="D16" s="39">
        <f>B16-$B$65</f>
        <v>-8.2643478260869614</v>
      </c>
      <c r="E16" s="39">
        <f>C16-$B$66</f>
        <v>-15.740869565217409</v>
      </c>
      <c r="F16">
        <f>D16*E16</f>
        <v>130.08802117202291</v>
      </c>
      <c r="G16">
        <f>D16*D16</f>
        <v>68.299444990548281</v>
      </c>
      <c r="H16">
        <f>E16*E16</f>
        <v>247.77497466918769</v>
      </c>
    </row>
    <row r="17" spans="1:8" x14ac:dyDescent="0.25">
      <c r="A17">
        <v>14</v>
      </c>
      <c r="B17" s="6">
        <v>113.35</v>
      </c>
      <c r="C17" s="39">
        <f t="shared" ref="C17:C61" si="0">B5</f>
        <v>102.21</v>
      </c>
      <c r="D17" s="39">
        <f t="shared" ref="D17:D61" si="1">B17-$B$65</f>
        <v>-10.794347826086963</v>
      </c>
      <c r="E17" s="39">
        <f t="shared" ref="E17:E61" si="2">C17-$B$66</f>
        <v>-15.850869565217408</v>
      </c>
      <c r="F17">
        <f t="shared" ref="F17:F61" si="3">D17*E17</f>
        <v>171.09979943289252</v>
      </c>
      <c r="G17">
        <f t="shared" ref="G17:G61" si="4">D17*D17</f>
        <v>116.51794499054833</v>
      </c>
      <c r="H17">
        <f t="shared" ref="H17:H61" si="5">E17*E17</f>
        <v>251.2500659735355</v>
      </c>
    </row>
    <row r="18" spans="1:8" x14ac:dyDescent="0.25">
      <c r="A18">
        <v>15</v>
      </c>
      <c r="B18" s="6">
        <v>111.39</v>
      </c>
      <c r="C18" s="39">
        <f t="shared" si="0"/>
        <v>102.16</v>
      </c>
      <c r="D18" s="39">
        <f t="shared" si="1"/>
        <v>-12.754347826086956</v>
      </c>
      <c r="E18" s="39">
        <f t="shared" si="2"/>
        <v>-15.900869565217405</v>
      </c>
      <c r="F18">
        <f t="shared" si="3"/>
        <v>202.80522117202287</v>
      </c>
      <c r="G18">
        <f t="shared" si="4"/>
        <v>162.67338846880907</v>
      </c>
      <c r="H18">
        <f t="shared" si="5"/>
        <v>252.83765293005717</v>
      </c>
    </row>
    <row r="19" spans="1:8" x14ac:dyDescent="0.25">
      <c r="A19">
        <v>16</v>
      </c>
      <c r="B19" s="6">
        <v>109.76</v>
      </c>
      <c r="C19" s="39">
        <f t="shared" si="0"/>
        <v>102.06</v>
      </c>
      <c r="D19" s="39">
        <f t="shared" si="1"/>
        <v>-14.384347826086952</v>
      </c>
      <c r="E19" s="39">
        <f t="shared" si="2"/>
        <v>-16.0008695652174</v>
      </c>
      <c r="F19">
        <f t="shared" si="3"/>
        <v>230.16207334593577</v>
      </c>
      <c r="G19">
        <f t="shared" si="4"/>
        <v>206.90946238185242</v>
      </c>
      <c r="H19">
        <f t="shared" si="5"/>
        <v>256.02782684310046</v>
      </c>
    </row>
    <row r="20" spans="1:8" x14ac:dyDescent="0.25">
      <c r="A20">
        <v>17</v>
      </c>
      <c r="B20" s="6">
        <v>109.5</v>
      </c>
      <c r="C20" s="39">
        <f t="shared" si="0"/>
        <v>102.55</v>
      </c>
      <c r="D20" s="39">
        <f t="shared" si="1"/>
        <v>-14.644347826086957</v>
      </c>
      <c r="E20" s="39">
        <f t="shared" si="2"/>
        <v>-15.510869565217405</v>
      </c>
      <c r="F20">
        <f t="shared" si="3"/>
        <v>227.14656899810984</v>
      </c>
      <c r="G20">
        <f t="shared" si="4"/>
        <v>214.45692325141778</v>
      </c>
      <c r="H20">
        <f t="shared" si="5"/>
        <v>240.58707466918756</v>
      </c>
    </row>
    <row r="21" spans="1:8" x14ac:dyDescent="0.25">
      <c r="A21">
        <v>18</v>
      </c>
      <c r="B21" s="6">
        <v>108.86</v>
      </c>
      <c r="C21" s="39">
        <f t="shared" si="0"/>
        <v>104.35</v>
      </c>
      <c r="D21" s="39">
        <f t="shared" si="1"/>
        <v>-15.284347826086957</v>
      </c>
      <c r="E21" s="39">
        <f t="shared" si="2"/>
        <v>-13.710869565217408</v>
      </c>
      <c r="F21">
        <f t="shared" si="3"/>
        <v>209.56169943289251</v>
      </c>
      <c r="G21">
        <f t="shared" si="4"/>
        <v>233.61128846880911</v>
      </c>
      <c r="H21">
        <f t="shared" si="5"/>
        <v>187.98794423440498</v>
      </c>
    </row>
    <row r="22" spans="1:8" x14ac:dyDescent="0.25">
      <c r="A22">
        <v>19</v>
      </c>
      <c r="B22" s="6">
        <v>108.49</v>
      </c>
      <c r="C22" s="39">
        <f t="shared" si="0"/>
        <v>107.57</v>
      </c>
      <c r="D22" s="39">
        <f t="shared" si="1"/>
        <v>-15.654347826086962</v>
      </c>
      <c r="E22" s="39">
        <f t="shared" si="2"/>
        <v>-10.490869565217409</v>
      </c>
      <c r="F22">
        <f t="shared" si="3"/>
        <v>164.22772117202302</v>
      </c>
      <c r="G22">
        <f t="shared" si="4"/>
        <v>245.0586058601136</v>
      </c>
      <c r="H22">
        <f t="shared" si="5"/>
        <v>110.0583442344049</v>
      </c>
    </row>
    <row r="23" spans="1:8" x14ac:dyDescent="0.25">
      <c r="A23">
        <v>20</v>
      </c>
      <c r="B23" s="6">
        <v>108.36</v>
      </c>
      <c r="C23" s="39">
        <f t="shared" si="0"/>
        <v>111.96</v>
      </c>
      <c r="D23" s="39">
        <f t="shared" si="1"/>
        <v>-15.784347826086957</v>
      </c>
      <c r="E23" s="39">
        <f t="shared" si="2"/>
        <v>-6.1008695652174083</v>
      </c>
      <c r="F23">
        <f t="shared" si="3"/>
        <v>96.298247258979487</v>
      </c>
      <c r="G23">
        <f t="shared" si="4"/>
        <v>249.14563629489606</v>
      </c>
      <c r="H23">
        <f t="shared" si="5"/>
        <v>37.220609451796051</v>
      </c>
    </row>
    <row r="24" spans="1:8" x14ac:dyDescent="0.25">
      <c r="A24">
        <v>21</v>
      </c>
      <c r="B24" s="6">
        <v>108.19</v>
      </c>
      <c r="C24" s="39">
        <f t="shared" si="0"/>
        <v>115.27</v>
      </c>
      <c r="D24" s="39">
        <f t="shared" si="1"/>
        <v>-15.954347826086959</v>
      </c>
      <c r="E24" s="39">
        <f t="shared" si="2"/>
        <v>-2.790869565217406</v>
      </c>
      <c r="F24">
        <f t="shared" si="3"/>
        <v>44.526503780718578</v>
      </c>
      <c r="G24">
        <f t="shared" si="4"/>
        <v>254.54121455576569</v>
      </c>
      <c r="H24">
        <f t="shared" si="5"/>
        <v>7.7889529300567926</v>
      </c>
    </row>
    <row r="25" spans="1:8" x14ac:dyDescent="0.25">
      <c r="A25">
        <v>22</v>
      </c>
      <c r="B25" s="6">
        <v>107.8</v>
      </c>
      <c r="C25" s="39">
        <f t="shared" si="0"/>
        <v>117.17</v>
      </c>
      <c r="D25" s="39">
        <f t="shared" si="1"/>
        <v>-16.34434782608696</v>
      </c>
      <c r="E25" s="39">
        <f t="shared" si="2"/>
        <v>-0.89086956521740035</v>
      </c>
      <c r="F25">
        <f t="shared" si="3"/>
        <v>14.560682041588052</v>
      </c>
      <c r="G25">
        <f t="shared" si="4"/>
        <v>267.1377058601135</v>
      </c>
      <c r="H25">
        <f t="shared" si="5"/>
        <v>0.79364858223063994</v>
      </c>
    </row>
    <row r="26" spans="1:8" x14ac:dyDescent="0.25">
      <c r="A26">
        <v>23</v>
      </c>
      <c r="B26" s="6">
        <v>107.47</v>
      </c>
      <c r="C26" s="39">
        <f t="shared" si="0"/>
        <v>117.61</v>
      </c>
      <c r="D26" s="39">
        <f t="shared" si="1"/>
        <v>-16.674347826086958</v>
      </c>
      <c r="E26" s="39">
        <f t="shared" si="2"/>
        <v>-0.45086956521740262</v>
      </c>
      <c r="F26">
        <f t="shared" si="3"/>
        <v>7.5179559546315691</v>
      </c>
      <c r="G26">
        <f t="shared" si="4"/>
        <v>278.03387542533085</v>
      </c>
      <c r="H26">
        <f t="shared" si="5"/>
        <v>0.20328336483932968</v>
      </c>
    </row>
    <row r="27" spans="1:8" x14ac:dyDescent="0.25">
      <c r="A27">
        <v>24</v>
      </c>
      <c r="B27" s="6">
        <v>107.03</v>
      </c>
      <c r="C27" s="39">
        <f t="shared" si="0"/>
        <v>117.26</v>
      </c>
      <c r="D27" s="39">
        <f t="shared" si="1"/>
        <v>-17.114347826086956</v>
      </c>
      <c r="E27" s="39">
        <f t="shared" si="2"/>
        <v>-0.80086956521739694</v>
      </c>
      <c r="F27">
        <f t="shared" si="3"/>
        <v>13.706360302457563</v>
      </c>
      <c r="G27">
        <f t="shared" si="4"/>
        <v>292.90090151228731</v>
      </c>
      <c r="H27">
        <f t="shared" si="5"/>
        <v>0.64139206049150244</v>
      </c>
    </row>
    <row r="28" spans="1:8" x14ac:dyDescent="0.25">
      <c r="A28">
        <v>25</v>
      </c>
      <c r="B28" s="6">
        <v>106.61</v>
      </c>
      <c r="C28" s="39">
        <f t="shared" si="0"/>
        <v>115.88</v>
      </c>
      <c r="D28" s="39">
        <f t="shared" si="1"/>
        <v>-17.534347826086957</v>
      </c>
      <c r="E28" s="39">
        <f t="shared" si="2"/>
        <v>-2.1808695652174066</v>
      </c>
      <c r="F28">
        <f t="shared" si="3"/>
        <v>38.240125519849045</v>
      </c>
      <c r="G28">
        <f t="shared" si="4"/>
        <v>307.45335368620039</v>
      </c>
      <c r="H28">
        <f t="shared" si="5"/>
        <v>4.7561920604915597</v>
      </c>
    </row>
    <row r="29" spans="1:8" x14ac:dyDescent="0.25">
      <c r="A29">
        <v>26</v>
      </c>
      <c r="B29" s="6">
        <v>106.57</v>
      </c>
      <c r="C29" s="39">
        <f t="shared" si="0"/>
        <v>113.35</v>
      </c>
      <c r="D29" s="39">
        <f t="shared" si="1"/>
        <v>-17.574347826086964</v>
      </c>
      <c r="E29" s="39">
        <f t="shared" si="2"/>
        <v>-4.7108695652174077</v>
      </c>
      <c r="F29">
        <f t="shared" si="3"/>
        <v>82.790460302457788</v>
      </c>
      <c r="G29">
        <f t="shared" si="4"/>
        <v>308.85770151228758</v>
      </c>
      <c r="H29">
        <f t="shared" si="5"/>
        <v>22.192292060491649</v>
      </c>
    </row>
    <row r="30" spans="1:8" x14ac:dyDescent="0.25">
      <c r="A30">
        <v>27</v>
      </c>
      <c r="B30" s="6">
        <v>106.49</v>
      </c>
      <c r="C30" s="39">
        <f t="shared" si="0"/>
        <v>111.39</v>
      </c>
      <c r="D30" s="39">
        <f t="shared" si="1"/>
        <v>-17.654347826086962</v>
      </c>
      <c r="E30" s="39">
        <f t="shared" si="2"/>
        <v>-6.6708695652174015</v>
      </c>
      <c r="F30">
        <f t="shared" si="3"/>
        <v>117.7698516068055</v>
      </c>
      <c r="G30">
        <f t="shared" si="4"/>
        <v>311.67599716446142</v>
      </c>
      <c r="H30">
        <f t="shared" si="5"/>
        <v>44.500500756143801</v>
      </c>
    </row>
    <row r="31" spans="1:8" x14ac:dyDescent="0.25">
      <c r="A31">
        <v>28</v>
      </c>
      <c r="B31" s="6">
        <v>107.04</v>
      </c>
      <c r="C31" s="39">
        <f t="shared" si="0"/>
        <v>109.76</v>
      </c>
      <c r="D31" s="39">
        <f t="shared" si="1"/>
        <v>-17.104347826086951</v>
      </c>
      <c r="E31" s="39">
        <f t="shared" si="2"/>
        <v>-8.3008695652173969</v>
      </c>
      <c r="F31">
        <f t="shared" si="3"/>
        <v>141.9809603024575</v>
      </c>
      <c r="G31">
        <f t="shared" si="4"/>
        <v>292.55871455576539</v>
      </c>
      <c r="H31">
        <f t="shared" si="5"/>
        <v>68.904435538752452</v>
      </c>
    </row>
    <row r="32" spans="1:8" x14ac:dyDescent="0.25">
      <c r="A32">
        <v>29</v>
      </c>
      <c r="B32" s="6">
        <v>111.35</v>
      </c>
      <c r="C32" s="39">
        <f t="shared" si="0"/>
        <v>109.5</v>
      </c>
      <c r="D32" s="39">
        <f t="shared" si="1"/>
        <v>-12.794347826086963</v>
      </c>
      <c r="E32" s="39">
        <f t="shared" si="2"/>
        <v>-8.5608695652174021</v>
      </c>
      <c r="F32">
        <f t="shared" si="3"/>
        <v>109.53074291115331</v>
      </c>
      <c r="G32">
        <f t="shared" si="4"/>
        <v>163.69533629489618</v>
      </c>
      <c r="H32">
        <f t="shared" si="5"/>
        <v>73.288487712665585</v>
      </c>
    </row>
    <row r="33" spans="1:8" x14ac:dyDescent="0.25">
      <c r="A33">
        <v>30</v>
      </c>
      <c r="B33" s="6">
        <v>117.54</v>
      </c>
      <c r="C33" s="39">
        <f t="shared" si="0"/>
        <v>108.86</v>
      </c>
      <c r="D33" s="39">
        <f t="shared" si="1"/>
        <v>-6.6043478260869506</v>
      </c>
      <c r="E33" s="39">
        <f t="shared" si="2"/>
        <v>-9.2008695652174026</v>
      </c>
      <c r="F33">
        <f t="shared" si="3"/>
        <v>60.76574291115314</v>
      </c>
      <c r="G33">
        <f t="shared" si="4"/>
        <v>43.617410207939429</v>
      </c>
      <c r="H33">
        <f t="shared" si="5"/>
        <v>84.656000756143882</v>
      </c>
    </row>
    <row r="34" spans="1:8" x14ac:dyDescent="0.25">
      <c r="A34">
        <v>31</v>
      </c>
      <c r="B34" s="6">
        <v>122.58</v>
      </c>
      <c r="C34" s="39">
        <f t="shared" si="0"/>
        <v>108.49</v>
      </c>
      <c r="D34" s="39">
        <f t="shared" si="1"/>
        <v>-1.5643478260869585</v>
      </c>
      <c r="E34" s="39">
        <f t="shared" si="2"/>
        <v>-9.5708695652174072</v>
      </c>
      <c r="F34">
        <f t="shared" si="3"/>
        <v>14.972168998109685</v>
      </c>
      <c r="G34">
        <f t="shared" si="4"/>
        <v>2.447184120982993</v>
      </c>
      <c r="H34">
        <f t="shared" si="5"/>
        <v>91.601544234404841</v>
      </c>
    </row>
    <row r="35" spans="1:8" x14ac:dyDescent="0.25">
      <c r="A35">
        <v>32</v>
      </c>
      <c r="B35" s="6">
        <v>128.16</v>
      </c>
      <c r="C35" s="39">
        <f t="shared" si="0"/>
        <v>108.36</v>
      </c>
      <c r="D35" s="39">
        <f t="shared" si="1"/>
        <v>4.0156521739130397</v>
      </c>
      <c r="E35" s="39">
        <f t="shared" si="2"/>
        <v>-9.7008695652174026</v>
      </c>
      <c r="F35">
        <f t="shared" si="3"/>
        <v>-38.95531795841211</v>
      </c>
      <c r="G35">
        <f t="shared" si="4"/>
        <v>16.125462381852522</v>
      </c>
      <c r="H35">
        <f t="shared" si="5"/>
        <v>94.106870321361285</v>
      </c>
    </row>
    <row r="36" spans="1:8" x14ac:dyDescent="0.25">
      <c r="A36">
        <v>33</v>
      </c>
      <c r="B36" s="6">
        <v>132.86000000000001</v>
      </c>
      <c r="C36" s="39">
        <f t="shared" si="0"/>
        <v>108.19</v>
      </c>
      <c r="D36" s="39">
        <f t="shared" si="1"/>
        <v>8.7156521739130568</v>
      </c>
      <c r="E36" s="39">
        <f t="shared" si="2"/>
        <v>-9.8708695652174043</v>
      </c>
      <c r="F36">
        <f t="shared" si="3"/>
        <v>-86.031065784499305</v>
      </c>
      <c r="G36">
        <f t="shared" si="4"/>
        <v>75.962592816635393</v>
      </c>
      <c r="H36">
        <f t="shared" si="5"/>
        <v>97.434065973535226</v>
      </c>
    </row>
    <row r="37" spans="1:8" x14ac:dyDescent="0.25">
      <c r="A37">
        <v>34</v>
      </c>
      <c r="B37" s="6">
        <v>134.91999999999999</v>
      </c>
      <c r="C37" s="39">
        <f t="shared" si="0"/>
        <v>107.8</v>
      </c>
      <c r="D37" s="39">
        <f t="shared" si="1"/>
        <v>10.775652173913031</v>
      </c>
      <c r="E37" s="39">
        <f t="shared" si="2"/>
        <v>-10.260869565217405</v>
      </c>
      <c r="F37">
        <f t="shared" si="3"/>
        <v>-110.56756143667299</v>
      </c>
      <c r="G37">
        <f t="shared" si="4"/>
        <v>116.11467977315662</v>
      </c>
      <c r="H37">
        <f t="shared" si="5"/>
        <v>105.28544423440482</v>
      </c>
    </row>
    <row r="38" spans="1:8" x14ac:dyDescent="0.25">
      <c r="A38">
        <v>35</v>
      </c>
      <c r="B38" s="6">
        <v>135.69999999999999</v>
      </c>
      <c r="C38" s="39">
        <f t="shared" si="0"/>
        <v>107.47</v>
      </c>
      <c r="D38" s="39">
        <f t="shared" si="1"/>
        <v>11.555652173913032</v>
      </c>
      <c r="E38" s="39">
        <f t="shared" si="2"/>
        <v>-10.590869565217403</v>
      </c>
      <c r="F38">
        <f t="shared" si="3"/>
        <v>-122.38440491493385</v>
      </c>
      <c r="G38">
        <f t="shared" si="4"/>
        <v>133.53309716446097</v>
      </c>
      <c r="H38">
        <f t="shared" si="5"/>
        <v>112.16651814744827</v>
      </c>
    </row>
    <row r="39" spans="1:8" x14ac:dyDescent="0.25">
      <c r="A39">
        <v>36</v>
      </c>
      <c r="B39" s="6">
        <v>136.13999999999999</v>
      </c>
      <c r="C39" s="39">
        <f t="shared" si="0"/>
        <v>107.03</v>
      </c>
      <c r="D39" s="39">
        <f t="shared" si="1"/>
        <v>11.99565217391303</v>
      </c>
      <c r="E39" s="39">
        <f t="shared" si="2"/>
        <v>-11.030869565217401</v>
      </c>
      <c r="F39">
        <f t="shared" si="3"/>
        <v>-132.32247448015119</v>
      </c>
      <c r="G39">
        <f t="shared" si="4"/>
        <v>143.8956710775044</v>
      </c>
      <c r="H39">
        <f t="shared" si="5"/>
        <v>121.68008336483953</v>
      </c>
    </row>
    <row r="40" spans="1:8" x14ac:dyDescent="0.25">
      <c r="A40">
        <v>37</v>
      </c>
      <c r="B40" s="6">
        <v>140.15</v>
      </c>
      <c r="C40" s="39">
        <f t="shared" si="0"/>
        <v>106.61</v>
      </c>
      <c r="D40" s="39">
        <f t="shared" si="1"/>
        <v>16.005652173913049</v>
      </c>
      <c r="E40" s="39">
        <f t="shared" si="2"/>
        <v>-11.450869565217403</v>
      </c>
      <c r="F40">
        <f t="shared" si="3"/>
        <v>-183.27863534971669</v>
      </c>
      <c r="G40">
        <f t="shared" si="4"/>
        <v>256.18090151228751</v>
      </c>
      <c r="H40">
        <f t="shared" si="5"/>
        <v>131.12241379962219</v>
      </c>
    </row>
    <row r="41" spans="1:8" x14ac:dyDescent="0.25">
      <c r="A41">
        <v>38</v>
      </c>
      <c r="B41" s="6">
        <v>140.09</v>
      </c>
      <c r="C41" s="39">
        <f t="shared" si="0"/>
        <v>106.57</v>
      </c>
      <c r="D41" s="39">
        <f t="shared" si="1"/>
        <v>15.945652173913047</v>
      </c>
      <c r="E41" s="39">
        <f t="shared" si="2"/>
        <v>-11.490869565217409</v>
      </c>
      <c r="F41">
        <f t="shared" si="3"/>
        <v>-183.22940926276024</v>
      </c>
      <c r="G41">
        <f t="shared" si="4"/>
        <v>254.26382325141788</v>
      </c>
      <c r="H41">
        <f t="shared" si="5"/>
        <v>132.04008336483972</v>
      </c>
    </row>
    <row r="42" spans="1:8" x14ac:dyDescent="0.25">
      <c r="A42">
        <v>39</v>
      </c>
      <c r="B42" s="6">
        <v>139.1</v>
      </c>
      <c r="C42" s="39">
        <f t="shared" si="0"/>
        <v>106.49</v>
      </c>
      <c r="D42" s="39">
        <f t="shared" si="1"/>
        <v>14.955652173913037</v>
      </c>
      <c r="E42" s="39">
        <f t="shared" si="2"/>
        <v>-11.570869565217407</v>
      </c>
      <c r="F42">
        <f t="shared" si="3"/>
        <v>-173.04990056710793</v>
      </c>
      <c r="G42">
        <f t="shared" si="4"/>
        <v>223.67153194706975</v>
      </c>
      <c r="H42">
        <f t="shared" si="5"/>
        <v>133.88502249527446</v>
      </c>
    </row>
    <row r="43" spans="1:8" x14ac:dyDescent="0.25">
      <c r="A43">
        <v>40</v>
      </c>
      <c r="B43" s="6">
        <v>137.5</v>
      </c>
      <c r="C43" s="39">
        <f t="shared" si="0"/>
        <v>107.04</v>
      </c>
      <c r="D43" s="39">
        <f t="shared" si="1"/>
        <v>13.355652173913043</v>
      </c>
      <c r="E43" s="39">
        <f t="shared" si="2"/>
        <v>-11.020869565217396</v>
      </c>
      <c r="F43">
        <f t="shared" si="3"/>
        <v>-147.1909005671078</v>
      </c>
      <c r="G43">
        <f t="shared" si="4"/>
        <v>178.37344499054819</v>
      </c>
      <c r="H43">
        <f t="shared" si="5"/>
        <v>121.45956597353508</v>
      </c>
    </row>
    <row r="44" spans="1:8" x14ac:dyDescent="0.25">
      <c r="A44">
        <v>41</v>
      </c>
      <c r="B44" s="6">
        <v>136.12</v>
      </c>
      <c r="C44" s="39">
        <f t="shared" si="0"/>
        <v>111.35</v>
      </c>
      <c r="D44" s="39">
        <f t="shared" si="1"/>
        <v>11.975652173913048</v>
      </c>
      <c r="E44" s="39">
        <f t="shared" si="2"/>
        <v>-6.7108695652174077</v>
      </c>
      <c r="F44">
        <f t="shared" si="3"/>
        <v>-80.367039697542765</v>
      </c>
      <c r="G44">
        <f t="shared" si="4"/>
        <v>143.41624499054831</v>
      </c>
      <c r="H44">
        <f t="shared" si="5"/>
        <v>45.035770321361277</v>
      </c>
    </row>
    <row r="45" spans="1:8" x14ac:dyDescent="0.25">
      <c r="A45">
        <v>42</v>
      </c>
      <c r="B45" s="6">
        <v>135.22</v>
      </c>
      <c r="C45" s="39">
        <f t="shared" si="0"/>
        <v>117.54</v>
      </c>
      <c r="D45" s="39">
        <f t="shared" si="1"/>
        <v>11.075652173913042</v>
      </c>
      <c r="E45" s="39">
        <f t="shared" si="2"/>
        <v>-0.5208695652173958</v>
      </c>
      <c r="F45">
        <f t="shared" si="3"/>
        <v>-5.7689701323251912</v>
      </c>
      <c r="G45">
        <f t="shared" si="4"/>
        <v>122.67007107750469</v>
      </c>
      <c r="H45">
        <f t="shared" si="5"/>
        <v>0.27130510396975893</v>
      </c>
    </row>
    <row r="46" spans="1:8" x14ac:dyDescent="0.25">
      <c r="A46">
        <v>43</v>
      </c>
      <c r="B46" s="6">
        <v>134.72999999999999</v>
      </c>
      <c r="C46" s="39">
        <f t="shared" si="0"/>
        <v>122.58</v>
      </c>
      <c r="D46" s="39">
        <f t="shared" si="1"/>
        <v>10.585652173913033</v>
      </c>
      <c r="E46" s="39">
        <f t="shared" si="2"/>
        <v>4.5191304347825962</v>
      </c>
      <c r="F46">
        <f t="shared" si="3"/>
        <v>47.837942911152936</v>
      </c>
      <c r="G46">
        <f t="shared" si="4"/>
        <v>112.05603194706973</v>
      </c>
      <c r="H46">
        <f t="shared" si="5"/>
        <v>20.422539886578338</v>
      </c>
    </row>
    <row r="47" spans="1:8" x14ac:dyDescent="0.25">
      <c r="A47">
        <v>44</v>
      </c>
      <c r="B47" s="6">
        <v>134.38999999999999</v>
      </c>
      <c r="C47" s="39">
        <f t="shared" si="0"/>
        <v>128.16</v>
      </c>
      <c r="D47" s="39">
        <f t="shared" si="1"/>
        <v>10.24565217391303</v>
      </c>
      <c r="E47" s="39">
        <f t="shared" si="2"/>
        <v>10.099130434782595</v>
      </c>
      <c r="F47">
        <f t="shared" si="3"/>
        <v>103.47217769376152</v>
      </c>
      <c r="G47">
        <f t="shared" si="4"/>
        <v>104.97338846880879</v>
      </c>
      <c r="H47">
        <f t="shared" si="5"/>
        <v>101.99243553875208</v>
      </c>
    </row>
    <row r="48" spans="1:8" x14ac:dyDescent="0.25">
      <c r="A48">
        <v>45</v>
      </c>
      <c r="B48" s="6">
        <v>134.51</v>
      </c>
      <c r="C48" s="39">
        <f t="shared" si="0"/>
        <v>132.86000000000001</v>
      </c>
      <c r="D48" s="39">
        <f t="shared" si="1"/>
        <v>10.365652173913034</v>
      </c>
      <c r="E48" s="39">
        <f t="shared" si="2"/>
        <v>14.799130434782612</v>
      </c>
      <c r="F48">
        <f t="shared" si="3"/>
        <v>153.40263856332692</v>
      </c>
      <c r="G48">
        <f t="shared" si="4"/>
        <v>107.44674499054801</v>
      </c>
      <c r="H48">
        <f t="shared" si="5"/>
        <v>219.01426162570897</v>
      </c>
    </row>
    <row r="49" spans="1:8" x14ac:dyDescent="0.25">
      <c r="A49">
        <v>46</v>
      </c>
      <c r="B49" s="6">
        <v>134.46</v>
      </c>
      <c r="C49" s="39">
        <f t="shared" si="0"/>
        <v>134.91999999999999</v>
      </c>
      <c r="D49" s="39">
        <f t="shared" si="1"/>
        <v>10.315652173913051</v>
      </c>
      <c r="E49" s="39">
        <f t="shared" si="2"/>
        <v>16.859130434782585</v>
      </c>
      <c r="F49">
        <f t="shared" si="3"/>
        <v>173.91292551984867</v>
      </c>
      <c r="G49">
        <f t="shared" si="4"/>
        <v>106.41267977315705</v>
      </c>
      <c r="H49">
        <f t="shared" si="5"/>
        <v>284.23027901701244</v>
      </c>
    </row>
    <row r="50" spans="1:8" x14ac:dyDescent="0.25">
      <c r="A50">
        <v>47</v>
      </c>
      <c r="B50" s="6">
        <v>134.27000000000001</v>
      </c>
      <c r="C50" s="39">
        <f t="shared" si="0"/>
        <v>135.69999999999999</v>
      </c>
      <c r="D50" s="39">
        <f t="shared" si="1"/>
        <v>10.125652173913053</v>
      </c>
      <c r="E50" s="39">
        <f t="shared" si="2"/>
        <v>17.639130434782587</v>
      </c>
      <c r="F50">
        <f t="shared" si="3"/>
        <v>178.60769943289219</v>
      </c>
      <c r="G50">
        <f t="shared" si="4"/>
        <v>102.52883194707015</v>
      </c>
      <c r="H50">
        <f t="shared" si="5"/>
        <v>311.13892249527333</v>
      </c>
    </row>
    <row r="51" spans="1:8" x14ac:dyDescent="0.25">
      <c r="A51">
        <v>48</v>
      </c>
      <c r="B51" s="6">
        <v>133.72999999999999</v>
      </c>
      <c r="C51" s="39">
        <f t="shared" si="0"/>
        <v>136.13999999999999</v>
      </c>
      <c r="D51" s="39">
        <f t="shared" si="1"/>
        <v>9.5856521739130329</v>
      </c>
      <c r="E51" s="39">
        <f t="shared" si="2"/>
        <v>18.079130434782584</v>
      </c>
      <c r="F51">
        <f t="shared" si="3"/>
        <v>173.30025595463096</v>
      </c>
      <c r="G51">
        <f t="shared" si="4"/>
        <v>91.884727599243661</v>
      </c>
      <c r="H51">
        <f t="shared" si="5"/>
        <v>326.85495727788191</v>
      </c>
    </row>
    <row r="52" spans="1:8" x14ac:dyDescent="0.25">
      <c r="A52">
        <v>49</v>
      </c>
      <c r="B52" s="6">
        <v>132.01</v>
      </c>
      <c r="C52" s="39">
        <f t="shared" si="0"/>
        <v>140.15</v>
      </c>
      <c r="D52" s="39">
        <f t="shared" si="1"/>
        <v>7.8656521739130341</v>
      </c>
      <c r="E52" s="39">
        <f t="shared" si="2"/>
        <v>22.089130434782604</v>
      </c>
      <c r="F52">
        <f t="shared" si="3"/>
        <v>173.74541682419635</v>
      </c>
      <c r="G52">
        <f t="shared" si="4"/>
        <v>61.868484120982842</v>
      </c>
      <c r="H52">
        <f t="shared" si="5"/>
        <v>487.92968336483909</v>
      </c>
    </row>
    <row r="53" spans="1:8" x14ac:dyDescent="0.25">
      <c r="A53">
        <v>50</v>
      </c>
      <c r="B53" s="6">
        <v>130.59</v>
      </c>
      <c r="C53" s="39">
        <f t="shared" si="0"/>
        <v>140.09</v>
      </c>
      <c r="D53" s="39">
        <f t="shared" si="1"/>
        <v>6.4456521739130466</v>
      </c>
      <c r="E53" s="39">
        <f t="shared" si="2"/>
        <v>22.029130434782601</v>
      </c>
      <c r="F53">
        <f t="shared" si="3"/>
        <v>141.99211247637052</v>
      </c>
      <c r="G53">
        <f t="shared" si="4"/>
        <v>41.546431947069983</v>
      </c>
      <c r="H53">
        <f t="shared" si="5"/>
        <v>485.28258771266508</v>
      </c>
    </row>
    <row r="54" spans="1:8" x14ac:dyDescent="0.25">
      <c r="A54">
        <v>51</v>
      </c>
      <c r="B54" s="6">
        <v>130.28</v>
      </c>
      <c r="C54" s="39">
        <f t="shared" si="0"/>
        <v>139.1</v>
      </c>
      <c r="D54" s="39">
        <f t="shared" si="1"/>
        <v>6.1356521739130443</v>
      </c>
      <c r="E54" s="39">
        <f t="shared" si="2"/>
        <v>21.039130434782592</v>
      </c>
      <c r="F54">
        <f t="shared" si="3"/>
        <v>129.08878638941391</v>
      </c>
      <c r="G54">
        <f t="shared" si="4"/>
        <v>37.646227599243865</v>
      </c>
      <c r="H54">
        <f t="shared" si="5"/>
        <v>442.64500945179515</v>
      </c>
    </row>
    <row r="55" spans="1:8" x14ac:dyDescent="0.25">
      <c r="A55">
        <v>52</v>
      </c>
      <c r="B55" s="6">
        <v>129.16</v>
      </c>
      <c r="C55" s="39">
        <f t="shared" si="0"/>
        <v>137.5</v>
      </c>
      <c r="D55" s="39">
        <f t="shared" si="1"/>
        <v>5.0156521739130397</v>
      </c>
      <c r="E55" s="39">
        <f t="shared" si="2"/>
        <v>19.439130434782598</v>
      </c>
      <c r="F55">
        <f t="shared" si="3"/>
        <v>97.499916824196475</v>
      </c>
      <c r="G55">
        <f t="shared" si="4"/>
        <v>25.156766729678601</v>
      </c>
      <c r="H55">
        <f t="shared" si="5"/>
        <v>377.87979206049107</v>
      </c>
    </row>
    <row r="56" spans="1:8" x14ac:dyDescent="0.25">
      <c r="A56">
        <v>53</v>
      </c>
      <c r="B56" s="6">
        <v>128.94</v>
      </c>
      <c r="C56" s="39">
        <f t="shared" si="0"/>
        <v>136.12</v>
      </c>
      <c r="D56" s="39">
        <f t="shared" si="1"/>
        <v>4.7956521739130409</v>
      </c>
      <c r="E56" s="39">
        <f t="shared" si="2"/>
        <v>18.059130434782602</v>
      </c>
      <c r="F56">
        <f t="shared" si="3"/>
        <v>86.605308128544351</v>
      </c>
      <c r="G56">
        <f t="shared" si="4"/>
        <v>22.998279773156874</v>
      </c>
      <c r="H56">
        <f t="shared" si="5"/>
        <v>326.13219206049126</v>
      </c>
    </row>
    <row r="57" spans="1:8" x14ac:dyDescent="0.25">
      <c r="A57">
        <v>54</v>
      </c>
      <c r="B57" s="6">
        <v>129.30000000000001</v>
      </c>
      <c r="C57" s="39">
        <f t="shared" si="0"/>
        <v>135.22</v>
      </c>
      <c r="D57" s="39">
        <f t="shared" si="1"/>
        <v>5.1556521739130545</v>
      </c>
      <c r="E57" s="39">
        <f t="shared" si="2"/>
        <v>17.159130434782597</v>
      </c>
      <c r="F57">
        <f t="shared" si="3"/>
        <v>88.466508128544547</v>
      </c>
      <c r="G57">
        <f t="shared" si="4"/>
        <v>26.580749338374407</v>
      </c>
      <c r="H57">
        <f t="shared" si="5"/>
        <v>294.43575727788237</v>
      </c>
    </row>
    <row r="58" spans="1:8" x14ac:dyDescent="0.25">
      <c r="A58">
        <v>55</v>
      </c>
      <c r="B58" s="6">
        <v>131.22</v>
      </c>
      <c r="C58" s="39">
        <f t="shared" si="0"/>
        <v>134.72999999999999</v>
      </c>
      <c r="D58" s="39">
        <f t="shared" si="1"/>
        <v>7.075652173913042</v>
      </c>
      <c r="E58" s="39">
        <f t="shared" si="2"/>
        <v>16.669130434782588</v>
      </c>
      <c r="F58">
        <f t="shared" si="3"/>
        <v>117.94496899810947</v>
      </c>
      <c r="G58">
        <f t="shared" si="4"/>
        <v>50.064853686200358</v>
      </c>
      <c r="H58">
        <f t="shared" si="5"/>
        <v>277.85990945179515</v>
      </c>
    </row>
    <row r="59" spans="1:8" x14ac:dyDescent="0.25">
      <c r="A59">
        <v>56</v>
      </c>
      <c r="B59" s="6">
        <v>132.52000000000001</v>
      </c>
      <c r="C59" s="39">
        <f t="shared" si="0"/>
        <v>134.38999999999999</v>
      </c>
      <c r="D59" s="39">
        <f t="shared" si="1"/>
        <v>8.3756521739130534</v>
      </c>
      <c r="E59" s="39">
        <f t="shared" si="2"/>
        <v>16.329130434782584</v>
      </c>
      <c r="F59">
        <f t="shared" si="3"/>
        <v>136.76711682419656</v>
      </c>
      <c r="G59">
        <f t="shared" si="4"/>
        <v>70.151549338374451</v>
      </c>
      <c r="H59">
        <f t="shared" si="5"/>
        <v>266.6405007561429</v>
      </c>
    </row>
    <row r="60" spans="1:8" x14ac:dyDescent="0.25">
      <c r="A60">
        <v>57</v>
      </c>
      <c r="B60" s="6">
        <v>134.25</v>
      </c>
      <c r="C60" s="39">
        <f t="shared" si="0"/>
        <v>134.51</v>
      </c>
      <c r="D60" s="39">
        <f t="shared" si="1"/>
        <v>10.105652173913043</v>
      </c>
      <c r="E60" s="39">
        <f t="shared" si="2"/>
        <v>16.449130434782589</v>
      </c>
      <c r="F60">
        <f t="shared" si="3"/>
        <v>166.22919073723986</v>
      </c>
      <c r="G60">
        <f t="shared" si="4"/>
        <v>102.12420586011342</v>
      </c>
      <c r="H60">
        <f t="shared" si="5"/>
        <v>270.57389206049083</v>
      </c>
    </row>
    <row r="61" spans="1:8" x14ac:dyDescent="0.25">
      <c r="A61">
        <v>58</v>
      </c>
      <c r="B61" s="6">
        <v>136.06</v>
      </c>
      <c r="C61" s="39">
        <f t="shared" si="0"/>
        <v>134.46</v>
      </c>
      <c r="D61" s="39">
        <f t="shared" si="1"/>
        <v>11.915652173913045</v>
      </c>
      <c r="E61" s="39">
        <f t="shared" si="2"/>
        <v>16.399130434782606</v>
      </c>
      <c r="F61">
        <f t="shared" si="3"/>
        <v>195.40633421550095</v>
      </c>
      <c r="G61">
        <f t="shared" si="4"/>
        <v>141.98276672967867</v>
      </c>
      <c r="H61">
        <f t="shared" si="5"/>
        <v>268.93147901701315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5430.8</v>
      </c>
      <c r="D62" s="39">
        <f t="shared" si="6"/>
        <v>-2.8421709430404007E-14</v>
      </c>
      <c r="E62" s="39">
        <f t="shared" si="6"/>
        <v>-6.2527760746888816E-13</v>
      </c>
      <c r="F62" s="39">
        <f t="shared" si="6"/>
        <v>2978.8845260869566</v>
      </c>
      <c r="G62" s="39">
        <f t="shared" si="6"/>
        <v>6889.2223304347808</v>
      </c>
      <c r="H62" s="39">
        <f t="shared" si="6"/>
        <v>7839.5225652173895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118.0608695652174</v>
      </c>
    </row>
    <row r="65" spans="1:2" ht="18" x14ac:dyDescent="0.35">
      <c r="A65" t="s">
        <v>177</v>
      </c>
      <c r="B65" s="39">
        <f>SUM(B16:B61)/46</f>
        <v>124.14434782608696</v>
      </c>
    </row>
    <row r="66" spans="1:2" ht="18" x14ac:dyDescent="0.35">
      <c r="A66" t="s">
        <v>178</v>
      </c>
      <c r="B66">
        <f>SUM(C16:C61)/46</f>
        <v>118.0608695652174</v>
      </c>
    </row>
    <row r="68" spans="1:2" ht="18" x14ac:dyDescent="0.35">
      <c r="A68" t="s">
        <v>179</v>
      </c>
      <c r="B68">
        <f>F62/SQRT(G62*H62)</f>
        <v>0.40534401124404007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C72" sqref="C72"/>
    </sheetView>
  </sheetViews>
  <sheetFormatPr defaultRowHeight="15" x14ac:dyDescent="0.25"/>
  <cols>
    <col min="6" max="6" width="17.42578125" customWidth="1"/>
  </cols>
  <sheetData>
    <row r="2" spans="1:8" x14ac:dyDescent="0.25">
      <c r="A2" s="34">
        <v>1</v>
      </c>
      <c r="B2" s="34">
        <v>2</v>
      </c>
      <c r="C2" s="34">
        <v>3</v>
      </c>
      <c r="D2" s="34">
        <v>4</v>
      </c>
      <c r="E2" s="34">
        <v>5</v>
      </c>
      <c r="F2" s="34">
        <v>6</v>
      </c>
      <c r="G2" s="34">
        <v>7</v>
      </c>
      <c r="H2" s="34">
        <v>8</v>
      </c>
    </row>
    <row r="3" spans="1:8" ht="18" x14ac:dyDescent="0.35">
      <c r="A3" s="31" t="s">
        <v>67</v>
      </c>
      <c r="B3" s="31" t="s">
        <v>68</v>
      </c>
      <c r="C3" s="32" t="s">
        <v>183</v>
      </c>
      <c r="D3" s="32" t="s">
        <v>184</v>
      </c>
      <c r="E3" s="32" t="s">
        <v>185</v>
      </c>
      <c r="F3" s="33" t="s">
        <v>186</v>
      </c>
      <c r="G3" s="32" t="s">
        <v>187</v>
      </c>
      <c r="H3" s="32" t="s">
        <v>188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39">
        <f>B4</f>
        <v>102.32</v>
      </c>
      <c r="D17" s="39">
        <f>B17-$B$65</f>
        <v>-10.978000000000009</v>
      </c>
      <c r="E17" s="39">
        <f>C17-$B$66</f>
        <v>-15.376444444444459</v>
      </c>
      <c r="F17">
        <f>D17*E17</f>
        <v>168.8026071111114</v>
      </c>
      <c r="G17">
        <f>D17*D17</f>
        <v>120.51648400000019</v>
      </c>
      <c r="H17">
        <f>E17*E17</f>
        <v>236.43504375308689</v>
      </c>
    </row>
    <row r="18" spans="1:8" x14ac:dyDescent="0.25">
      <c r="A18">
        <v>15</v>
      </c>
      <c r="B18" s="6">
        <v>111.39</v>
      </c>
      <c r="C18" s="39">
        <f t="shared" ref="C18:C61" si="0">B5</f>
        <v>102.21</v>
      </c>
      <c r="D18" s="39">
        <f t="shared" ref="D18:D61" si="1">B18-$B$65</f>
        <v>-12.938000000000002</v>
      </c>
      <c r="E18" s="39">
        <f t="shared" ref="E18:E61" si="2">C18-$B$66</f>
        <v>-15.486444444444459</v>
      </c>
      <c r="F18">
        <f t="shared" ref="F18:F61" si="3">D18*E18</f>
        <v>200.36361822222244</v>
      </c>
      <c r="G18">
        <f t="shared" ref="G18:G61" si="4">D18*D18</f>
        <v>167.39184400000005</v>
      </c>
      <c r="H18">
        <f t="shared" ref="H18:H61" si="5">E18*E18</f>
        <v>239.82996153086464</v>
      </c>
    </row>
    <row r="19" spans="1:8" x14ac:dyDescent="0.25">
      <c r="A19">
        <v>16</v>
      </c>
      <c r="B19" s="6">
        <v>109.76</v>
      </c>
      <c r="C19" s="39">
        <f t="shared" si="0"/>
        <v>102.16</v>
      </c>
      <c r="D19" s="39">
        <f t="shared" si="1"/>
        <v>-14.567999999999998</v>
      </c>
      <c r="E19" s="39">
        <f t="shared" si="2"/>
        <v>-15.536444444444456</v>
      </c>
      <c r="F19">
        <f t="shared" si="3"/>
        <v>226.33492266666681</v>
      </c>
      <c r="G19">
        <f t="shared" si="4"/>
        <v>212.22662399999993</v>
      </c>
      <c r="H19">
        <f t="shared" si="5"/>
        <v>241.381105975309</v>
      </c>
    </row>
    <row r="20" spans="1:8" x14ac:dyDescent="0.25">
      <c r="A20">
        <v>17</v>
      </c>
      <c r="B20" s="6">
        <v>109.5</v>
      </c>
      <c r="C20" s="39">
        <f t="shared" si="0"/>
        <v>102.06</v>
      </c>
      <c r="D20" s="39">
        <f t="shared" si="1"/>
        <v>-14.828000000000003</v>
      </c>
      <c r="E20" s="39">
        <f t="shared" si="2"/>
        <v>-15.63644444444445</v>
      </c>
      <c r="F20">
        <f t="shared" si="3"/>
        <v>231.85719822222237</v>
      </c>
      <c r="G20">
        <f t="shared" si="4"/>
        <v>219.86958400000009</v>
      </c>
      <c r="H20">
        <f t="shared" si="5"/>
        <v>244.49839486419771</v>
      </c>
    </row>
    <row r="21" spans="1:8" x14ac:dyDescent="0.25">
      <c r="A21">
        <v>18</v>
      </c>
      <c r="B21" s="6">
        <v>108.86</v>
      </c>
      <c r="C21" s="39">
        <f t="shared" si="0"/>
        <v>102.55</v>
      </c>
      <c r="D21" s="39">
        <f t="shared" si="1"/>
        <v>-15.468000000000004</v>
      </c>
      <c r="E21" s="39">
        <f t="shared" si="2"/>
        <v>-15.146444444444455</v>
      </c>
      <c r="F21">
        <f t="shared" si="3"/>
        <v>234.28520266666689</v>
      </c>
      <c r="G21">
        <f t="shared" si="4"/>
        <v>239.2590240000001</v>
      </c>
      <c r="H21">
        <f t="shared" si="5"/>
        <v>229.4147793086423</v>
      </c>
    </row>
    <row r="22" spans="1:8" x14ac:dyDescent="0.25">
      <c r="A22">
        <v>19</v>
      </c>
      <c r="B22" s="6">
        <v>108.49</v>
      </c>
      <c r="C22" s="39">
        <f t="shared" si="0"/>
        <v>104.35</v>
      </c>
      <c r="D22" s="39">
        <f t="shared" si="1"/>
        <v>-15.838000000000008</v>
      </c>
      <c r="E22" s="39">
        <f t="shared" si="2"/>
        <v>-13.346444444444458</v>
      </c>
      <c r="F22">
        <f t="shared" si="3"/>
        <v>211.38098711111144</v>
      </c>
      <c r="G22">
        <f t="shared" si="4"/>
        <v>250.84224400000025</v>
      </c>
      <c r="H22">
        <f t="shared" si="5"/>
        <v>178.12757930864234</v>
      </c>
    </row>
    <row r="23" spans="1:8" x14ac:dyDescent="0.25">
      <c r="A23">
        <v>20</v>
      </c>
      <c r="B23" s="6">
        <v>108.36</v>
      </c>
      <c r="C23" s="39">
        <f t="shared" si="0"/>
        <v>107.57</v>
      </c>
      <c r="D23" s="39">
        <f t="shared" si="1"/>
        <v>-15.968000000000004</v>
      </c>
      <c r="E23" s="39">
        <f t="shared" si="2"/>
        <v>-10.126444444444459</v>
      </c>
      <c r="F23">
        <f t="shared" si="3"/>
        <v>161.69906488888915</v>
      </c>
      <c r="G23">
        <f t="shared" si="4"/>
        <v>254.97702400000011</v>
      </c>
      <c r="H23">
        <f t="shared" si="5"/>
        <v>102.54487708642006</v>
      </c>
    </row>
    <row r="24" spans="1:8" x14ac:dyDescent="0.25">
      <c r="A24">
        <v>21</v>
      </c>
      <c r="B24" s="6">
        <v>108.19</v>
      </c>
      <c r="C24" s="39">
        <f t="shared" si="0"/>
        <v>111.96</v>
      </c>
      <c r="D24" s="39">
        <f t="shared" si="1"/>
        <v>-16.138000000000005</v>
      </c>
      <c r="E24" s="39">
        <f t="shared" si="2"/>
        <v>-5.7364444444444587</v>
      </c>
      <c r="F24">
        <f t="shared" si="3"/>
        <v>92.5747404444447</v>
      </c>
      <c r="G24">
        <f t="shared" si="4"/>
        <v>260.43504400000018</v>
      </c>
      <c r="H24">
        <f t="shared" si="5"/>
        <v>32.906794864197693</v>
      </c>
    </row>
    <row r="25" spans="1:8" x14ac:dyDescent="0.25">
      <c r="A25">
        <v>22</v>
      </c>
      <c r="B25" s="6">
        <v>107.8</v>
      </c>
      <c r="C25" s="39">
        <f t="shared" si="0"/>
        <v>115.27</v>
      </c>
      <c r="D25" s="39">
        <f t="shared" si="1"/>
        <v>-16.528000000000006</v>
      </c>
      <c r="E25" s="39">
        <f t="shared" si="2"/>
        <v>-2.4264444444444564</v>
      </c>
      <c r="F25">
        <f t="shared" si="3"/>
        <v>40.104273777777991</v>
      </c>
      <c r="G25">
        <f t="shared" si="4"/>
        <v>273.17478400000022</v>
      </c>
      <c r="H25">
        <f t="shared" si="5"/>
        <v>5.8876326419753671</v>
      </c>
    </row>
    <row r="26" spans="1:8" x14ac:dyDescent="0.25">
      <c r="A26">
        <v>23</v>
      </c>
      <c r="B26" s="6">
        <v>107.47</v>
      </c>
      <c r="C26" s="39">
        <f t="shared" si="0"/>
        <v>117.17</v>
      </c>
      <c r="D26" s="39">
        <f t="shared" si="1"/>
        <v>-16.858000000000004</v>
      </c>
      <c r="E26" s="39">
        <f t="shared" si="2"/>
        <v>-0.52644444444445071</v>
      </c>
      <c r="F26">
        <f t="shared" si="3"/>
        <v>8.8748004444445527</v>
      </c>
      <c r="G26">
        <f t="shared" si="4"/>
        <v>284.19216400000016</v>
      </c>
      <c r="H26">
        <f t="shared" si="5"/>
        <v>0.27714375308642636</v>
      </c>
    </row>
    <row r="27" spans="1:8" x14ac:dyDescent="0.25">
      <c r="A27">
        <v>24</v>
      </c>
      <c r="B27" s="6">
        <v>107.03</v>
      </c>
      <c r="C27" s="39">
        <f t="shared" si="0"/>
        <v>117.61</v>
      </c>
      <c r="D27" s="39">
        <f t="shared" si="1"/>
        <v>-17.298000000000002</v>
      </c>
      <c r="E27" s="39">
        <f t="shared" si="2"/>
        <v>-8.6444444444452984E-2</v>
      </c>
      <c r="F27">
        <f t="shared" si="3"/>
        <v>1.495316000000148</v>
      </c>
      <c r="G27">
        <f t="shared" si="4"/>
        <v>299.22080400000004</v>
      </c>
      <c r="H27">
        <f t="shared" si="5"/>
        <v>7.4726419753101186E-3</v>
      </c>
    </row>
    <row r="28" spans="1:8" x14ac:dyDescent="0.25">
      <c r="A28">
        <v>25</v>
      </c>
      <c r="B28" s="6">
        <v>106.61</v>
      </c>
      <c r="C28" s="39">
        <f t="shared" si="0"/>
        <v>117.26</v>
      </c>
      <c r="D28" s="39">
        <f t="shared" si="1"/>
        <v>-17.718000000000004</v>
      </c>
      <c r="E28" s="39">
        <f t="shared" si="2"/>
        <v>-0.4364444444444473</v>
      </c>
      <c r="F28">
        <f t="shared" si="3"/>
        <v>7.7329226666667186</v>
      </c>
      <c r="G28">
        <f t="shared" si="4"/>
        <v>313.92752400000012</v>
      </c>
      <c r="H28">
        <f t="shared" si="5"/>
        <v>0.19048375308642224</v>
      </c>
    </row>
    <row r="29" spans="1:8" x14ac:dyDescent="0.25">
      <c r="A29">
        <v>26</v>
      </c>
      <c r="B29" s="6">
        <v>106.57</v>
      </c>
      <c r="C29" s="39">
        <f t="shared" si="0"/>
        <v>115.88</v>
      </c>
      <c r="D29" s="39">
        <f t="shared" si="1"/>
        <v>-17.75800000000001</v>
      </c>
      <c r="E29" s="39">
        <f t="shared" si="2"/>
        <v>-1.816444444444457</v>
      </c>
      <c r="F29">
        <f t="shared" si="3"/>
        <v>32.256420444444686</v>
      </c>
      <c r="G29">
        <f t="shared" si="4"/>
        <v>315.34656400000034</v>
      </c>
      <c r="H29">
        <f t="shared" si="5"/>
        <v>3.2994704197531317</v>
      </c>
    </row>
    <row r="30" spans="1:8" x14ac:dyDescent="0.25">
      <c r="A30">
        <v>27</v>
      </c>
      <c r="B30" s="6">
        <v>106.49</v>
      </c>
      <c r="C30" s="39">
        <f t="shared" si="0"/>
        <v>113.35</v>
      </c>
      <c r="D30" s="39">
        <f t="shared" si="1"/>
        <v>-17.838000000000008</v>
      </c>
      <c r="E30" s="39">
        <f t="shared" si="2"/>
        <v>-4.3464444444444581</v>
      </c>
      <c r="F30">
        <f t="shared" si="3"/>
        <v>77.531876000000281</v>
      </c>
      <c r="G30">
        <f t="shared" si="4"/>
        <v>318.19424400000031</v>
      </c>
      <c r="H30">
        <f t="shared" si="5"/>
        <v>18.891579308642093</v>
      </c>
    </row>
    <row r="31" spans="1:8" x14ac:dyDescent="0.25">
      <c r="A31">
        <v>28</v>
      </c>
      <c r="B31" s="6">
        <v>107.04</v>
      </c>
      <c r="C31" s="39">
        <f t="shared" si="0"/>
        <v>111.39</v>
      </c>
      <c r="D31" s="39">
        <f t="shared" si="1"/>
        <v>-17.287999999999997</v>
      </c>
      <c r="E31" s="39">
        <f t="shared" si="2"/>
        <v>-6.3064444444444518</v>
      </c>
      <c r="F31">
        <f t="shared" si="3"/>
        <v>109.02581155555566</v>
      </c>
      <c r="G31">
        <f t="shared" si="4"/>
        <v>298.87494399999991</v>
      </c>
      <c r="H31">
        <f t="shared" si="5"/>
        <v>39.771241530864287</v>
      </c>
    </row>
    <row r="32" spans="1:8" x14ac:dyDescent="0.25">
      <c r="A32">
        <v>29</v>
      </c>
      <c r="B32" s="6">
        <v>111.35</v>
      </c>
      <c r="C32" s="39">
        <f t="shared" si="0"/>
        <v>109.76</v>
      </c>
      <c r="D32" s="39">
        <f t="shared" si="1"/>
        <v>-12.978000000000009</v>
      </c>
      <c r="E32" s="39">
        <f t="shared" si="2"/>
        <v>-7.9364444444444473</v>
      </c>
      <c r="F32">
        <f t="shared" si="3"/>
        <v>102.99917600000011</v>
      </c>
      <c r="G32">
        <f t="shared" si="4"/>
        <v>168.42848400000022</v>
      </c>
      <c r="H32">
        <f t="shared" si="5"/>
        <v>62.987150419753135</v>
      </c>
    </row>
    <row r="33" spans="1:8" x14ac:dyDescent="0.25">
      <c r="A33">
        <v>30</v>
      </c>
      <c r="B33" s="6">
        <v>117.54</v>
      </c>
      <c r="C33" s="39">
        <f t="shared" si="0"/>
        <v>109.5</v>
      </c>
      <c r="D33" s="39">
        <f t="shared" si="1"/>
        <v>-6.7879999999999967</v>
      </c>
      <c r="E33" s="39">
        <f t="shared" si="2"/>
        <v>-8.1964444444444524</v>
      </c>
      <c r="F33">
        <f t="shared" si="3"/>
        <v>55.637464888888914</v>
      </c>
      <c r="G33">
        <f t="shared" si="4"/>
        <v>46.076943999999955</v>
      </c>
      <c r="H33">
        <f t="shared" si="5"/>
        <v>67.181701530864331</v>
      </c>
    </row>
    <row r="34" spans="1:8" x14ac:dyDescent="0.25">
      <c r="A34">
        <v>31</v>
      </c>
      <c r="B34" s="6">
        <v>122.58</v>
      </c>
      <c r="C34" s="39">
        <f t="shared" si="0"/>
        <v>108.86</v>
      </c>
      <c r="D34" s="39">
        <f t="shared" si="1"/>
        <v>-1.7480000000000047</v>
      </c>
      <c r="E34" s="39">
        <f t="shared" si="2"/>
        <v>-8.836444444444453</v>
      </c>
      <c r="F34">
        <f t="shared" si="3"/>
        <v>15.446104888888945</v>
      </c>
      <c r="G34">
        <f t="shared" si="4"/>
        <v>3.0555040000000164</v>
      </c>
      <c r="H34">
        <f t="shared" si="5"/>
        <v>78.082750419753239</v>
      </c>
    </row>
    <row r="35" spans="1:8" x14ac:dyDescent="0.25">
      <c r="A35">
        <v>32</v>
      </c>
      <c r="B35" s="6">
        <v>128.16</v>
      </c>
      <c r="C35" s="39">
        <f t="shared" si="0"/>
        <v>108.49</v>
      </c>
      <c r="D35" s="39">
        <f t="shared" si="1"/>
        <v>3.8319999999999936</v>
      </c>
      <c r="E35" s="39">
        <f t="shared" si="2"/>
        <v>-9.2064444444444575</v>
      </c>
      <c r="F35">
        <f t="shared" si="3"/>
        <v>-35.279095111111104</v>
      </c>
      <c r="G35">
        <f t="shared" si="4"/>
        <v>14.684223999999951</v>
      </c>
      <c r="H35">
        <f t="shared" si="5"/>
        <v>84.75861930864221</v>
      </c>
    </row>
    <row r="36" spans="1:8" x14ac:dyDescent="0.25">
      <c r="A36">
        <v>33</v>
      </c>
      <c r="B36" s="6">
        <v>132.86000000000001</v>
      </c>
      <c r="C36" s="39">
        <f t="shared" si="0"/>
        <v>108.36</v>
      </c>
      <c r="D36" s="39">
        <f t="shared" si="1"/>
        <v>8.5320000000000107</v>
      </c>
      <c r="E36" s="39">
        <f t="shared" si="2"/>
        <v>-9.336444444444453</v>
      </c>
      <c r="F36">
        <f t="shared" si="3"/>
        <v>-79.658544000000177</v>
      </c>
      <c r="G36">
        <f t="shared" si="4"/>
        <v>72.795024000000183</v>
      </c>
      <c r="H36">
        <f t="shared" si="5"/>
        <v>87.169194864197692</v>
      </c>
    </row>
    <row r="37" spans="1:8" x14ac:dyDescent="0.25">
      <c r="A37">
        <v>34</v>
      </c>
      <c r="B37" s="6">
        <v>134.91999999999999</v>
      </c>
      <c r="C37" s="39">
        <f t="shared" si="0"/>
        <v>108.19</v>
      </c>
      <c r="D37" s="39">
        <f t="shared" si="1"/>
        <v>10.591999999999985</v>
      </c>
      <c r="E37" s="39">
        <f t="shared" si="2"/>
        <v>-9.5064444444444547</v>
      </c>
      <c r="F37">
        <f t="shared" si="3"/>
        <v>-100.69225955555552</v>
      </c>
      <c r="G37">
        <f t="shared" si="4"/>
        <v>112.19046399999968</v>
      </c>
      <c r="H37">
        <f t="shared" si="5"/>
        <v>90.372485975308834</v>
      </c>
    </row>
    <row r="38" spans="1:8" x14ac:dyDescent="0.25">
      <c r="A38">
        <v>35</v>
      </c>
      <c r="B38" s="6">
        <v>135.69999999999999</v>
      </c>
      <c r="C38" s="39">
        <f t="shared" si="0"/>
        <v>107.8</v>
      </c>
      <c r="D38" s="39">
        <f t="shared" si="1"/>
        <v>11.371999999999986</v>
      </c>
      <c r="E38" s="39">
        <f t="shared" si="2"/>
        <v>-9.8964444444444553</v>
      </c>
      <c r="F38">
        <f t="shared" si="3"/>
        <v>-112.5423662222222</v>
      </c>
      <c r="G38">
        <f t="shared" si="4"/>
        <v>129.32238399999969</v>
      </c>
      <c r="H38">
        <f t="shared" si="5"/>
        <v>97.939612641975529</v>
      </c>
    </row>
    <row r="39" spans="1:8" x14ac:dyDescent="0.25">
      <c r="A39">
        <v>36</v>
      </c>
      <c r="B39" s="6">
        <v>136.13999999999999</v>
      </c>
      <c r="C39" s="39">
        <f t="shared" si="0"/>
        <v>107.47</v>
      </c>
      <c r="D39" s="39">
        <f t="shared" si="1"/>
        <v>11.811999999999983</v>
      </c>
      <c r="E39" s="39">
        <f t="shared" si="2"/>
        <v>-10.226444444444454</v>
      </c>
      <c r="F39">
        <f t="shared" si="3"/>
        <v>-120.79476177777772</v>
      </c>
      <c r="G39">
        <f t="shared" si="4"/>
        <v>139.52334399999961</v>
      </c>
      <c r="H39">
        <f t="shared" si="5"/>
        <v>104.58016597530883</v>
      </c>
    </row>
    <row r="40" spans="1:8" x14ac:dyDescent="0.25">
      <c r="A40">
        <v>37</v>
      </c>
      <c r="B40" s="6">
        <v>140.15</v>
      </c>
      <c r="C40" s="39">
        <f t="shared" si="0"/>
        <v>107.03</v>
      </c>
      <c r="D40" s="39">
        <f t="shared" si="1"/>
        <v>15.822000000000003</v>
      </c>
      <c r="E40" s="39">
        <f t="shared" si="2"/>
        <v>-10.666444444444451</v>
      </c>
      <c r="F40">
        <f t="shared" si="3"/>
        <v>-168.76448400000012</v>
      </c>
      <c r="G40">
        <f t="shared" si="4"/>
        <v>250.3356840000001</v>
      </c>
      <c r="H40">
        <f t="shared" si="5"/>
        <v>113.7730370864199</v>
      </c>
    </row>
    <row r="41" spans="1:8" x14ac:dyDescent="0.25">
      <c r="A41">
        <v>38</v>
      </c>
      <c r="B41" s="6">
        <v>140.09</v>
      </c>
      <c r="C41" s="39">
        <f t="shared" si="0"/>
        <v>106.61</v>
      </c>
      <c r="D41" s="39">
        <f t="shared" si="1"/>
        <v>15.762</v>
      </c>
      <c r="E41" s="39">
        <f t="shared" si="2"/>
        <v>-11.086444444444453</v>
      </c>
      <c r="F41">
        <f t="shared" si="3"/>
        <v>-174.74453733333348</v>
      </c>
      <c r="G41">
        <f t="shared" si="4"/>
        <v>248.44064400000002</v>
      </c>
      <c r="H41">
        <f t="shared" si="5"/>
        <v>122.90925041975328</v>
      </c>
    </row>
    <row r="42" spans="1:8" x14ac:dyDescent="0.25">
      <c r="A42">
        <v>39</v>
      </c>
      <c r="B42" s="6">
        <v>139.1</v>
      </c>
      <c r="C42" s="39">
        <f t="shared" si="0"/>
        <v>106.57</v>
      </c>
      <c r="D42" s="39">
        <f t="shared" si="1"/>
        <v>14.771999999999991</v>
      </c>
      <c r="E42" s="39">
        <f t="shared" si="2"/>
        <v>-11.126444444444459</v>
      </c>
      <c r="F42">
        <f t="shared" si="3"/>
        <v>-164.35983733333345</v>
      </c>
      <c r="G42">
        <f t="shared" si="4"/>
        <v>218.21198399999975</v>
      </c>
      <c r="H42">
        <f t="shared" si="5"/>
        <v>123.79776597530898</v>
      </c>
    </row>
    <row r="43" spans="1:8" x14ac:dyDescent="0.25">
      <c r="A43">
        <v>40</v>
      </c>
      <c r="B43" s="6">
        <v>137.5</v>
      </c>
      <c r="C43" s="39">
        <f t="shared" si="0"/>
        <v>106.49</v>
      </c>
      <c r="D43" s="39">
        <f t="shared" si="1"/>
        <v>13.171999999999997</v>
      </c>
      <c r="E43" s="39">
        <f t="shared" si="2"/>
        <v>-11.206444444444458</v>
      </c>
      <c r="F43">
        <f t="shared" si="3"/>
        <v>-147.61128622222236</v>
      </c>
      <c r="G43">
        <f t="shared" si="4"/>
        <v>173.50158399999992</v>
      </c>
      <c r="H43">
        <f t="shared" si="5"/>
        <v>125.58439708642004</v>
      </c>
    </row>
    <row r="44" spans="1:8" x14ac:dyDescent="0.25">
      <c r="A44">
        <v>41</v>
      </c>
      <c r="B44" s="6">
        <v>136.12</v>
      </c>
      <c r="C44" s="39">
        <f t="shared" si="0"/>
        <v>107.04</v>
      </c>
      <c r="D44" s="39">
        <f t="shared" si="1"/>
        <v>11.792000000000002</v>
      </c>
      <c r="E44" s="39">
        <f t="shared" si="2"/>
        <v>-10.656444444444446</v>
      </c>
      <c r="F44">
        <f t="shared" si="3"/>
        <v>-125.66079288888892</v>
      </c>
      <c r="G44">
        <f t="shared" si="4"/>
        <v>139.05126400000003</v>
      </c>
      <c r="H44">
        <f t="shared" si="5"/>
        <v>113.5598081975309</v>
      </c>
    </row>
    <row r="45" spans="1:8" x14ac:dyDescent="0.25">
      <c r="A45">
        <v>42</v>
      </c>
      <c r="B45" s="6">
        <v>135.22</v>
      </c>
      <c r="C45" s="39">
        <f t="shared" si="0"/>
        <v>111.35</v>
      </c>
      <c r="D45" s="39">
        <f t="shared" si="1"/>
        <v>10.891999999999996</v>
      </c>
      <c r="E45" s="39">
        <f t="shared" si="2"/>
        <v>-6.3464444444444581</v>
      </c>
      <c r="F45">
        <f t="shared" si="3"/>
        <v>-69.125472888889007</v>
      </c>
      <c r="G45">
        <f t="shared" si="4"/>
        <v>118.63566399999991</v>
      </c>
      <c r="H45">
        <f t="shared" si="5"/>
        <v>40.277357086419926</v>
      </c>
    </row>
    <row r="46" spans="1:8" x14ac:dyDescent="0.25">
      <c r="A46">
        <v>43</v>
      </c>
      <c r="B46" s="6">
        <v>134.72999999999999</v>
      </c>
      <c r="C46" s="39">
        <f t="shared" si="0"/>
        <v>117.54</v>
      </c>
      <c r="D46" s="39">
        <f t="shared" si="1"/>
        <v>10.401999999999987</v>
      </c>
      <c r="E46" s="39">
        <f t="shared" si="2"/>
        <v>-0.15644444444444616</v>
      </c>
      <c r="F46">
        <f t="shared" si="3"/>
        <v>-1.6273351111111269</v>
      </c>
      <c r="G46">
        <f t="shared" si="4"/>
        <v>108.20160399999972</v>
      </c>
      <c r="H46">
        <f t="shared" si="5"/>
        <v>2.4474864197531403E-2</v>
      </c>
    </row>
    <row r="47" spans="1:8" x14ac:dyDescent="0.25">
      <c r="A47">
        <v>44</v>
      </c>
      <c r="B47" s="6">
        <v>134.38999999999999</v>
      </c>
      <c r="C47" s="39">
        <f t="shared" si="0"/>
        <v>122.58</v>
      </c>
      <c r="D47" s="39">
        <f t="shared" si="1"/>
        <v>10.061999999999983</v>
      </c>
      <c r="E47" s="39">
        <f t="shared" si="2"/>
        <v>4.8835555555555459</v>
      </c>
      <c r="F47">
        <f t="shared" si="3"/>
        <v>49.138335999999825</v>
      </c>
      <c r="G47">
        <f t="shared" si="4"/>
        <v>101.24384399999967</v>
      </c>
      <c r="H47">
        <f t="shared" si="5"/>
        <v>23.849114864197436</v>
      </c>
    </row>
    <row r="48" spans="1:8" x14ac:dyDescent="0.25">
      <c r="A48">
        <v>45</v>
      </c>
      <c r="B48" s="6">
        <v>134.51</v>
      </c>
      <c r="C48" s="39">
        <f t="shared" si="0"/>
        <v>128.16</v>
      </c>
      <c r="D48" s="39">
        <f t="shared" si="1"/>
        <v>10.181999999999988</v>
      </c>
      <c r="E48" s="39">
        <f t="shared" si="2"/>
        <v>10.463555555555544</v>
      </c>
      <c r="F48">
        <f t="shared" si="3"/>
        <v>106.53992266666643</v>
      </c>
      <c r="G48">
        <f t="shared" si="4"/>
        <v>103.67312399999976</v>
      </c>
      <c r="H48">
        <f t="shared" si="5"/>
        <v>109.48599486419729</v>
      </c>
    </row>
    <row r="49" spans="1:8" x14ac:dyDescent="0.25">
      <c r="A49">
        <v>46</v>
      </c>
      <c r="B49" s="6">
        <v>134.46</v>
      </c>
      <c r="C49" s="39">
        <f t="shared" si="0"/>
        <v>132.86000000000001</v>
      </c>
      <c r="D49" s="39">
        <f t="shared" si="1"/>
        <v>10.132000000000005</v>
      </c>
      <c r="E49" s="39">
        <f t="shared" si="2"/>
        <v>15.163555555555561</v>
      </c>
      <c r="F49">
        <f t="shared" si="3"/>
        <v>153.63714488888903</v>
      </c>
      <c r="G49">
        <f t="shared" si="4"/>
        <v>102.65742400000011</v>
      </c>
      <c r="H49">
        <f t="shared" si="5"/>
        <v>229.93341708641992</v>
      </c>
    </row>
    <row r="50" spans="1:8" x14ac:dyDescent="0.25">
      <c r="A50">
        <v>47</v>
      </c>
      <c r="B50" s="6">
        <v>134.27000000000001</v>
      </c>
      <c r="C50" s="39">
        <f t="shared" si="0"/>
        <v>134.91999999999999</v>
      </c>
      <c r="D50" s="39">
        <f t="shared" si="1"/>
        <v>9.9420000000000073</v>
      </c>
      <c r="E50" s="39">
        <f t="shared" si="2"/>
        <v>17.223555555555535</v>
      </c>
      <c r="F50">
        <f t="shared" si="3"/>
        <v>171.23658933333326</v>
      </c>
      <c r="G50">
        <f t="shared" si="4"/>
        <v>98.84336400000015</v>
      </c>
      <c r="H50">
        <f t="shared" si="5"/>
        <v>296.65086597530791</v>
      </c>
    </row>
    <row r="51" spans="1:8" x14ac:dyDescent="0.25">
      <c r="A51">
        <v>48</v>
      </c>
      <c r="B51" s="6">
        <v>133.72999999999999</v>
      </c>
      <c r="C51" s="39">
        <f t="shared" si="0"/>
        <v>135.69999999999999</v>
      </c>
      <c r="D51" s="39">
        <f t="shared" si="1"/>
        <v>9.4019999999999868</v>
      </c>
      <c r="E51" s="39">
        <f t="shared" si="2"/>
        <v>18.003555555555536</v>
      </c>
      <c r="F51">
        <f t="shared" si="3"/>
        <v>169.26942933333291</v>
      </c>
      <c r="G51">
        <f t="shared" si="4"/>
        <v>88.397603999999745</v>
      </c>
      <c r="H51">
        <f t="shared" si="5"/>
        <v>324.12801264197464</v>
      </c>
    </row>
    <row r="52" spans="1:8" x14ac:dyDescent="0.25">
      <c r="A52">
        <v>49</v>
      </c>
      <c r="B52" s="6">
        <v>132.01</v>
      </c>
      <c r="C52" s="39">
        <f t="shared" si="0"/>
        <v>136.13999999999999</v>
      </c>
      <c r="D52" s="39">
        <f t="shared" si="1"/>
        <v>7.6819999999999879</v>
      </c>
      <c r="E52" s="39">
        <f t="shared" si="2"/>
        <v>18.443555555555534</v>
      </c>
      <c r="F52">
        <f t="shared" si="3"/>
        <v>141.68339377777738</v>
      </c>
      <c r="G52">
        <f t="shared" si="4"/>
        <v>59.013123999999813</v>
      </c>
      <c r="H52">
        <f t="shared" si="5"/>
        <v>340.16474153086341</v>
      </c>
    </row>
    <row r="53" spans="1:8" x14ac:dyDescent="0.25">
      <c r="A53">
        <v>50</v>
      </c>
      <c r="B53" s="6">
        <v>130.59</v>
      </c>
      <c r="C53" s="39">
        <f t="shared" si="0"/>
        <v>140.15</v>
      </c>
      <c r="D53" s="39">
        <f t="shared" si="1"/>
        <v>6.2620000000000005</v>
      </c>
      <c r="E53" s="39">
        <f t="shared" si="2"/>
        <v>22.453555555555553</v>
      </c>
      <c r="F53">
        <f t="shared" si="3"/>
        <v>140.60416488888887</v>
      </c>
      <c r="G53">
        <f t="shared" si="4"/>
        <v>39.212644000000004</v>
      </c>
      <c r="H53">
        <f t="shared" si="5"/>
        <v>504.16215708641965</v>
      </c>
    </row>
    <row r="54" spans="1:8" x14ac:dyDescent="0.25">
      <c r="A54">
        <v>51</v>
      </c>
      <c r="B54" s="6">
        <v>130.28</v>
      </c>
      <c r="C54" s="39">
        <f t="shared" si="0"/>
        <v>140.09</v>
      </c>
      <c r="D54" s="39">
        <f t="shared" si="1"/>
        <v>5.9519999999999982</v>
      </c>
      <c r="E54" s="39">
        <f t="shared" si="2"/>
        <v>22.393555555555551</v>
      </c>
      <c r="F54">
        <f t="shared" si="3"/>
        <v>133.2864426666666</v>
      </c>
      <c r="G54">
        <f t="shared" si="4"/>
        <v>35.42630399999998</v>
      </c>
      <c r="H54">
        <f t="shared" si="5"/>
        <v>501.47133041975286</v>
      </c>
    </row>
    <row r="55" spans="1:8" x14ac:dyDescent="0.25">
      <c r="A55">
        <v>52</v>
      </c>
      <c r="B55" s="6">
        <v>129.16</v>
      </c>
      <c r="C55" s="39">
        <f t="shared" si="0"/>
        <v>139.1</v>
      </c>
      <c r="D55" s="39">
        <f t="shared" si="1"/>
        <v>4.8319999999999936</v>
      </c>
      <c r="E55" s="39">
        <f t="shared" si="2"/>
        <v>21.403555555555542</v>
      </c>
      <c r="F55">
        <f t="shared" si="3"/>
        <v>103.42198044444424</v>
      </c>
      <c r="G55">
        <f t="shared" si="4"/>
        <v>23.348223999999938</v>
      </c>
      <c r="H55">
        <f t="shared" si="5"/>
        <v>458.11219041975249</v>
      </c>
    </row>
    <row r="56" spans="1:8" x14ac:dyDescent="0.25">
      <c r="A56">
        <v>53</v>
      </c>
      <c r="B56" s="6">
        <v>128.94</v>
      </c>
      <c r="C56" s="39">
        <f t="shared" si="0"/>
        <v>137.5</v>
      </c>
      <c r="D56" s="39">
        <f t="shared" si="1"/>
        <v>4.6119999999999948</v>
      </c>
      <c r="E56" s="39">
        <f t="shared" si="2"/>
        <v>19.803555555555548</v>
      </c>
      <c r="F56">
        <f t="shared" si="3"/>
        <v>91.333998222222078</v>
      </c>
      <c r="G56">
        <f t="shared" si="4"/>
        <v>21.270543999999951</v>
      </c>
      <c r="H56">
        <f t="shared" si="5"/>
        <v>392.18081264197497</v>
      </c>
    </row>
    <row r="57" spans="1:8" x14ac:dyDescent="0.25">
      <c r="A57">
        <v>54</v>
      </c>
      <c r="B57" s="6">
        <v>129.30000000000001</v>
      </c>
      <c r="C57" s="39">
        <f t="shared" si="0"/>
        <v>136.12</v>
      </c>
      <c r="D57" s="39">
        <f t="shared" si="1"/>
        <v>4.9720000000000084</v>
      </c>
      <c r="E57" s="39">
        <f t="shared" si="2"/>
        <v>18.423555555555552</v>
      </c>
      <c r="F57">
        <f t="shared" si="3"/>
        <v>91.601918222222366</v>
      </c>
      <c r="G57">
        <f t="shared" si="4"/>
        <v>24.720784000000084</v>
      </c>
      <c r="H57">
        <f t="shared" si="5"/>
        <v>339.42739930864184</v>
      </c>
    </row>
    <row r="58" spans="1:8" x14ac:dyDescent="0.25">
      <c r="A58">
        <v>55</v>
      </c>
      <c r="B58" s="6">
        <v>131.22</v>
      </c>
      <c r="C58" s="39">
        <f t="shared" si="0"/>
        <v>135.22</v>
      </c>
      <c r="D58" s="39">
        <f t="shared" si="1"/>
        <v>6.8919999999999959</v>
      </c>
      <c r="E58" s="39">
        <f t="shared" si="2"/>
        <v>17.523555555555546</v>
      </c>
      <c r="F58">
        <f t="shared" si="3"/>
        <v>120.77234488888875</v>
      </c>
      <c r="G58">
        <f t="shared" si="4"/>
        <v>47.499663999999946</v>
      </c>
      <c r="H58">
        <f t="shared" si="5"/>
        <v>307.07499930864168</v>
      </c>
    </row>
    <row r="59" spans="1:8" x14ac:dyDescent="0.25">
      <c r="A59">
        <v>56</v>
      </c>
      <c r="B59" s="6">
        <v>132.52000000000001</v>
      </c>
      <c r="C59" s="39">
        <f t="shared" si="0"/>
        <v>134.72999999999999</v>
      </c>
      <c r="D59" s="39">
        <f t="shared" si="1"/>
        <v>8.1920000000000073</v>
      </c>
      <c r="E59" s="39">
        <f t="shared" si="2"/>
        <v>17.033555555555537</v>
      </c>
      <c r="F59">
        <f t="shared" si="3"/>
        <v>139.53888711111108</v>
      </c>
      <c r="G59">
        <f t="shared" si="4"/>
        <v>67.108864000000125</v>
      </c>
      <c r="H59">
        <f t="shared" si="5"/>
        <v>290.14201486419694</v>
      </c>
    </row>
    <row r="60" spans="1:8" x14ac:dyDescent="0.25">
      <c r="A60">
        <v>57</v>
      </c>
      <c r="B60" s="6">
        <v>134.25</v>
      </c>
      <c r="C60" s="39">
        <f t="shared" si="0"/>
        <v>134.38999999999999</v>
      </c>
      <c r="D60" s="39">
        <f t="shared" si="1"/>
        <v>9.921999999999997</v>
      </c>
      <c r="E60" s="39">
        <f t="shared" si="2"/>
        <v>16.693555555555534</v>
      </c>
      <c r="F60">
        <f t="shared" si="3"/>
        <v>165.63345822222195</v>
      </c>
      <c r="G60">
        <f t="shared" si="4"/>
        <v>98.446083999999942</v>
      </c>
      <c r="H60">
        <f t="shared" si="5"/>
        <v>278.67479708641901</v>
      </c>
    </row>
    <row r="61" spans="1:8" x14ac:dyDescent="0.25">
      <c r="A61">
        <v>58</v>
      </c>
      <c r="B61" s="6">
        <v>136.06</v>
      </c>
      <c r="C61" s="39">
        <f t="shared" si="0"/>
        <v>134.51</v>
      </c>
      <c r="D61" s="39">
        <f t="shared" si="1"/>
        <v>11.731999999999999</v>
      </c>
      <c r="E61" s="39">
        <f t="shared" si="2"/>
        <v>16.813555555555538</v>
      </c>
      <c r="F61">
        <f t="shared" si="3"/>
        <v>197.25663377777758</v>
      </c>
      <c r="G61">
        <f t="shared" si="4"/>
        <v>137.63982399999998</v>
      </c>
      <c r="H61">
        <f t="shared" si="5"/>
        <v>282.6956504197525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5296.34</v>
      </c>
      <c r="D62" s="39">
        <f t="shared" si="6"/>
        <v>-1.7053025658242404E-13</v>
      </c>
      <c r="E62" s="39">
        <f t="shared" si="6"/>
        <v>-5.1159076974727213E-13</v>
      </c>
      <c r="F62" s="39">
        <f t="shared" si="6"/>
        <v>2652.4963800000005</v>
      </c>
      <c r="G62" s="39">
        <f t="shared" si="6"/>
        <v>6819.4051199999985</v>
      </c>
      <c r="H62" s="39">
        <f t="shared" si="6"/>
        <v>7564.6148311111119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117.69644444444445</v>
      </c>
    </row>
    <row r="65" spans="1:2" ht="18" x14ac:dyDescent="0.35">
      <c r="A65" t="s">
        <v>180</v>
      </c>
      <c r="B65" s="39">
        <f>SUM(B17:B61)/45</f>
        <v>124.328</v>
      </c>
    </row>
    <row r="66" spans="1:2" ht="18" x14ac:dyDescent="0.35">
      <c r="A66" t="s">
        <v>181</v>
      </c>
      <c r="B66">
        <f>SUM(C17:C61)/45</f>
        <v>117.69644444444445</v>
      </c>
    </row>
    <row r="68" spans="1:2" ht="18" x14ac:dyDescent="0.35">
      <c r="A68" t="s">
        <v>182</v>
      </c>
      <c r="B68">
        <f>F62/SQRT(G62*H62)</f>
        <v>0.36930751425314706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B68" sqref="B68"/>
    </sheetView>
  </sheetViews>
  <sheetFormatPr defaultRowHeight="15" x14ac:dyDescent="0.25"/>
  <cols>
    <col min="6" max="6" width="16.285156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35">
      <c r="A3" s="35" t="s">
        <v>67</v>
      </c>
      <c r="B3" s="35" t="s">
        <v>68</v>
      </c>
      <c r="C3" s="41" t="s">
        <v>192</v>
      </c>
      <c r="D3" s="41" t="s">
        <v>193</v>
      </c>
      <c r="E3" s="41" t="s">
        <v>194</v>
      </c>
      <c r="F3" s="42" t="s">
        <v>195</v>
      </c>
      <c r="G3" s="41" t="s">
        <v>196</v>
      </c>
      <c r="H3" s="41" t="s">
        <v>197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9">
        <f>B4</f>
        <v>102.32</v>
      </c>
      <c r="D18" s="49">
        <f>B18-$B$65</f>
        <v>-13.1875</v>
      </c>
      <c r="E18" s="49">
        <f>C18-$B$66</f>
        <v>-14.994318181818187</v>
      </c>
      <c r="F18" s="38">
        <f>D18*E18</f>
        <v>197.73757102272734</v>
      </c>
      <c r="G18" s="38">
        <f>D18*D18</f>
        <v>173.91015625</v>
      </c>
      <c r="H18" s="38">
        <f>E18*E18</f>
        <v>224.82957773760347</v>
      </c>
    </row>
    <row r="19" spans="1:8" x14ac:dyDescent="0.25">
      <c r="A19">
        <v>16</v>
      </c>
      <c r="B19" s="6">
        <v>109.76</v>
      </c>
      <c r="C19" s="49">
        <f t="shared" ref="C19:C61" si="0">B5</f>
        <v>102.21</v>
      </c>
      <c r="D19" s="49">
        <f t="shared" ref="D19:D61" si="1">B19-$B$65</f>
        <v>-14.817499999999995</v>
      </c>
      <c r="E19" s="49">
        <f t="shared" ref="E19:E61" si="2">C19-$B$66</f>
        <v>-15.104318181818186</v>
      </c>
      <c r="F19" s="38">
        <f t="shared" ref="F19:F61" si="3">D19*E19</f>
        <v>223.80823465909091</v>
      </c>
      <c r="G19" s="38">
        <f t="shared" ref="G19:G61" si="4">D19*D19</f>
        <v>219.55830624999987</v>
      </c>
      <c r="H19" s="38">
        <f t="shared" ref="H19:H61" si="5">E19*E19</f>
        <v>228.14042773760343</v>
      </c>
    </row>
    <row r="20" spans="1:8" x14ac:dyDescent="0.25">
      <c r="A20">
        <v>17</v>
      </c>
      <c r="B20" s="6">
        <v>109.5</v>
      </c>
      <c r="C20" s="49">
        <f t="shared" si="0"/>
        <v>102.16</v>
      </c>
      <c r="D20" s="49">
        <f t="shared" si="1"/>
        <v>-15.077500000000001</v>
      </c>
      <c r="E20" s="49">
        <f t="shared" si="2"/>
        <v>-15.154318181818184</v>
      </c>
      <c r="F20" s="38">
        <f t="shared" si="3"/>
        <v>228.48923238636368</v>
      </c>
      <c r="G20" s="38">
        <f t="shared" si="4"/>
        <v>227.33100625000003</v>
      </c>
      <c r="H20" s="38">
        <f t="shared" si="5"/>
        <v>229.65335955578519</v>
      </c>
    </row>
    <row r="21" spans="1:8" x14ac:dyDescent="0.25">
      <c r="A21">
        <v>18</v>
      </c>
      <c r="B21" s="6">
        <v>108.86</v>
      </c>
      <c r="C21" s="49">
        <f t="shared" si="0"/>
        <v>102.06</v>
      </c>
      <c r="D21" s="49">
        <f t="shared" si="1"/>
        <v>-15.717500000000001</v>
      </c>
      <c r="E21" s="49">
        <f t="shared" si="2"/>
        <v>-15.254318181818178</v>
      </c>
      <c r="F21" s="38">
        <f t="shared" si="3"/>
        <v>239.75974602272723</v>
      </c>
      <c r="G21" s="38">
        <f t="shared" si="4"/>
        <v>247.03980625000003</v>
      </c>
      <c r="H21" s="38">
        <f t="shared" si="5"/>
        <v>232.69422319214863</v>
      </c>
    </row>
    <row r="22" spans="1:8" x14ac:dyDescent="0.25">
      <c r="A22">
        <v>19</v>
      </c>
      <c r="B22" s="6">
        <v>108.49</v>
      </c>
      <c r="C22" s="49">
        <f t="shared" si="0"/>
        <v>102.55</v>
      </c>
      <c r="D22" s="49">
        <f t="shared" si="1"/>
        <v>-16.087500000000006</v>
      </c>
      <c r="E22" s="49">
        <f t="shared" si="2"/>
        <v>-14.764318181818183</v>
      </c>
      <c r="F22" s="38">
        <f t="shared" si="3"/>
        <v>237.52096875000009</v>
      </c>
      <c r="G22" s="38">
        <f t="shared" si="4"/>
        <v>258.80765625000021</v>
      </c>
      <c r="H22" s="38">
        <f t="shared" si="5"/>
        <v>217.98509137396698</v>
      </c>
    </row>
    <row r="23" spans="1:8" x14ac:dyDescent="0.25">
      <c r="A23">
        <v>20</v>
      </c>
      <c r="B23" s="6">
        <v>108.36</v>
      </c>
      <c r="C23" s="49">
        <f t="shared" si="0"/>
        <v>104.35</v>
      </c>
      <c r="D23" s="49">
        <f t="shared" si="1"/>
        <v>-16.217500000000001</v>
      </c>
      <c r="E23" s="49">
        <f t="shared" si="2"/>
        <v>-12.964318181818186</v>
      </c>
      <c r="F23" s="38">
        <f t="shared" si="3"/>
        <v>210.24883011363644</v>
      </c>
      <c r="G23" s="38">
        <f t="shared" si="4"/>
        <v>263.00730625000006</v>
      </c>
      <c r="H23" s="38">
        <f t="shared" si="5"/>
        <v>168.0735459194216</v>
      </c>
    </row>
    <row r="24" spans="1:8" x14ac:dyDescent="0.25">
      <c r="A24">
        <v>21</v>
      </c>
      <c r="B24" s="6">
        <v>108.19</v>
      </c>
      <c r="C24" s="49">
        <f t="shared" si="0"/>
        <v>107.57</v>
      </c>
      <c r="D24" s="49">
        <f t="shared" si="1"/>
        <v>-16.387500000000003</v>
      </c>
      <c r="E24" s="49">
        <f t="shared" si="2"/>
        <v>-9.744318181818187</v>
      </c>
      <c r="F24" s="38">
        <f t="shared" si="3"/>
        <v>159.68501420454555</v>
      </c>
      <c r="G24" s="38">
        <f t="shared" si="4"/>
        <v>268.5501562500001</v>
      </c>
      <c r="H24" s="38">
        <f t="shared" si="5"/>
        <v>94.951736828512495</v>
      </c>
    </row>
    <row r="25" spans="1:8" x14ac:dyDescent="0.25">
      <c r="A25">
        <v>22</v>
      </c>
      <c r="B25" s="6">
        <v>107.8</v>
      </c>
      <c r="C25" s="49">
        <f t="shared" si="0"/>
        <v>111.96</v>
      </c>
      <c r="D25" s="49">
        <f t="shared" si="1"/>
        <v>-16.777500000000003</v>
      </c>
      <c r="E25" s="49">
        <f t="shared" si="2"/>
        <v>-5.3543181818181864</v>
      </c>
      <c r="F25" s="38">
        <f t="shared" si="3"/>
        <v>89.832073295454634</v>
      </c>
      <c r="G25" s="38">
        <f t="shared" si="4"/>
        <v>281.48450625000009</v>
      </c>
      <c r="H25" s="38">
        <f t="shared" si="5"/>
        <v>28.668723192148811</v>
      </c>
    </row>
    <row r="26" spans="1:8" x14ac:dyDescent="0.25">
      <c r="A26">
        <v>23</v>
      </c>
      <c r="B26" s="6">
        <v>107.47</v>
      </c>
      <c r="C26" s="49">
        <f t="shared" si="0"/>
        <v>115.27</v>
      </c>
      <c r="D26" s="49">
        <f t="shared" si="1"/>
        <v>-17.107500000000002</v>
      </c>
      <c r="E26" s="49">
        <f t="shared" si="2"/>
        <v>-2.0443181818181841</v>
      </c>
      <c r="F26" s="38">
        <f t="shared" si="3"/>
        <v>34.973173295454586</v>
      </c>
      <c r="G26" s="38">
        <f t="shared" si="4"/>
        <v>292.66655625000004</v>
      </c>
      <c r="H26" s="38">
        <f t="shared" si="5"/>
        <v>4.1792368285124066</v>
      </c>
    </row>
    <row r="27" spans="1:8" x14ac:dyDescent="0.25">
      <c r="A27">
        <v>24</v>
      </c>
      <c r="B27" s="6">
        <v>107.03</v>
      </c>
      <c r="C27" s="49">
        <f t="shared" si="0"/>
        <v>117.17</v>
      </c>
      <c r="D27" s="49">
        <f t="shared" si="1"/>
        <v>-17.547499999999999</v>
      </c>
      <c r="E27" s="49">
        <f t="shared" si="2"/>
        <v>-0.14431818181817846</v>
      </c>
      <c r="F27" s="38">
        <f t="shared" si="3"/>
        <v>2.5324232954544863</v>
      </c>
      <c r="G27" s="38">
        <f t="shared" si="4"/>
        <v>307.91475624999998</v>
      </c>
      <c r="H27" s="38">
        <f t="shared" si="5"/>
        <v>2.0827737603304815E-2</v>
      </c>
    </row>
    <row r="28" spans="1:8" x14ac:dyDescent="0.25">
      <c r="A28">
        <v>25</v>
      </c>
      <c r="B28" s="6">
        <v>106.61</v>
      </c>
      <c r="C28" s="49">
        <f t="shared" si="0"/>
        <v>117.61</v>
      </c>
      <c r="D28" s="49">
        <f t="shared" si="1"/>
        <v>-17.967500000000001</v>
      </c>
      <c r="E28" s="49">
        <f t="shared" si="2"/>
        <v>0.29568181818181927</v>
      </c>
      <c r="F28" s="38">
        <f t="shared" si="3"/>
        <v>-5.3126630681818376</v>
      </c>
      <c r="G28" s="38">
        <f t="shared" si="4"/>
        <v>322.83105625000002</v>
      </c>
      <c r="H28" s="38">
        <f t="shared" si="5"/>
        <v>8.7427737603306424E-2</v>
      </c>
    </row>
    <row r="29" spans="1:8" x14ac:dyDescent="0.25">
      <c r="A29">
        <v>26</v>
      </c>
      <c r="B29" s="6">
        <v>106.57</v>
      </c>
      <c r="C29" s="49">
        <f t="shared" si="0"/>
        <v>117.26</v>
      </c>
      <c r="D29" s="49">
        <f t="shared" si="1"/>
        <v>-18.007500000000007</v>
      </c>
      <c r="E29" s="49">
        <f t="shared" si="2"/>
        <v>-5.4318181818175049E-2</v>
      </c>
      <c r="F29" s="38">
        <f t="shared" si="3"/>
        <v>0.97813465909078756</v>
      </c>
      <c r="G29" s="38">
        <f t="shared" si="4"/>
        <v>324.27005625000027</v>
      </c>
      <c r="H29" s="38">
        <f t="shared" si="5"/>
        <v>2.9504648760323225E-3</v>
      </c>
    </row>
    <row r="30" spans="1:8" x14ac:dyDescent="0.25">
      <c r="A30">
        <v>27</v>
      </c>
      <c r="B30" s="6">
        <v>106.49</v>
      </c>
      <c r="C30" s="49">
        <f t="shared" si="0"/>
        <v>115.88</v>
      </c>
      <c r="D30" s="49">
        <f t="shared" si="1"/>
        <v>-18.087500000000006</v>
      </c>
      <c r="E30" s="49">
        <f t="shared" si="2"/>
        <v>-1.4343181818181847</v>
      </c>
      <c r="F30" s="38">
        <f t="shared" si="3"/>
        <v>25.943230113636425</v>
      </c>
      <c r="G30" s="38">
        <f t="shared" si="4"/>
        <v>327.15765625000023</v>
      </c>
      <c r="H30" s="38">
        <f t="shared" si="5"/>
        <v>2.0572686466942232</v>
      </c>
    </row>
    <row r="31" spans="1:8" x14ac:dyDescent="0.25">
      <c r="A31">
        <v>28</v>
      </c>
      <c r="B31" s="6">
        <v>107.04</v>
      </c>
      <c r="C31" s="49">
        <f t="shared" si="0"/>
        <v>113.35</v>
      </c>
      <c r="D31" s="49">
        <f t="shared" si="1"/>
        <v>-17.537499999999994</v>
      </c>
      <c r="E31" s="49">
        <f t="shared" si="2"/>
        <v>-3.9643181818181858</v>
      </c>
      <c r="F31" s="38">
        <f t="shared" si="3"/>
        <v>69.524230113636406</v>
      </c>
      <c r="G31" s="38">
        <f t="shared" si="4"/>
        <v>307.56390624999977</v>
      </c>
      <c r="H31" s="38">
        <f t="shared" si="5"/>
        <v>15.715818646694247</v>
      </c>
    </row>
    <row r="32" spans="1:8" x14ac:dyDescent="0.25">
      <c r="A32">
        <v>29</v>
      </c>
      <c r="B32" s="6">
        <v>111.35</v>
      </c>
      <c r="C32" s="49">
        <f t="shared" si="0"/>
        <v>111.39</v>
      </c>
      <c r="D32" s="49">
        <f t="shared" si="1"/>
        <v>-13.227500000000006</v>
      </c>
      <c r="E32" s="49">
        <f t="shared" si="2"/>
        <v>-5.9243181818181796</v>
      </c>
      <c r="F32" s="38">
        <f t="shared" si="3"/>
        <v>78.363918750000011</v>
      </c>
      <c r="G32" s="38">
        <f t="shared" si="4"/>
        <v>174.96675625000017</v>
      </c>
      <c r="H32" s="38">
        <f t="shared" si="5"/>
        <v>35.097545919421464</v>
      </c>
    </row>
    <row r="33" spans="1:8" x14ac:dyDescent="0.25">
      <c r="A33">
        <v>30</v>
      </c>
      <c r="B33" s="6">
        <v>117.54</v>
      </c>
      <c r="C33" s="49">
        <f t="shared" si="0"/>
        <v>109.76</v>
      </c>
      <c r="D33" s="49">
        <f t="shared" si="1"/>
        <v>-7.0374999999999943</v>
      </c>
      <c r="E33" s="49">
        <f t="shared" si="2"/>
        <v>-7.554318181818175</v>
      </c>
      <c r="F33" s="38">
        <f t="shared" si="3"/>
        <v>53.163514204545365</v>
      </c>
      <c r="G33" s="38">
        <f t="shared" si="4"/>
        <v>49.526406249999923</v>
      </c>
      <c r="H33" s="38">
        <f t="shared" si="5"/>
        <v>57.067723192148655</v>
      </c>
    </row>
    <row r="34" spans="1:8" x14ac:dyDescent="0.25">
      <c r="A34">
        <v>31</v>
      </c>
      <c r="B34" s="6">
        <v>122.58</v>
      </c>
      <c r="C34" s="49">
        <f t="shared" si="0"/>
        <v>109.5</v>
      </c>
      <c r="D34" s="49">
        <f t="shared" si="1"/>
        <v>-1.9975000000000023</v>
      </c>
      <c r="E34" s="49">
        <f t="shared" si="2"/>
        <v>-7.8143181818181802</v>
      </c>
      <c r="F34" s="38">
        <f t="shared" si="3"/>
        <v>15.609100568181832</v>
      </c>
      <c r="G34" s="38">
        <f t="shared" si="4"/>
        <v>3.9900062500000093</v>
      </c>
      <c r="H34" s="38">
        <f t="shared" si="5"/>
        <v>61.063568646694186</v>
      </c>
    </row>
    <row r="35" spans="1:8" x14ac:dyDescent="0.25">
      <c r="A35">
        <v>32</v>
      </c>
      <c r="B35" s="6">
        <v>128.16</v>
      </c>
      <c r="C35" s="49">
        <f t="shared" si="0"/>
        <v>108.86</v>
      </c>
      <c r="D35" s="49">
        <f t="shared" si="1"/>
        <v>3.582499999999996</v>
      </c>
      <c r="E35" s="49">
        <f t="shared" si="2"/>
        <v>-8.4543181818181807</v>
      </c>
      <c r="F35" s="38">
        <f t="shared" si="3"/>
        <v>-30.2875948863636</v>
      </c>
      <c r="G35" s="38">
        <f t="shared" si="4"/>
        <v>12.834306249999971</v>
      </c>
      <c r="H35" s="38">
        <f t="shared" si="5"/>
        <v>71.475495919421476</v>
      </c>
    </row>
    <row r="36" spans="1:8" x14ac:dyDescent="0.25">
      <c r="A36">
        <v>33</v>
      </c>
      <c r="B36" s="6">
        <v>132.86000000000001</v>
      </c>
      <c r="C36" s="49">
        <f t="shared" si="0"/>
        <v>108.49</v>
      </c>
      <c r="D36" s="49">
        <f t="shared" si="1"/>
        <v>8.2825000000000131</v>
      </c>
      <c r="E36" s="49">
        <f t="shared" si="2"/>
        <v>-8.8243181818181853</v>
      </c>
      <c r="F36" s="38">
        <f t="shared" si="3"/>
        <v>-73.087415340909232</v>
      </c>
      <c r="G36" s="38">
        <f t="shared" si="4"/>
        <v>68.599806250000213</v>
      </c>
      <c r="H36" s="38">
        <f t="shared" si="5"/>
        <v>77.868591373967007</v>
      </c>
    </row>
    <row r="37" spans="1:8" x14ac:dyDescent="0.25">
      <c r="A37">
        <v>34</v>
      </c>
      <c r="B37" s="6">
        <v>134.91999999999999</v>
      </c>
      <c r="C37" s="49">
        <f t="shared" si="0"/>
        <v>108.36</v>
      </c>
      <c r="D37" s="49">
        <f t="shared" si="1"/>
        <v>10.342499999999987</v>
      </c>
      <c r="E37" s="49">
        <f t="shared" si="2"/>
        <v>-8.9543181818181807</v>
      </c>
      <c r="F37" s="38">
        <f t="shared" si="3"/>
        <v>-92.610035795454422</v>
      </c>
      <c r="G37" s="38">
        <f t="shared" si="4"/>
        <v>106.96730624999972</v>
      </c>
      <c r="H37" s="38">
        <f t="shared" si="5"/>
        <v>80.179814101239657</v>
      </c>
    </row>
    <row r="38" spans="1:8" x14ac:dyDescent="0.25">
      <c r="A38">
        <v>35</v>
      </c>
      <c r="B38" s="6">
        <v>135.69999999999999</v>
      </c>
      <c r="C38" s="49">
        <f t="shared" si="0"/>
        <v>108.19</v>
      </c>
      <c r="D38" s="49">
        <f t="shared" si="1"/>
        <v>11.122499999999988</v>
      </c>
      <c r="E38" s="49">
        <f t="shared" si="2"/>
        <v>-9.1243181818181824</v>
      </c>
      <c r="F38" s="38">
        <f t="shared" si="3"/>
        <v>-101.48522897727263</v>
      </c>
      <c r="G38" s="38">
        <f t="shared" si="4"/>
        <v>123.71000624999974</v>
      </c>
      <c r="H38" s="38">
        <f t="shared" si="5"/>
        <v>83.253182283057868</v>
      </c>
    </row>
    <row r="39" spans="1:8" x14ac:dyDescent="0.25">
      <c r="A39">
        <v>36</v>
      </c>
      <c r="B39" s="6">
        <v>136.13999999999999</v>
      </c>
      <c r="C39" s="49">
        <f t="shared" si="0"/>
        <v>107.8</v>
      </c>
      <c r="D39" s="49">
        <f t="shared" si="1"/>
        <v>11.562499999999986</v>
      </c>
      <c r="E39" s="49">
        <f t="shared" si="2"/>
        <v>-9.514318181818183</v>
      </c>
      <c r="F39" s="38">
        <f t="shared" si="3"/>
        <v>-110.00930397727261</v>
      </c>
      <c r="G39" s="38">
        <f t="shared" si="4"/>
        <v>133.69140624999966</v>
      </c>
      <c r="H39" s="38">
        <f t="shared" si="5"/>
        <v>90.522250464876052</v>
      </c>
    </row>
    <row r="40" spans="1:8" x14ac:dyDescent="0.25">
      <c r="A40">
        <v>37</v>
      </c>
      <c r="B40" s="6">
        <v>140.15</v>
      </c>
      <c r="C40" s="49">
        <f t="shared" si="0"/>
        <v>107.47</v>
      </c>
      <c r="D40" s="49">
        <f t="shared" si="1"/>
        <v>15.572500000000005</v>
      </c>
      <c r="E40" s="49">
        <f t="shared" si="2"/>
        <v>-9.8443181818181813</v>
      </c>
      <c r="F40" s="38">
        <f t="shared" si="3"/>
        <v>-153.30064488636367</v>
      </c>
      <c r="G40" s="38">
        <f t="shared" si="4"/>
        <v>242.50275625000015</v>
      </c>
      <c r="H40" s="38">
        <f t="shared" si="5"/>
        <v>96.910600464876026</v>
      </c>
    </row>
    <row r="41" spans="1:8" x14ac:dyDescent="0.25">
      <c r="A41">
        <v>38</v>
      </c>
      <c r="B41" s="6">
        <v>140.09</v>
      </c>
      <c r="C41" s="49">
        <f t="shared" si="0"/>
        <v>107.03</v>
      </c>
      <c r="D41" s="49">
        <f t="shared" si="1"/>
        <v>15.512500000000003</v>
      </c>
      <c r="E41" s="49">
        <f t="shared" si="2"/>
        <v>-10.284318181818179</v>
      </c>
      <c r="F41" s="38">
        <f t="shared" si="3"/>
        <v>-159.53548579545452</v>
      </c>
      <c r="G41" s="38">
        <f t="shared" si="4"/>
        <v>240.63765625000008</v>
      </c>
      <c r="H41" s="38">
        <f t="shared" si="5"/>
        <v>105.76720046487597</v>
      </c>
    </row>
    <row r="42" spans="1:8" x14ac:dyDescent="0.25">
      <c r="A42">
        <v>39</v>
      </c>
      <c r="B42" s="6">
        <v>139.1</v>
      </c>
      <c r="C42" s="49">
        <f t="shared" si="0"/>
        <v>106.61</v>
      </c>
      <c r="D42" s="49">
        <f t="shared" si="1"/>
        <v>14.522499999999994</v>
      </c>
      <c r="E42" s="49">
        <f t="shared" si="2"/>
        <v>-10.704318181818181</v>
      </c>
      <c r="F42" s="38">
        <f t="shared" si="3"/>
        <v>-155.45346079545448</v>
      </c>
      <c r="G42" s="38">
        <f t="shared" si="4"/>
        <v>210.90300624999981</v>
      </c>
      <c r="H42" s="38">
        <f t="shared" si="5"/>
        <v>114.58242773760328</v>
      </c>
    </row>
    <row r="43" spans="1:8" x14ac:dyDescent="0.25">
      <c r="A43">
        <v>40</v>
      </c>
      <c r="B43" s="6">
        <v>137.5</v>
      </c>
      <c r="C43" s="49">
        <f t="shared" si="0"/>
        <v>106.57</v>
      </c>
      <c r="D43" s="49">
        <f t="shared" si="1"/>
        <v>12.922499999999999</v>
      </c>
      <c r="E43" s="49">
        <f t="shared" si="2"/>
        <v>-10.744318181818187</v>
      </c>
      <c r="F43" s="38">
        <f t="shared" si="3"/>
        <v>-138.84345170454552</v>
      </c>
      <c r="G43" s="38">
        <f t="shared" si="4"/>
        <v>166.99100625</v>
      </c>
      <c r="H43" s="38">
        <f t="shared" si="5"/>
        <v>115.44037319214887</v>
      </c>
    </row>
    <row r="44" spans="1:8" x14ac:dyDescent="0.25">
      <c r="A44">
        <v>41</v>
      </c>
      <c r="B44" s="6">
        <v>136.12</v>
      </c>
      <c r="C44" s="49">
        <f t="shared" si="0"/>
        <v>106.49</v>
      </c>
      <c r="D44" s="49">
        <f t="shared" si="1"/>
        <v>11.542500000000004</v>
      </c>
      <c r="E44" s="49">
        <f t="shared" si="2"/>
        <v>-10.824318181818185</v>
      </c>
      <c r="F44" s="38">
        <f t="shared" si="3"/>
        <v>-124.93969261363645</v>
      </c>
      <c r="G44" s="38">
        <f t="shared" si="4"/>
        <v>133.22930625000009</v>
      </c>
      <c r="H44" s="38">
        <f t="shared" si="5"/>
        <v>117.16586410123975</v>
      </c>
    </row>
    <row r="45" spans="1:8" x14ac:dyDescent="0.25">
      <c r="A45">
        <v>42</v>
      </c>
      <c r="B45" s="6">
        <v>135.22</v>
      </c>
      <c r="C45" s="49">
        <f t="shared" si="0"/>
        <v>107.04</v>
      </c>
      <c r="D45" s="49">
        <f t="shared" si="1"/>
        <v>10.642499999999998</v>
      </c>
      <c r="E45" s="49">
        <f t="shared" si="2"/>
        <v>-10.274318181818174</v>
      </c>
      <c r="F45" s="38">
        <f t="shared" si="3"/>
        <v>-109.3444312499999</v>
      </c>
      <c r="G45" s="38">
        <f t="shared" si="4"/>
        <v>113.26280624999997</v>
      </c>
      <c r="H45" s="38">
        <f t="shared" si="5"/>
        <v>105.56161410123951</v>
      </c>
    </row>
    <row r="46" spans="1:8" x14ac:dyDescent="0.25">
      <c r="A46">
        <v>43</v>
      </c>
      <c r="B46" s="6">
        <v>134.72999999999999</v>
      </c>
      <c r="C46" s="49">
        <f t="shared" si="0"/>
        <v>111.35</v>
      </c>
      <c r="D46" s="49">
        <f t="shared" si="1"/>
        <v>10.152499999999989</v>
      </c>
      <c r="E46" s="49">
        <f t="shared" si="2"/>
        <v>-5.9643181818181858</v>
      </c>
      <c r="F46" s="38">
        <f t="shared" si="3"/>
        <v>-60.552740340909068</v>
      </c>
      <c r="G46" s="38">
        <f t="shared" si="4"/>
        <v>103.07325624999979</v>
      </c>
      <c r="H46" s="38">
        <f t="shared" si="5"/>
        <v>35.573091373966989</v>
      </c>
    </row>
    <row r="47" spans="1:8" x14ac:dyDescent="0.25">
      <c r="A47">
        <v>44</v>
      </c>
      <c r="B47" s="6">
        <v>134.38999999999999</v>
      </c>
      <c r="C47" s="49">
        <f t="shared" si="0"/>
        <v>117.54</v>
      </c>
      <c r="D47" s="49">
        <f t="shared" si="1"/>
        <v>9.8124999999999858</v>
      </c>
      <c r="E47" s="49">
        <f t="shared" si="2"/>
        <v>0.22568181818182609</v>
      </c>
      <c r="F47" s="38">
        <f t="shared" si="3"/>
        <v>2.2145028409091654</v>
      </c>
      <c r="G47" s="38">
        <f t="shared" si="4"/>
        <v>96.285156249999716</v>
      </c>
      <c r="H47" s="38">
        <f t="shared" si="5"/>
        <v>5.0932283057854806E-2</v>
      </c>
    </row>
    <row r="48" spans="1:8" x14ac:dyDescent="0.25">
      <c r="A48">
        <v>45</v>
      </c>
      <c r="B48" s="6">
        <v>134.51</v>
      </c>
      <c r="C48" s="49">
        <f t="shared" si="0"/>
        <v>122.58</v>
      </c>
      <c r="D48" s="49">
        <f t="shared" si="1"/>
        <v>9.9324999999999903</v>
      </c>
      <c r="E48" s="49">
        <f t="shared" si="2"/>
        <v>5.2656818181818181</v>
      </c>
      <c r="F48" s="38">
        <f t="shared" si="3"/>
        <v>52.301384659090857</v>
      </c>
      <c r="G48" s="38">
        <f t="shared" si="4"/>
        <v>98.654556249999814</v>
      </c>
      <c r="H48" s="38">
        <f t="shared" si="5"/>
        <v>27.727405010330578</v>
      </c>
    </row>
    <row r="49" spans="1:8" x14ac:dyDescent="0.25">
      <c r="A49">
        <v>46</v>
      </c>
      <c r="B49" s="6">
        <v>134.46</v>
      </c>
      <c r="C49" s="49">
        <f t="shared" si="0"/>
        <v>128.16</v>
      </c>
      <c r="D49" s="49">
        <f t="shared" si="1"/>
        <v>9.8825000000000074</v>
      </c>
      <c r="E49" s="49">
        <f t="shared" si="2"/>
        <v>10.845681818181816</v>
      </c>
      <c r="F49" s="38">
        <f t="shared" si="3"/>
        <v>107.18245056818188</v>
      </c>
      <c r="G49" s="38">
        <f t="shared" si="4"/>
        <v>97.66380625000015</v>
      </c>
      <c r="H49" s="38">
        <f t="shared" si="5"/>
        <v>117.62881410123963</v>
      </c>
    </row>
    <row r="50" spans="1:8" x14ac:dyDescent="0.25">
      <c r="A50">
        <v>47</v>
      </c>
      <c r="B50" s="6">
        <v>134.27000000000001</v>
      </c>
      <c r="C50" s="49">
        <f t="shared" si="0"/>
        <v>132.86000000000001</v>
      </c>
      <c r="D50" s="49">
        <f t="shared" si="1"/>
        <v>9.6925000000000097</v>
      </c>
      <c r="E50" s="49">
        <f t="shared" si="2"/>
        <v>15.545681818181833</v>
      </c>
      <c r="F50" s="38">
        <f t="shared" si="3"/>
        <v>150.67652102272757</v>
      </c>
      <c r="G50" s="38">
        <f t="shared" si="4"/>
        <v>93.94455625000019</v>
      </c>
      <c r="H50" s="38">
        <f t="shared" si="5"/>
        <v>241.66822319214924</v>
      </c>
    </row>
    <row r="51" spans="1:8" x14ac:dyDescent="0.25">
      <c r="A51">
        <v>48</v>
      </c>
      <c r="B51" s="6">
        <v>133.72999999999999</v>
      </c>
      <c r="C51" s="49">
        <f t="shared" si="0"/>
        <v>134.91999999999999</v>
      </c>
      <c r="D51" s="49">
        <f t="shared" si="1"/>
        <v>9.1524999999999892</v>
      </c>
      <c r="E51" s="49">
        <f t="shared" si="2"/>
        <v>17.605681818181807</v>
      </c>
      <c r="F51" s="38">
        <f t="shared" si="3"/>
        <v>161.13600284090879</v>
      </c>
      <c r="G51" s="38">
        <f t="shared" si="4"/>
        <v>83.768256249999808</v>
      </c>
      <c r="H51" s="38">
        <f t="shared" si="5"/>
        <v>309.96003228305744</v>
      </c>
    </row>
    <row r="52" spans="1:8" x14ac:dyDescent="0.25">
      <c r="A52">
        <v>49</v>
      </c>
      <c r="B52" s="6">
        <v>132.01</v>
      </c>
      <c r="C52" s="49">
        <f t="shared" si="0"/>
        <v>135.69999999999999</v>
      </c>
      <c r="D52" s="49">
        <f t="shared" si="1"/>
        <v>7.4324999999999903</v>
      </c>
      <c r="E52" s="49">
        <f t="shared" si="2"/>
        <v>18.385681818181808</v>
      </c>
      <c r="F52" s="38">
        <f t="shared" si="3"/>
        <v>136.6515801136361</v>
      </c>
      <c r="G52" s="38">
        <f t="shared" si="4"/>
        <v>55.242056249999855</v>
      </c>
      <c r="H52" s="38">
        <f t="shared" si="5"/>
        <v>338.03329591942111</v>
      </c>
    </row>
    <row r="53" spans="1:8" x14ac:dyDescent="0.25">
      <c r="A53">
        <v>50</v>
      </c>
      <c r="B53" s="6">
        <v>130.59</v>
      </c>
      <c r="C53" s="49">
        <f t="shared" si="0"/>
        <v>136.13999999999999</v>
      </c>
      <c r="D53" s="49">
        <f t="shared" si="1"/>
        <v>6.0125000000000028</v>
      </c>
      <c r="E53" s="49">
        <f t="shared" si="2"/>
        <v>18.825681818181806</v>
      </c>
      <c r="F53" s="38">
        <f t="shared" si="3"/>
        <v>113.18941193181816</v>
      </c>
      <c r="G53" s="38">
        <f t="shared" si="4"/>
        <v>36.150156250000038</v>
      </c>
      <c r="H53" s="38">
        <f t="shared" si="5"/>
        <v>354.40629591942104</v>
      </c>
    </row>
    <row r="54" spans="1:8" x14ac:dyDescent="0.25">
      <c r="A54">
        <v>51</v>
      </c>
      <c r="B54" s="6">
        <v>130.28</v>
      </c>
      <c r="C54" s="49">
        <f t="shared" si="0"/>
        <v>140.15</v>
      </c>
      <c r="D54" s="49">
        <f t="shared" si="1"/>
        <v>5.7025000000000006</v>
      </c>
      <c r="E54" s="49">
        <f t="shared" si="2"/>
        <v>22.835681818181826</v>
      </c>
      <c r="F54" s="38">
        <f t="shared" si="3"/>
        <v>130.22047556818188</v>
      </c>
      <c r="G54" s="38">
        <f t="shared" si="4"/>
        <v>32.518506250000009</v>
      </c>
      <c r="H54" s="38">
        <f t="shared" si="5"/>
        <v>521.46836410124001</v>
      </c>
    </row>
    <row r="55" spans="1:8" x14ac:dyDescent="0.25">
      <c r="A55">
        <v>52</v>
      </c>
      <c r="B55" s="6">
        <v>129.16</v>
      </c>
      <c r="C55" s="49">
        <f t="shared" si="0"/>
        <v>140.09</v>
      </c>
      <c r="D55" s="49">
        <f t="shared" si="1"/>
        <v>4.582499999999996</v>
      </c>
      <c r="E55" s="49">
        <f t="shared" si="2"/>
        <v>22.775681818181823</v>
      </c>
      <c r="F55" s="38">
        <f t="shared" si="3"/>
        <v>104.36956193181811</v>
      </c>
      <c r="G55" s="38">
        <f t="shared" si="4"/>
        <v>20.999306249999965</v>
      </c>
      <c r="H55" s="38">
        <f t="shared" si="5"/>
        <v>518.73168228305803</v>
      </c>
    </row>
    <row r="56" spans="1:8" x14ac:dyDescent="0.25">
      <c r="A56">
        <v>53</v>
      </c>
      <c r="B56" s="6">
        <v>128.94</v>
      </c>
      <c r="C56" s="49">
        <f t="shared" si="0"/>
        <v>139.1</v>
      </c>
      <c r="D56" s="49">
        <f t="shared" si="1"/>
        <v>4.3624999999999972</v>
      </c>
      <c r="E56" s="49">
        <f t="shared" si="2"/>
        <v>21.785681818181814</v>
      </c>
      <c r="F56" s="38">
        <f t="shared" si="3"/>
        <v>95.040036931818108</v>
      </c>
      <c r="G56" s="38">
        <f t="shared" si="4"/>
        <v>19.031406249999975</v>
      </c>
      <c r="H56" s="38">
        <f t="shared" si="5"/>
        <v>474.6159322830577</v>
      </c>
    </row>
    <row r="57" spans="1:8" x14ac:dyDescent="0.25">
      <c r="A57">
        <v>54</v>
      </c>
      <c r="B57" s="6">
        <v>129.30000000000001</v>
      </c>
      <c r="C57" s="49">
        <f t="shared" si="0"/>
        <v>137.5</v>
      </c>
      <c r="D57" s="49">
        <f t="shared" si="1"/>
        <v>4.7225000000000108</v>
      </c>
      <c r="E57" s="49">
        <f t="shared" si="2"/>
        <v>20.18568181818182</v>
      </c>
      <c r="F57" s="38">
        <f t="shared" si="3"/>
        <v>95.326882386363863</v>
      </c>
      <c r="G57" s="38">
        <f t="shared" si="4"/>
        <v>22.302006250000101</v>
      </c>
      <c r="H57" s="38">
        <f t="shared" si="5"/>
        <v>407.4617504648761</v>
      </c>
    </row>
    <row r="58" spans="1:8" x14ac:dyDescent="0.25">
      <c r="A58">
        <v>55</v>
      </c>
      <c r="B58" s="6">
        <v>131.22</v>
      </c>
      <c r="C58" s="49">
        <f t="shared" si="0"/>
        <v>136.12</v>
      </c>
      <c r="D58" s="49">
        <f t="shared" si="1"/>
        <v>6.6424999999999983</v>
      </c>
      <c r="E58" s="49">
        <f t="shared" si="2"/>
        <v>18.805681818181824</v>
      </c>
      <c r="F58" s="38">
        <f t="shared" si="3"/>
        <v>124.91674147727274</v>
      </c>
      <c r="G58" s="38">
        <f t="shared" si="4"/>
        <v>44.122806249999975</v>
      </c>
      <c r="H58" s="38">
        <f t="shared" si="5"/>
        <v>353.65366864669443</v>
      </c>
    </row>
    <row r="59" spans="1:8" x14ac:dyDescent="0.25">
      <c r="A59">
        <v>56</v>
      </c>
      <c r="B59" s="6">
        <v>132.52000000000001</v>
      </c>
      <c r="C59" s="49">
        <f t="shared" si="0"/>
        <v>135.22</v>
      </c>
      <c r="D59" s="49">
        <f t="shared" si="1"/>
        <v>7.9425000000000097</v>
      </c>
      <c r="E59" s="49">
        <f t="shared" si="2"/>
        <v>17.905681818181819</v>
      </c>
      <c r="F59" s="38">
        <f t="shared" si="3"/>
        <v>142.21587784090926</v>
      </c>
      <c r="G59" s="38">
        <f t="shared" si="4"/>
        <v>63.083306250000156</v>
      </c>
      <c r="H59" s="38">
        <f t="shared" si="5"/>
        <v>320.61344137396696</v>
      </c>
    </row>
    <row r="60" spans="1:8" x14ac:dyDescent="0.25">
      <c r="A60">
        <v>57</v>
      </c>
      <c r="B60" s="6">
        <v>134.25</v>
      </c>
      <c r="C60" s="49">
        <f t="shared" si="0"/>
        <v>134.72999999999999</v>
      </c>
      <c r="D60" s="49">
        <f t="shared" si="1"/>
        <v>9.6724999999999994</v>
      </c>
      <c r="E60" s="49">
        <f t="shared" si="2"/>
        <v>17.41568181818181</v>
      </c>
      <c r="F60" s="38">
        <f t="shared" si="3"/>
        <v>168.45318238636355</v>
      </c>
      <c r="G60" s="38">
        <f t="shared" si="4"/>
        <v>93.557256249999995</v>
      </c>
      <c r="H60" s="38">
        <f t="shared" si="5"/>
        <v>303.30597319214849</v>
      </c>
    </row>
    <row r="61" spans="1:8" x14ac:dyDescent="0.25">
      <c r="A61">
        <v>58</v>
      </c>
      <c r="B61" s="6">
        <v>136.06</v>
      </c>
      <c r="C61" s="49">
        <f t="shared" si="0"/>
        <v>134.38999999999999</v>
      </c>
      <c r="D61" s="49">
        <f t="shared" si="1"/>
        <v>11.482500000000002</v>
      </c>
      <c r="E61" s="49">
        <f t="shared" si="2"/>
        <v>17.075681818181806</v>
      </c>
      <c r="F61" s="38">
        <f t="shared" si="3"/>
        <v>196.07151647727261</v>
      </c>
      <c r="G61" s="38">
        <f t="shared" si="4"/>
        <v>131.84780625000005</v>
      </c>
      <c r="H61" s="38">
        <f t="shared" si="5"/>
        <v>291.57890955578472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5161.83</v>
      </c>
      <c r="D62" s="39">
        <f t="shared" si="6"/>
        <v>-7.1054273576010019E-14</v>
      </c>
      <c r="E62" s="39">
        <f t="shared" si="6"/>
        <v>2.8421709430404007E-14</v>
      </c>
      <c r="F62" s="39">
        <f t="shared" si="6"/>
        <v>2333.373375000001</v>
      </c>
      <c r="G62" s="39">
        <f t="shared" si="6"/>
        <v>6696.1496250000018</v>
      </c>
      <c r="H62" s="39">
        <f t="shared" si="6"/>
        <v>7275.4942795454554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117.31431818181818</v>
      </c>
    </row>
    <row r="65" spans="1:2" ht="18" x14ac:dyDescent="0.35">
      <c r="A65" t="s">
        <v>189</v>
      </c>
      <c r="B65" s="39">
        <f>SUM(B18:B61)/44</f>
        <v>124.5775</v>
      </c>
    </row>
    <row r="66" spans="1:2" ht="18" x14ac:dyDescent="0.35">
      <c r="A66" t="s">
        <v>190</v>
      </c>
      <c r="B66">
        <f>SUM(C18:C61)/44</f>
        <v>117.31431818181818</v>
      </c>
    </row>
    <row r="68" spans="1:2" ht="18" x14ac:dyDescent="0.35">
      <c r="A68" t="s">
        <v>191</v>
      </c>
      <c r="B68">
        <f>F62/SQRT(G62*H62)</f>
        <v>0.33430310594522977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B70" sqref="B70"/>
    </sheetView>
  </sheetViews>
  <sheetFormatPr defaultRowHeight="15" x14ac:dyDescent="0.25"/>
  <cols>
    <col min="6" max="6" width="16.85546875" customWidth="1"/>
  </cols>
  <sheetData>
    <row r="2" spans="1:8" x14ac:dyDescent="0.25">
      <c r="A2" s="34">
        <v>1</v>
      </c>
      <c r="B2" s="34">
        <v>2</v>
      </c>
      <c r="C2" s="50">
        <v>3</v>
      </c>
      <c r="D2" s="50">
        <v>4</v>
      </c>
      <c r="E2" s="50">
        <v>5</v>
      </c>
      <c r="F2" s="50">
        <v>6</v>
      </c>
      <c r="G2" s="50">
        <v>7</v>
      </c>
      <c r="H2" s="50">
        <v>8</v>
      </c>
    </row>
    <row r="3" spans="1:8" ht="18" x14ac:dyDescent="0.25">
      <c r="A3" s="35" t="s">
        <v>67</v>
      </c>
      <c r="B3" s="35" t="s">
        <v>68</v>
      </c>
      <c r="C3" s="47" t="s">
        <v>204</v>
      </c>
      <c r="D3" s="47" t="s">
        <v>205</v>
      </c>
      <c r="E3" s="47" t="s">
        <v>206</v>
      </c>
      <c r="F3" s="48" t="s">
        <v>207</v>
      </c>
      <c r="G3" s="47" t="s">
        <v>208</v>
      </c>
      <c r="H3" s="47" t="s">
        <v>209</v>
      </c>
    </row>
    <row r="4" spans="1:8" x14ac:dyDescent="0.25">
      <c r="A4">
        <v>1</v>
      </c>
      <c r="B4" s="11">
        <v>102.32</v>
      </c>
      <c r="C4" s="51" t="s">
        <v>75</v>
      </c>
      <c r="D4" s="51" t="s">
        <v>75</v>
      </c>
      <c r="E4" s="51" t="s">
        <v>75</v>
      </c>
      <c r="F4" s="51" t="s">
        <v>75</v>
      </c>
      <c r="G4" s="51" t="s">
        <v>75</v>
      </c>
      <c r="H4" s="51" t="s">
        <v>75</v>
      </c>
    </row>
    <row r="5" spans="1:8" x14ac:dyDescent="0.25">
      <c r="A5">
        <v>2</v>
      </c>
      <c r="B5" s="6">
        <v>102.21</v>
      </c>
      <c r="C5" s="51" t="s">
        <v>75</v>
      </c>
      <c r="D5" s="51" t="s">
        <v>75</v>
      </c>
      <c r="E5" s="51" t="s">
        <v>75</v>
      </c>
      <c r="F5" s="51" t="s">
        <v>75</v>
      </c>
      <c r="G5" s="51" t="s">
        <v>75</v>
      </c>
      <c r="H5" s="51" t="s">
        <v>75</v>
      </c>
    </row>
    <row r="6" spans="1:8" x14ac:dyDescent="0.25">
      <c r="A6">
        <v>3</v>
      </c>
      <c r="B6" s="6">
        <v>102.16</v>
      </c>
      <c r="C6" s="51" t="s">
        <v>75</v>
      </c>
      <c r="D6" s="51" t="s">
        <v>75</v>
      </c>
      <c r="E6" s="51" t="s">
        <v>75</v>
      </c>
      <c r="F6" s="51" t="s">
        <v>75</v>
      </c>
      <c r="G6" s="51" t="s">
        <v>75</v>
      </c>
      <c r="H6" s="51" t="s">
        <v>75</v>
      </c>
    </row>
    <row r="7" spans="1:8" x14ac:dyDescent="0.25">
      <c r="A7">
        <v>4</v>
      </c>
      <c r="B7" s="6">
        <v>102.06</v>
      </c>
      <c r="C7" s="51" t="s">
        <v>75</v>
      </c>
      <c r="D7" s="51" t="s">
        <v>75</v>
      </c>
      <c r="E7" s="51" t="s">
        <v>75</v>
      </c>
      <c r="F7" s="51" t="s">
        <v>75</v>
      </c>
      <c r="G7" s="51" t="s">
        <v>75</v>
      </c>
      <c r="H7" s="51" t="s">
        <v>75</v>
      </c>
    </row>
    <row r="8" spans="1:8" x14ac:dyDescent="0.25">
      <c r="A8">
        <v>5</v>
      </c>
      <c r="B8" s="6">
        <v>102.55</v>
      </c>
      <c r="C8" s="51" t="s">
        <v>75</v>
      </c>
      <c r="D8" s="51" t="s">
        <v>75</v>
      </c>
      <c r="E8" s="51" t="s">
        <v>75</v>
      </c>
      <c r="F8" s="51" t="s">
        <v>75</v>
      </c>
      <c r="G8" s="51" t="s">
        <v>75</v>
      </c>
      <c r="H8" s="51" t="s">
        <v>75</v>
      </c>
    </row>
    <row r="9" spans="1:8" x14ac:dyDescent="0.25">
      <c r="A9">
        <v>6</v>
      </c>
      <c r="B9" s="6">
        <v>104.35</v>
      </c>
      <c r="C9" s="51" t="s">
        <v>75</v>
      </c>
      <c r="D9" s="51" t="s">
        <v>75</v>
      </c>
      <c r="E9" s="51" t="s">
        <v>75</v>
      </c>
      <c r="F9" s="51" t="s">
        <v>75</v>
      </c>
      <c r="G9" s="51" t="s">
        <v>75</v>
      </c>
      <c r="H9" s="51" t="s">
        <v>75</v>
      </c>
    </row>
    <row r="10" spans="1:8" x14ac:dyDescent="0.25">
      <c r="A10">
        <v>7</v>
      </c>
      <c r="B10" s="6">
        <v>107.57</v>
      </c>
      <c r="C10" s="51" t="s">
        <v>75</v>
      </c>
      <c r="D10" s="51" t="s">
        <v>75</v>
      </c>
      <c r="E10" s="51" t="s">
        <v>75</v>
      </c>
      <c r="F10" s="51" t="s">
        <v>75</v>
      </c>
      <c r="G10" s="51" t="s">
        <v>75</v>
      </c>
      <c r="H10" s="51" t="s">
        <v>75</v>
      </c>
    </row>
    <row r="11" spans="1:8" x14ac:dyDescent="0.25">
      <c r="A11">
        <v>8</v>
      </c>
      <c r="B11" s="6">
        <v>111.96</v>
      </c>
      <c r="C11" s="51" t="s">
        <v>75</v>
      </c>
      <c r="D11" s="51" t="s">
        <v>75</v>
      </c>
      <c r="E11" s="51" t="s">
        <v>75</v>
      </c>
      <c r="F11" s="51" t="s">
        <v>75</v>
      </c>
      <c r="G11" s="51" t="s">
        <v>75</v>
      </c>
      <c r="H11" s="51" t="s">
        <v>75</v>
      </c>
    </row>
    <row r="12" spans="1:8" x14ac:dyDescent="0.25">
      <c r="A12">
        <v>9</v>
      </c>
      <c r="B12" s="6">
        <v>115.27</v>
      </c>
      <c r="C12" s="51" t="s">
        <v>75</v>
      </c>
      <c r="D12" s="51" t="s">
        <v>75</v>
      </c>
      <c r="E12" s="51" t="s">
        <v>75</v>
      </c>
      <c r="F12" s="51" t="s">
        <v>75</v>
      </c>
      <c r="G12" s="51" t="s">
        <v>75</v>
      </c>
      <c r="H12" s="51" t="s">
        <v>75</v>
      </c>
    </row>
    <row r="13" spans="1:8" x14ac:dyDescent="0.25">
      <c r="A13">
        <v>10</v>
      </c>
      <c r="B13" s="6">
        <v>117.17</v>
      </c>
      <c r="C13" s="51" t="s">
        <v>75</v>
      </c>
      <c r="D13" s="51" t="s">
        <v>75</v>
      </c>
      <c r="E13" s="51" t="s">
        <v>75</v>
      </c>
      <c r="F13" s="51" t="s">
        <v>75</v>
      </c>
      <c r="G13" s="51" t="s">
        <v>75</v>
      </c>
      <c r="H13" s="51" t="s">
        <v>75</v>
      </c>
    </row>
    <row r="14" spans="1:8" x14ac:dyDescent="0.25">
      <c r="A14">
        <v>11</v>
      </c>
      <c r="B14" s="6">
        <v>117.61</v>
      </c>
      <c r="C14" s="51" t="s">
        <v>75</v>
      </c>
      <c r="D14" s="51" t="s">
        <v>75</v>
      </c>
      <c r="E14" s="51" t="s">
        <v>75</v>
      </c>
      <c r="F14" s="51" t="s">
        <v>75</v>
      </c>
      <c r="G14" s="51" t="s">
        <v>75</v>
      </c>
      <c r="H14" s="51" t="s">
        <v>75</v>
      </c>
    </row>
    <row r="15" spans="1:8" x14ac:dyDescent="0.25">
      <c r="A15">
        <v>12</v>
      </c>
      <c r="B15" s="6">
        <v>117.26</v>
      </c>
      <c r="C15" s="51" t="s">
        <v>75</v>
      </c>
      <c r="D15" s="51" t="s">
        <v>75</v>
      </c>
      <c r="E15" s="51" t="s">
        <v>75</v>
      </c>
      <c r="F15" s="51" t="s">
        <v>75</v>
      </c>
      <c r="G15" s="51" t="s">
        <v>75</v>
      </c>
      <c r="H15" s="51" t="s">
        <v>75</v>
      </c>
    </row>
    <row r="16" spans="1:8" x14ac:dyDescent="0.25">
      <c r="A16">
        <v>13</v>
      </c>
      <c r="B16" s="6">
        <v>115.88</v>
      </c>
      <c r="C16" s="51" t="s">
        <v>75</v>
      </c>
      <c r="D16" s="51" t="s">
        <v>75</v>
      </c>
      <c r="E16" s="51" t="s">
        <v>75</v>
      </c>
      <c r="F16" s="51" t="s">
        <v>75</v>
      </c>
      <c r="G16" s="51" t="s">
        <v>75</v>
      </c>
      <c r="H16" s="51" t="s">
        <v>75</v>
      </c>
    </row>
    <row r="17" spans="1:8" x14ac:dyDescent="0.25">
      <c r="A17">
        <v>14</v>
      </c>
      <c r="B17" s="6">
        <v>113.35</v>
      </c>
      <c r="C17" s="51" t="s">
        <v>75</v>
      </c>
      <c r="D17" s="51" t="s">
        <v>75</v>
      </c>
      <c r="E17" s="51" t="s">
        <v>75</v>
      </c>
      <c r="F17" s="51" t="s">
        <v>75</v>
      </c>
      <c r="G17" s="51" t="s">
        <v>75</v>
      </c>
      <c r="H17" s="51" t="s">
        <v>75</v>
      </c>
    </row>
    <row r="18" spans="1:8" x14ac:dyDescent="0.25">
      <c r="A18">
        <v>15</v>
      </c>
      <c r="B18" s="6">
        <v>111.39</v>
      </c>
      <c r="C18" s="51" t="s">
        <v>75</v>
      </c>
      <c r="D18" s="51" t="s">
        <v>75</v>
      </c>
      <c r="E18" s="51" t="s">
        <v>75</v>
      </c>
      <c r="F18" s="51" t="s">
        <v>75</v>
      </c>
      <c r="G18" s="51" t="s">
        <v>75</v>
      </c>
      <c r="H18" s="51" t="s">
        <v>75</v>
      </c>
    </row>
    <row r="19" spans="1:8" x14ac:dyDescent="0.25">
      <c r="A19">
        <v>16</v>
      </c>
      <c r="B19" s="6">
        <v>109.76</v>
      </c>
      <c r="C19" s="52">
        <f>B4</f>
        <v>102.32</v>
      </c>
      <c r="D19" s="52">
        <f>B19-$B$65</f>
        <v>-15.124186046511639</v>
      </c>
      <c r="E19" s="52">
        <f>C19-$B$66</f>
        <v>-14.597209302325581</v>
      </c>
      <c r="F19" s="51">
        <f>D19*E19</f>
        <v>220.77090924824245</v>
      </c>
      <c r="G19" s="51">
        <f>D19*D19</f>
        <v>228.74100356949737</v>
      </c>
      <c r="H19" s="51">
        <f>E19*E19</f>
        <v>213.07851941590047</v>
      </c>
    </row>
    <row r="20" spans="1:8" x14ac:dyDescent="0.25">
      <c r="A20">
        <v>17</v>
      </c>
      <c r="B20" s="6">
        <v>109.5</v>
      </c>
      <c r="C20" s="52">
        <f t="shared" ref="C20:C61" si="0">B5</f>
        <v>102.21</v>
      </c>
      <c r="D20" s="52">
        <f t="shared" ref="D20:D61" si="1">B20-$B$65</f>
        <v>-15.384186046511644</v>
      </c>
      <c r="E20" s="52">
        <f t="shared" ref="E20:E61" si="2">C20-$B$66</f>
        <v>-14.70720930232558</v>
      </c>
      <c r="F20" s="51">
        <f t="shared" ref="F20:F61" si="3">D20*E20</f>
        <v>226.25844413196344</v>
      </c>
      <c r="G20" s="51">
        <f t="shared" ref="G20:G61" si="4">D20*D20</f>
        <v>236.67318031368356</v>
      </c>
      <c r="H20" s="51">
        <f t="shared" ref="H20:H61" si="5">E20*E20</f>
        <v>216.3020054624121</v>
      </c>
    </row>
    <row r="21" spans="1:8" x14ac:dyDescent="0.25">
      <c r="A21">
        <v>18</v>
      </c>
      <c r="B21" s="6">
        <v>108.86</v>
      </c>
      <c r="C21" s="52">
        <f t="shared" si="0"/>
        <v>102.16</v>
      </c>
      <c r="D21" s="52">
        <f t="shared" si="1"/>
        <v>-16.024186046511645</v>
      </c>
      <c r="E21" s="52">
        <f t="shared" si="2"/>
        <v>-14.757209302325577</v>
      </c>
      <c r="F21" s="51">
        <f t="shared" si="3"/>
        <v>236.47226738777735</v>
      </c>
      <c r="G21" s="51">
        <f t="shared" si="4"/>
        <v>256.7745384532185</v>
      </c>
      <c r="H21" s="51">
        <f t="shared" si="5"/>
        <v>217.77522639264456</v>
      </c>
    </row>
    <row r="22" spans="1:8" x14ac:dyDescent="0.25">
      <c r="A22">
        <v>19</v>
      </c>
      <c r="B22" s="6">
        <v>108.49</v>
      </c>
      <c r="C22" s="52">
        <f t="shared" si="0"/>
        <v>102.06</v>
      </c>
      <c r="D22" s="52">
        <f t="shared" si="1"/>
        <v>-16.394186046511649</v>
      </c>
      <c r="E22" s="52">
        <f t="shared" si="2"/>
        <v>-14.857209302325572</v>
      </c>
      <c r="F22" s="51">
        <f t="shared" si="3"/>
        <v>243.57185343428895</v>
      </c>
      <c r="G22" s="51">
        <f t="shared" si="4"/>
        <v>268.76933612763725</v>
      </c>
      <c r="H22" s="51">
        <f t="shared" si="5"/>
        <v>220.73666825310951</v>
      </c>
    </row>
    <row r="23" spans="1:8" x14ac:dyDescent="0.25">
      <c r="A23">
        <v>20</v>
      </c>
      <c r="B23" s="6">
        <v>108.36</v>
      </c>
      <c r="C23" s="52">
        <f t="shared" si="0"/>
        <v>102.55</v>
      </c>
      <c r="D23" s="52">
        <f t="shared" si="1"/>
        <v>-16.524186046511645</v>
      </c>
      <c r="E23" s="52">
        <f t="shared" si="2"/>
        <v>-14.367209302325577</v>
      </c>
      <c r="F23" s="51">
        <f t="shared" si="3"/>
        <v>237.4064394808006</v>
      </c>
      <c r="G23" s="51">
        <f t="shared" si="4"/>
        <v>273.04872449973016</v>
      </c>
      <c r="H23" s="51">
        <f t="shared" si="5"/>
        <v>206.41670313683059</v>
      </c>
    </row>
    <row r="24" spans="1:8" x14ac:dyDescent="0.25">
      <c r="A24">
        <v>21</v>
      </c>
      <c r="B24" s="6">
        <v>108.19</v>
      </c>
      <c r="C24" s="52">
        <f t="shared" si="0"/>
        <v>104.35</v>
      </c>
      <c r="D24" s="52">
        <f t="shared" si="1"/>
        <v>-16.694186046511646</v>
      </c>
      <c r="E24" s="52">
        <f t="shared" si="2"/>
        <v>-12.56720930232558</v>
      </c>
      <c r="F24" s="51">
        <f t="shared" si="3"/>
        <v>209.79933017847506</v>
      </c>
      <c r="G24" s="51">
        <f t="shared" si="4"/>
        <v>278.69584775554415</v>
      </c>
      <c r="H24" s="51">
        <f t="shared" si="5"/>
        <v>157.93474964845859</v>
      </c>
    </row>
    <row r="25" spans="1:8" x14ac:dyDescent="0.25">
      <c r="A25">
        <v>22</v>
      </c>
      <c r="B25" s="6">
        <v>107.8</v>
      </c>
      <c r="C25" s="52">
        <f t="shared" si="0"/>
        <v>107.57</v>
      </c>
      <c r="D25" s="52">
        <f t="shared" si="1"/>
        <v>-17.084186046511647</v>
      </c>
      <c r="E25" s="52">
        <f t="shared" si="2"/>
        <v>-9.3472093023255809</v>
      </c>
      <c r="F25" s="51">
        <f t="shared" si="3"/>
        <v>159.68946273661456</v>
      </c>
      <c r="G25" s="51">
        <f t="shared" si="4"/>
        <v>291.86941287182327</v>
      </c>
      <c r="H25" s="51">
        <f t="shared" si="5"/>
        <v>87.370321741481874</v>
      </c>
    </row>
    <row r="26" spans="1:8" x14ac:dyDescent="0.25">
      <c r="A26">
        <v>23</v>
      </c>
      <c r="B26" s="6">
        <v>107.47</v>
      </c>
      <c r="C26" s="52">
        <f t="shared" si="0"/>
        <v>111.96</v>
      </c>
      <c r="D26" s="52">
        <f t="shared" si="1"/>
        <v>-17.414186046511645</v>
      </c>
      <c r="E26" s="52">
        <f t="shared" si="2"/>
        <v>-4.9572093023255803</v>
      </c>
      <c r="F26" s="51">
        <f t="shared" si="3"/>
        <v>86.325765062195842</v>
      </c>
      <c r="G26" s="51">
        <f t="shared" si="4"/>
        <v>303.2538756625209</v>
      </c>
      <c r="H26" s="51">
        <f t="shared" si="5"/>
        <v>24.573924067063267</v>
      </c>
    </row>
    <row r="27" spans="1:8" x14ac:dyDescent="0.25">
      <c r="A27">
        <v>24</v>
      </c>
      <c r="B27" s="6">
        <v>107.03</v>
      </c>
      <c r="C27" s="52">
        <f t="shared" si="0"/>
        <v>115.27</v>
      </c>
      <c r="D27" s="52">
        <f t="shared" si="1"/>
        <v>-17.854186046511643</v>
      </c>
      <c r="E27" s="52">
        <f t="shared" si="2"/>
        <v>-1.6472093023255781</v>
      </c>
      <c r="F27" s="51">
        <f t="shared" si="3"/>
        <v>29.409581341265515</v>
      </c>
      <c r="G27" s="51">
        <f t="shared" si="4"/>
        <v>318.77195938345108</v>
      </c>
      <c r="H27" s="51">
        <f t="shared" si="5"/>
        <v>2.7132984856679174</v>
      </c>
    </row>
    <row r="28" spans="1:8" x14ac:dyDescent="0.25">
      <c r="A28">
        <v>25</v>
      </c>
      <c r="B28" s="6">
        <v>106.61</v>
      </c>
      <c r="C28" s="52">
        <f t="shared" si="0"/>
        <v>117.17</v>
      </c>
      <c r="D28" s="52">
        <f t="shared" si="1"/>
        <v>-18.274186046511645</v>
      </c>
      <c r="E28" s="52">
        <f t="shared" si="2"/>
        <v>0.25279069767442763</v>
      </c>
      <c r="F28" s="51">
        <f t="shared" si="3"/>
        <v>-4.6195442401299687</v>
      </c>
      <c r="G28" s="51">
        <f t="shared" si="4"/>
        <v>333.9458756625209</v>
      </c>
      <c r="H28" s="51">
        <f t="shared" si="5"/>
        <v>6.3903136830723878E-2</v>
      </c>
    </row>
    <row r="29" spans="1:8" x14ac:dyDescent="0.25">
      <c r="A29">
        <v>26</v>
      </c>
      <c r="B29" s="6">
        <v>106.57</v>
      </c>
      <c r="C29" s="52">
        <f t="shared" si="0"/>
        <v>117.61</v>
      </c>
      <c r="D29" s="52">
        <f t="shared" si="1"/>
        <v>-18.314186046511651</v>
      </c>
      <c r="E29" s="52">
        <f t="shared" si="2"/>
        <v>0.69279069767442536</v>
      </c>
      <c r="F29" s="51">
        <f t="shared" si="3"/>
        <v>-12.687897728502033</v>
      </c>
      <c r="G29" s="51">
        <f t="shared" si="4"/>
        <v>335.40941054624204</v>
      </c>
      <c r="H29" s="51">
        <f t="shared" si="5"/>
        <v>0.47995895078421702</v>
      </c>
    </row>
    <row r="30" spans="1:8" x14ac:dyDescent="0.25">
      <c r="A30">
        <v>27</v>
      </c>
      <c r="B30" s="6">
        <v>106.49</v>
      </c>
      <c r="C30" s="52">
        <f t="shared" si="0"/>
        <v>117.26</v>
      </c>
      <c r="D30" s="52">
        <f t="shared" si="1"/>
        <v>-18.394186046511649</v>
      </c>
      <c r="E30" s="52">
        <f t="shared" si="2"/>
        <v>0.34279069767443104</v>
      </c>
      <c r="F30" s="51">
        <f t="shared" si="3"/>
        <v>-6.3053558680370125</v>
      </c>
      <c r="G30" s="51">
        <f t="shared" si="4"/>
        <v>338.34608031368384</v>
      </c>
      <c r="H30" s="51">
        <f t="shared" si="5"/>
        <v>0.11750546241212319</v>
      </c>
    </row>
    <row r="31" spans="1:8" x14ac:dyDescent="0.25">
      <c r="A31">
        <v>28</v>
      </c>
      <c r="B31" s="6">
        <v>107.04</v>
      </c>
      <c r="C31" s="52">
        <f t="shared" si="0"/>
        <v>115.88</v>
      </c>
      <c r="D31" s="52">
        <f t="shared" si="1"/>
        <v>-17.844186046511638</v>
      </c>
      <c r="E31" s="52">
        <f t="shared" si="2"/>
        <v>-1.0372093023255786</v>
      </c>
      <c r="F31" s="51">
        <f t="shared" si="3"/>
        <v>18.50815575987016</v>
      </c>
      <c r="G31" s="51">
        <f t="shared" si="4"/>
        <v>318.41497566252065</v>
      </c>
      <c r="H31" s="51">
        <f t="shared" si="5"/>
        <v>1.0758031368307135</v>
      </c>
    </row>
    <row r="32" spans="1:8" x14ac:dyDescent="0.25">
      <c r="A32">
        <v>29</v>
      </c>
      <c r="B32" s="6">
        <v>111.35</v>
      </c>
      <c r="C32" s="52">
        <f t="shared" si="0"/>
        <v>113.35</v>
      </c>
      <c r="D32" s="52">
        <f t="shared" si="1"/>
        <v>-13.53418604651165</v>
      </c>
      <c r="E32" s="52">
        <f t="shared" si="2"/>
        <v>-3.5672093023255798</v>
      </c>
      <c r="F32" s="51">
        <f t="shared" si="3"/>
        <v>48.27927436452142</v>
      </c>
      <c r="G32" s="51">
        <f t="shared" si="4"/>
        <v>183.17419194159064</v>
      </c>
      <c r="H32" s="51">
        <f t="shared" si="5"/>
        <v>12.724982206598149</v>
      </c>
    </row>
    <row r="33" spans="1:8" x14ac:dyDescent="0.25">
      <c r="A33">
        <v>30</v>
      </c>
      <c r="B33" s="6">
        <v>117.54</v>
      </c>
      <c r="C33" s="52">
        <f t="shared" si="0"/>
        <v>111.39</v>
      </c>
      <c r="D33" s="52">
        <f t="shared" si="1"/>
        <v>-7.3441860465116378</v>
      </c>
      <c r="E33" s="52">
        <f t="shared" si="2"/>
        <v>-5.5272093023255735</v>
      </c>
      <c r="F33" s="51">
        <f t="shared" si="3"/>
        <v>40.592853434288799</v>
      </c>
      <c r="G33" s="51">
        <f t="shared" si="4"/>
        <v>53.937068685776239</v>
      </c>
      <c r="H33" s="51">
        <f t="shared" si="5"/>
        <v>30.550042671714355</v>
      </c>
    </row>
    <row r="34" spans="1:8" x14ac:dyDescent="0.25">
      <c r="A34">
        <v>31</v>
      </c>
      <c r="B34" s="6">
        <v>122.58</v>
      </c>
      <c r="C34" s="52">
        <f t="shared" si="0"/>
        <v>109.76</v>
      </c>
      <c r="D34" s="52">
        <f t="shared" si="1"/>
        <v>-2.3041860465116457</v>
      </c>
      <c r="E34" s="52">
        <f t="shared" si="2"/>
        <v>-7.157209302325569</v>
      </c>
      <c r="F34" s="51">
        <f t="shared" si="3"/>
        <v>16.491541806381928</v>
      </c>
      <c r="G34" s="51">
        <f t="shared" si="4"/>
        <v>5.3092733369389675</v>
      </c>
      <c r="H34" s="51">
        <f t="shared" si="5"/>
        <v>51.22564499729566</v>
      </c>
    </row>
    <row r="35" spans="1:8" x14ac:dyDescent="0.25">
      <c r="A35">
        <v>32</v>
      </c>
      <c r="B35" s="6">
        <v>128.16</v>
      </c>
      <c r="C35" s="52">
        <f t="shared" si="0"/>
        <v>109.5</v>
      </c>
      <c r="D35" s="52">
        <f t="shared" si="1"/>
        <v>3.2758139534883526</v>
      </c>
      <c r="E35" s="52">
        <f t="shared" si="2"/>
        <v>-7.4172093023255741</v>
      </c>
      <c r="F35" s="51">
        <f t="shared" si="3"/>
        <v>-24.297397728501725</v>
      </c>
      <c r="G35" s="51">
        <f t="shared" si="4"/>
        <v>10.730957057868991</v>
      </c>
      <c r="H35" s="51">
        <f t="shared" si="5"/>
        <v>55.014993834505027</v>
      </c>
    </row>
    <row r="36" spans="1:8" x14ac:dyDescent="0.25">
      <c r="A36">
        <v>33</v>
      </c>
      <c r="B36" s="6">
        <v>132.86000000000001</v>
      </c>
      <c r="C36" s="52">
        <f t="shared" si="0"/>
        <v>108.86</v>
      </c>
      <c r="D36" s="52">
        <f t="shared" si="1"/>
        <v>7.9758139534883696</v>
      </c>
      <c r="E36" s="52">
        <f t="shared" si="2"/>
        <v>-8.0572093023255746</v>
      </c>
      <c r="F36" s="51">
        <f t="shared" si="3"/>
        <v>-64.262802379664606</v>
      </c>
      <c r="G36" s="51">
        <f t="shared" si="4"/>
        <v>63.613608220659778</v>
      </c>
      <c r="H36" s="51">
        <f t="shared" si="5"/>
        <v>64.918621741481772</v>
      </c>
    </row>
    <row r="37" spans="1:8" x14ac:dyDescent="0.25">
      <c r="A37">
        <v>34</v>
      </c>
      <c r="B37" s="6">
        <v>134.91999999999999</v>
      </c>
      <c r="C37" s="52">
        <f t="shared" si="0"/>
        <v>108.49</v>
      </c>
      <c r="D37" s="52">
        <f t="shared" si="1"/>
        <v>10.035813953488343</v>
      </c>
      <c r="E37" s="52">
        <f t="shared" si="2"/>
        <v>-8.4272093023255792</v>
      </c>
      <c r="F37" s="51">
        <f t="shared" si="3"/>
        <v>-84.573904705245809</v>
      </c>
      <c r="G37" s="51">
        <f t="shared" si="4"/>
        <v>100.71756170903133</v>
      </c>
      <c r="H37" s="51">
        <f t="shared" si="5"/>
        <v>71.017856625202782</v>
      </c>
    </row>
    <row r="38" spans="1:8" x14ac:dyDescent="0.25">
      <c r="A38">
        <v>35</v>
      </c>
      <c r="B38" s="6">
        <v>135.69999999999999</v>
      </c>
      <c r="C38" s="52">
        <f t="shared" si="0"/>
        <v>108.36</v>
      </c>
      <c r="D38" s="52">
        <f t="shared" si="1"/>
        <v>10.815813953488345</v>
      </c>
      <c r="E38" s="52">
        <f t="shared" si="2"/>
        <v>-8.5572093023255746</v>
      </c>
      <c r="F38" s="51">
        <f t="shared" si="3"/>
        <v>-92.55318377501321</v>
      </c>
      <c r="G38" s="51">
        <f t="shared" si="4"/>
        <v>116.98183147647318</v>
      </c>
      <c r="H38" s="51">
        <f t="shared" si="5"/>
        <v>73.225831043807347</v>
      </c>
    </row>
    <row r="39" spans="1:8" x14ac:dyDescent="0.25">
      <c r="A39">
        <v>36</v>
      </c>
      <c r="B39" s="6">
        <v>136.13999999999999</v>
      </c>
      <c r="C39" s="52">
        <f t="shared" si="0"/>
        <v>108.19</v>
      </c>
      <c r="D39" s="52">
        <f t="shared" si="1"/>
        <v>11.255813953488342</v>
      </c>
      <c r="E39" s="52">
        <f t="shared" si="2"/>
        <v>-8.7272093023255763</v>
      </c>
      <c r="F39" s="51">
        <f t="shared" si="3"/>
        <v>-98.23184424012949</v>
      </c>
      <c r="G39" s="51">
        <f t="shared" si="4"/>
        <v>126.69334775554287</v>
      </c>
      <c r="H39" s="51">
        <f t="shared" si="5"/>
        <v>76.16418220659807</v>
      </c>
    </row>
    <row r="40" spans="1:8" x14ac:dyDescent="0.25">
      <c r="A40">
        <v>37</v>
      </c>
      <c r="B40" s="6">
        <v>140.15</v>
      </c>
      <c r="C40" s="52">
        <f t="shared" si="0"/>
        <v>107.8</v>
      </c>
      <c r="D40" s="52">
        <f t="shared" si="1"/>
        <v>15.265813953488362</v>
      </c>
      <c r="E40" s="52">
        <f t="shared" si="2"/>
        <v>-9.1172093023255769</v>
      </c>
      <c r="F40" s="51">
        <f t="shared" si="3"/>
        <v>-139.18162098431569</v>
      </c>
      <c r="G40" s="51">
        <f t="shared" si="4"/>
        <v>233.04507566251996</v>
      </c>
      <c r="H40" s="51">
        <f t="shared" si="5"/>
        <v>83.123505462412027</v>
      </c>
    </row>
    <row r="41" spans="1:8" x14ac:dyDescent="0.25">
      <c r="A41">
        <v>38</v>
      </c>
      <c r="B41" s="6">
        <v>140.09</v>
      </c>
      <c r="C41" s="52">
        <f t="shared" si="0"/>
        <v>107.47</v>
      </c>
      <c r="D41" s="52">
        <f t="shared" si="1"/>
        <v>15.205813953488359</v>
      </c>
      <c r="E41" s="52">
        <f t="shared" si="2"/>
        <v>-9.4472093023255752</v>
      </c>
      <c r="F41" s="51">
        <f t="shared" si="3"/>
        <v>-143.65250703082725</v>
      </c>
      <c r="G41" s="51">
        <f t="shared" si="4"/>
        <v>231.21677798810128</v>
      </c>
      <c r="H41" s="51">
        <f t="shared" si="5"/>
        <v>89.249763601946881</v>
      </c>
    </row>
    <row r="42" spans="1:8" x14ac:dyDescent="0.25">
      <c r="A42">
        <v>39</v>
      </c>
      <c r="B42" s="6">
        <v>139.1</v>
      </c>
      <c r="C42" s="52">
        <f t="shared" si="0"/>
        <v>107.03</v>
      </c>
      <c r="D42" s="52">
        <f t="shared" si="1"/>
        <v>14.21581395348835</v>
      </c>
      <c r="E42" s="52">
        <f t="shared" si="2"/>
        <v>-9.8872093023255729</v>
      </c>
      <c r="F42" s="51">
        <f t="shared" si="3"/>
        <v>-140.55472796105968</v>
      </c>
      <c r="G42" s="51">
        <f t="shared" si="4"/>
        <v>202.08936636019408</v>
      </c>
      <c r="H42" s="51">
        <f t="shared" si="5"/>
        <v>97.756907787993342</v>
      </c>
    </row>
    <row r="43" spans="1:8" x14ac:dyDescent="0.25">
      <c r="A43">
        <v>40</v>
      </c>
      <c r="B43" s="6">
        <v>137.5</v>
      </c>
      <c r="C43" s="52">
        <f t="shared" si="0"/>
        <v>106.61</v>
      </c>
      <c r="D43" s="52">
        <f t="shared" si="1"/>
        <v>12.615813953488356</v>
      </c>
      <c r="E43" s="52">
        <f t="shared" si="2"/>
        <v>-10.307209302325575</v>
      </c>
      <c r="F43" s="51">
        <f t="shared" si="3"/>
        <v>-130.03383493780396</v>
      </c>
      <c r="G43" s="51">
        <f t="shared" si="4"/>
        <v>159.1587617090315</v>
      </c>
      <c r="H43" s="51">
        <f t="shared" si="5"/>
        <v>106.23856360194686</v>
      </c>
    </row>
    <row r="44" spans="1:8" x14ac:dyDescent="0.25">
      <c r="A44">
        <v>41</v>
      </c>
      <c r="B44" s="6">
        <v>136.12</v>
      </c>
      <c r="C44" s="52">
        <f t="shared" si="0"/>
        <v>106.57</v>
      </c>
      <c r="D44" s="52">
        <f t="shared" si="1"/>
        <v>11.235813953488361</v>
      </c>
      <c r="E44" s="52">
        <f t="shared" si="2"/>
        <v>-10.347209302325581</v>
      </c>
      <c r="F44" s="51">
        <f t="shared" si="3"/>
        <v>-116.25931865873433</v>
      </c>
      <c r="G44" s="51">
        <f t="shared" si="4"/>
        <v>126.24351519740374</v>
      </c>
      <c r="H44" s="51">
        <f t="shared" si="5"/>
        <v>107.06474034613304</v>
      </c>
    </row>
    <row r="45" spans="1:8" x14ac:dyDescent="0.25">
      <c r="A45">
        <v>42</v>
      </c>
      <c r="B45" s="6">
        <v>135.22</v>
      </c>
      <c r="C45" s="52">
        <f t="shared" si="0"/>
        <v>106.49</v>
      </c>
      <c r="D45" s="52">
        <f t="shared" si="1"/>
        <v>10.335813953488355</v>
      </c>
      <c r="E45" s="52">
        <f t="shared" si="2"/>
        <v>-10.427209302325579</v>
      </c>
      <c r="F45" s="51">
        <f t="shared" si="3"/>
        <v>-107.7736954029203</v>
      </c>
      <c r="G45" s="51">
        <f t="shared" si="4"/>
        <v>106.82905008112458</v>
      </c>
      <c r="H45" s="51">
        <f t="shared" si="5"/>
        <v>108.7266938345051</v>
      </c>
    </row>
    <row r="46" spans="1:8" x14ac:dyDescent="0.25">
      <c r="A46">
        <v>43</v>
      </c>
      <c r="B46" s="6">
        <v>134.72999999999999</v>
      </c>
      <c r="C46" s="52">
        <f t="shared" si="0"/>
        <v>107.04</v>
      </c>
      <c r="D46" s="52">
        <f t="shared" si="1"/>
        <v>9.8458139534883458</v>
      </c>
      <c r="E46" s="52">
        <f t="shared" si="2"/>
        <v>-9.8772093023255678</v>
      </c>
      <c r="F46" s="51">
        <f t="shared" si="3"/>
        <v>-97.249165170361962</v>
      </c>
      <c r="G46" s="51">
        <f t="shared" si="4"/>
        <v>96.940052406705803</v>
      </c>
      <c r="H46" s="51">
        <f t="shared" si="5"/>
        <v>97.559263601946725</v>
      </c>
    </row>
    <row r="47" spans="1:8" x14ac:dyDescent="0.25">
      <c r="A47">
        <v>44</v>
      </c>
      <c r="B47" s="6">
        <v>134.38999999999999</v>
      </c>
      <c r="C47" s="52">
        <f t="shared" si="0"/>
        <v>111.35</v>
      </c>
      <c r="D47" s="52">
        <f t="shared" si="1"/>
        <v>9.5058139534883423</v>
      </c>
      <c r="E47" s="52">
        <f t="shared" si="2"/>
        <v>-5.5672093023255798</v>
      </c>
      <c r="F47" s="51">
        <f t="shared" si="3"/>
        <v>-52.920855868036597</v>
      </c>
      <c r="G47" s="51">
        <f t="shared" si="4"/>
        <v>90.360498918333676</v>
      </c>
      <c r="H47" s="51">
        <f t="shared" si="5"/>
        <v>30.993819415900468</v>
      </c>
    </row>
    <row r="48" spans="1:8" x14ac:dyDescent="0.25">
      <c r="A48">
        <v>45</v>
      </c>
      <c r="B48" s="6">
        <v>134.51</v>
      </c>
      <c r="C48" s="52">
        <f t="shared" si="0"/>
        <v>117.54</v>
      </c>
      <c r="D48" s="52">
        <f t="shared" si="1"/>
        <v>9.6258139534883469</v>
      </c>
      <c r="E48" s="52">
        <f t="shared" si="2"/>
        <v>0.62279069767443218</v>
      </c>
      <c r="F48" s="51">
        <f t="shared" si="3"/>
        <v>5.9948673877772922</v>
      </c>
      <c r="G48" s="51">
        <f t="shared" si="4"/>
        <v>92.656294267170964</v>
      </c>
      <c r="H48" s="51">
        <f t="shared" si="5"/>
        <v>0.38786825310980599</v>
      </c>
    </row>
    <row r="49" spans="1:8" x14ac:dyDescent="0.25">
      <c r="A49">
        <v>46</v>
      </c>
      <c r="B49" s="6">
        <v>134.46</v>
      </c>
      <c r="C49" s="52">
        <f t="shared" si="0"/>
        <v>122.58</v>
      </c>
      <c r="D49" s="52">
        <f t="shared" si="1"/>
        <v>9.5758139534883639</v>
      </c>
      <c r="E49" s="52">
        <f t="shared" si="2"/>
        <v>5.6627906976744242</v>
      </c>
      <c r="F49" s="51">
        <f t="shared" si="3"/>
        <v>54.225830178474858</v>
      </c>
      <c r="G49" s="51">
        <f t="shared" si="4"/>
        <v>91.696212871822453</v>
      </c>
      <c r="H49" s="51">
        <f t="shared" si="5"/>
        <v>32.067198485667994</v>
      </c>
    </row>
    <row r="50" spans="1:8" x14ac:dyDescent="0.25">
      <c r="A50">
        <v>47</v>
      </c>
      <c r="B50" s="6">
        <v>134.27000000000001</v>
      </c>
      <c r="C50" s="52">
        <f t="shared" si="0"/>
        <v>128.16</v>
      </c>
      <c r="D50" s="52">
        <f t="shared" si="1"/>
        <v>9.3858139534883662</v>
      </c>
      <c r="E50" s="52">
        <f t="shared" si="2"/>
        <v>11.242790697674423</v>
      </c>
      <c r="F50" s="51">
        <f t="shared" si="3"/>
        <v>105.5227418063818</v>
      </c>
      <c r="G50" s="51">
        <f t="shared" si="4"/>
        <v>88.093503569496917</v>
      </c>
      <c r="H50" s="51">
        <f t="shared" si="5"/>
        <v>126.40034267171453</v>
      </c>
    </row>
    <row r="51" spans="1:8" x14ac:dyDescent="0.25">
      <c r="A51">
        <v>48</v>
      </c>
      <c r="B51" s="6">
        <v>133.72999999999999</v>
      </c>
      <c r="C51" s="52">
        <f t="shared" si="0"/>
        <v>132.86000000000001</v>
      </c>
      <c r="D51" s="52">
        <f t="shared" si="1"/>
        <v>8.8458139534883458</v>
      </c>
      <c r="E51" s="52">
        <f t="shared" si="2"/>
        <v>15.94279069767444</v>
      </c>
      <c r="F51" s="51">
        <f t="shared" si="3"/>
        <v>141.02696041103275</v>
      </c>
      <c r="G51" s="51">
        <f t="shared" si="4"/>
        <v>78.248424499729111</v>
      </c>
      <c r="H51" s="51">
        <f t="shared" si="5"/>
        <v>254.17257522985463</v>
      </c>
    </row>
    <row r="52" spans="1:8" x14ac:dyDescent="0.25">
      <c r="A52">
        <v>49</v>
      </c>
      <c r="B52" s="6">
        <v>132.01</v>
      </c>
      <c r="C52" s="52">
        <f t="shared" si="0"/>
        <v>134.91999999999999</v>
      </c>
      <c r="D52" s="52">
        <f t="shared" si="1"/>
        <v>7.1258139534883469</v>
      </c>
      <c r="E52" s="52">
        <f t="shared" si="2"/>
        <v>18.002790697674413</v>
      </c>
      <c r="F52" s="51">
        <f t="shared" si="3"/>
        <v>128.28453715521854</v>
      </c>
      <c r="G52" s="51">
        <f t="shared" si="4"/>
        <v>50.777224499729222</v>
      </c>
      <c r="H52" s="51">
        <f t="shared" si="5"/>
        <v>324.10047290427241</v>
      </c>
    </row>
    <row r="53" spans="1:8" x14ac:dyDescent="0.25">
      <c r="A53">
        <v>50</v>
      </c>
      <c r="B53" s="6">
        <v>130.59</v>
      </c>
      <c r="C53" s="52">
        <f t="shared" si="0"/>
        <v>135.69999999999999</v>
      </c>
      <c r="D53" s="52">
        <f t="shared" si="1"/>
        <v>5.7058139534883594</v>
      </c>
      <c r="E53" s="52">
        <f t="shared" si="2"/>
        <v>18.782790697674415</v>
      </c>
      <c r="F53" s="51">
        <f t="shared" si="3"/>
        <v>107.17110924824203</v>
      </c>
      <c r="G53" s="51">
        <f t="shared" si="4"/>
        <v>32.556312871822463</v>
      </c>
      <c r="H53" s="51">
        <f t="shared" si="5"/>
        <v>352.7932263926445</v>
      </c>
    </row>
    <row r="54" spans="1:8" x14ac:dyDescent="0.25">
      <c r="A54">
        <v>51</v>
      </c>
      <c r="B54" s="6">
        <v>130.28</v>
      </c>
      <c r="C54" s="52">
        <f t="shared" si="0"/>
        <v>136.13999999999999</v>
      </c>
      <c r="D54" s="52">
        <f t="shared" si="1"/>
        <v>5.3958139534883571</v>
      </c>
      <c r="E54" s="52">
        <f t="shared" si="2"/>
        <v>19.222790697674412</v>
      </c>
      <c r="F54" s="51">
        <f t="shared" si="3"/>
        <v>103.72260227149779</v>
      </c>
      <c r="G54" s="51">
        <f t="shared" si="4"/>
        <v>29.114808220659654</v>
      </c>
      <c r="H54" s="51">
        <f t="shared" si="5"/>
        <v>369.51568220659794</v>
      </c>
    </row>
    <row r="55" spans="1:8" x14ac:dyDescent="0.25">
      <c r="A55">
        <v>52</v>
      </c>
      <c r="B55" s="6">
        <v>129.16</v>
      </c>
      <c r="C55" s="52">
        <f t="shared" si="0"/>
        <v>140.15</v>
      </c>
      <c r="D55" s="52">
        <f t="shared" si="1"/>
        <v>4.2758139534883526</v>
      </c>
      <c r="E55" s="52">
        <f t="shared" si="2"/>
        <v>23.232790697674432</v>
      </c>
      <c r="F55" s="51">
        <f t="shared" si="3"/>
        <v>99.339090643590737</v>
      </c>
      <c r="G55" s="51">
        <f t="shared" si="4"/>
        <v>18.282584964845697</v>
      </c>
      <c r="H55" s="51">
        <f t="shared" si="5"/>
        <v>539.76256360194759</v>
      </c>
    </row>
    <row r="56" spans="1:8" x14ac:dyDescent="0.25">
      <c r="A56">
        <v>53</v>
      </c>
      <c r="B56" s="6">
        <v>128.94</v>
      </c>
      <c r="C56" s="52">
        <f t="shared" si="0"/>
        <v>140.09</v>
      </c>
      <c r="D56" s="52">
        <f t="shared" si="1"/>
        <v>4.0558139534883537</v>
      </c>
      <c r="E56" s="52">
        <f t="shared" si="2"/>
        <v>23.172790697674429</v>
      </c>
      <c r="F56" s="51">
        <f t="shared" si="3"/>
        <v>93.984527852893081</v>
      </c>
      <c r="G56" s="51">
        <f t="shared" si="4"/>
        <v>16.44962682531083</v>
      </c>
      <c r="H56" s="51">
        <f t="shared" si="5"/>
        <v>536.97822871822655</v>
      </c>
    </row>
    <row r="57" spans="1:8" x14ac:dyDescent="0.25">
      <c r="A57">
        <v>54</v>
      </c>
      <c r="B57" s="6">
        <v>129.30000000000001</v>
      </c>
      <c r="C57" s="52">
        <f t="shared" si="0"/>
        <v>139.1</v>
      </c>
      <c r="D57" s="52">
        <f t="shared" si="1"/>
        <v>4.4158139534883674</v>
      </c>
      <c r="E57" s="52">
        <f t="shared" si="2"/>
        <v>22.18279069767442</v>
      </c>
      <c r="F57" s="51">
        <f t="shared" si="3"/>
        <v>97.955076690102658</v>
      </c>
      <c r="G57" s="51">
        <f t="shared" si="4"/>
        <v>19.499412871822564</v>
      </c>
      <c r="H57" s="51">
        <f t="shared" si="5"/>
        <v>492.07620313683077</v>
      </c>
    </row>
    <row r="58" spans="1:8" x14ac:dyDescent="0.25">
      <c r="A58">
        <v>55</v>
      </c>
      <c r="B58" s="6">
        <v>131.22</v>
      </c>
      <c r="C58" s="52">
        <f t="shared" si="0"/>
        <v>137.5</v>
      </c>
      <c r="D58" s="52">
        <f t="shared" si="1"/>
        <v>6.3358139534883549</v>
      </c>
      <c r="E58" s="52">
        <f t="shared" si="2"/>
        <v>20.582790697674426</v>
      </c>
      <c r="F58" s="51">
        <f t="shared" si="3"/>
        <v>130.40873250405593</v>
      </c>
      <c r="G58" s="51">
        <f t="shared" si="4"/>
        <v>40.142538453217739</v>
      </c>
      <c r="H58" s="51">
        <f t="shared" si="5"/>
        <v>423.6512729042729</v>
      </c>
    </row>
    <row r="59" spans="1:8" x14ac:dyDescent="0.25">
      <c r="A59">
        <v>56</v>
      </c>
      <c r="B59" s="6">
        <v>132.52000000000001</v>
      </c>
      <c r="C59" s="52">
        <f t="shared" si="0"/>
        <v>136.12</v>
      </c>
      <c r="D59" s="52">
        <f t="shared" si="1"/>
        <v>7.6358139534883662</v>
      </c>
      <c r="E59" s="52">
        <f t="shared" si="2"/>
        <v>19.20279069767443</v>
      </c>
      <c r="F59" s="51">
        <f t="shared" si="3"/>
        <v>146.62893715521901</v>
      </c>
      <c r="G59" s="51">
        <f t="shared" si="4"/>
        <v>58.305654732287636</v>
      </c>
      <c r="H59" s="51">
        <f t="shared" si="5"/>
        <v>368.74717057869162</v>
      </c>
    </row>
    <row r="60" spans="1:8" x14ac:dyDescent="0.25">
      <c r="A60">
        <v>57</v>
      </c>
      <c r="B60" s="6">
        <v>134.25</v>
      </c>
      <c r="C60" s="52">
        <f t="shared" si="0"/>
        <v>135.22</v>
      </c>
      <c r="D60" s="52">
        <f t="shared" si="1"/>
        <v>9.365813953488356</v>
      </c>
      <c r="E60" s="52">
        <f t="shared" si="2"/>
        <v>18.302790697674425</v>
      </c>
      <c r="F60" s="51">
        <f t="shared" si="3"/>
        <v>171.42053250405601</v>
      </c>
      <c r="G60" s="51">
        <f t="shared" si="4"/>
        <v>87.718471011357195</v>
      </c>
      <c r="H60" s="51">
        <f t="shared" si="5"/>
        <v>334.99214732287749</v>
      </c>
    </row>
    <row r="61" spans="1:8" x14ac:dyDescent="0.25">
      <c r="A61">
        <v>58</v>
      </c>
      <c r="B61" s="6">
        <v>136.06</v>
      </c>
      <c r="C61" s="52">
        <f t="shared" si="0"/>
        <v>134.72999999999999</v>
      </c>
      <c r="D61" s="52">
        <f t="shared" si="1"/>
        <v>11.175813953488358</v>
      </c>
      <c r="E61" s="52">
        <f t="shared" si="2"/>
        <v>17.812790697674416</v>
      </c>
      <c r="F61" s="51">
        <f t="shared" si="3"/>
        <v>199.07243482963736</v>
      </c>
      <c r="G61" s="51">
        <f t="shared" si="4"/>
        <v>124.89881752298508</v>
      </c>
      <c r="H61" s="51">
        <f t="shared" si="5"/>
        <v>317.2955124391562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5027.4399999999996</v>
      </c>
      <c r="D62" s="39">
        <f t="shared" si="6"/>
        <v>-7.3896444519050419E-13</v>
      </c>
      <c r="E62" s="39">
        <f t="shared" si="6"/>
        <v>1.9895196601282805E-13</v>
      </c>
      <c r="F62" s="39">
        <f t="shared" si="6"/>
        <v>2043.1762023255822</v>
      </c>
      <c r="G62" s="39">
        <f t="shared" si="6"/>
        <v>6518.1950465116288</v>
      </c>
      <c r="H62" s="39">
        <f t="shared" si="6"/>
        <v>6977.1344651162799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116.91720930232557</v>
      </c>
    </row>
    <row r="65" spans="1:2" ht="18" x14ac:dyDescent="0.35">
      <c r="A65" t="s">
        <v>198</v>
      </c>
      <c r="B65" s="39">
        <f>SUM(B19:B61)/43</f>
        <v>124.88418604651164</v>
      </c>
    </row>
    <row r="66" spans="1:2" ht="18" x14ac:dyDescent="0.35">
      <c r="A66" t="s">
        <v>199</v>
      </c>
      <c r="B66">
        <f>SUM(C19:C61)/43</f>
        <v>116.91720930232557</v>
      </c>
    </row>
    <row r="68" spans="1:2" ht="18" x14ac:dyDescent="0.35">
      <c r="A68" t="s">
        <v>200</v>
      </c>
      <c r="B68">
        <f>F62/SQRT(G62*H62)</f>
        <v>0.30297277110364984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3" workbookViewId="0">
      <selection activeCell="B71" sqref="B71"/>
    </sheetView>
  </sheetViews>
  <sheetFormatPr defaultRowHeight="15" x14ac:dyDescent="0.25"/>
  <cols>
    <col min="6" max="6" width="16.57031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210</v>
      </c>
      <c r="D3" s="45" t="s">
        <v>212</v>
      </c>
      <c r="E3" s="45" t="s">
        <v>211</v>
      </c>
      <c r="F3" s="46" t="s">
        <v>213</v>
      </c>
      <c r="G3" s="45" t="s">
        <v>214</v>
      </c>
      <c r="H3" s="45" t="s">
        <v>215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53">
        <f>B4</f>
        <v>102.32</v>
      </c>
      <c r="D20" s="53">
        <f>B20-$B$65</f>
        <v>-15.744285714285724</v>
      </c>
      <c r="E20" s="53">
        <f>C20-$B$66</f>
        <v>-14.173095238095243</v>
      </c>
      <c r="F20" s="4">
        <f>D20*E20</f>
        <v>223.14526088435395</v>
      </c>
      <c r="G20" s="4">
        <f>D20*D20</f>
        <v>247.8825326530615</v>
      </c>
      <c r="H20" s="4">
        <f>E20*E20</f>
        <v>200.87662862811806</v>
      </c>
    </row>
    <row r="21" spans="1:8" x14ac:dyDescent="0.25">
      <c r="A21">
        <v>18</v>
      </c>
      <c r="B21" s="6">
        <v>108.86</v>
      </c>
      <c r="C21" s="53">
        <f t="shared" ref="C21:C61" si="0">B5</f>
        <v>102.21</v>
      </c>
      <c r="D21" s="53">
        <f t="shared" ref="D21:D61" si="1">B21-$B$65</f>
        <v>-16.384285714285724</v>
      </c>
      <c r="E21" s="53">
        <f t="shared" ref="E21:E61" si="2">C21-$B$66</f>
        <v>-14.283095238095243</v>
      </c>
      <c r="F21" s="4">
        <f t="shared" ref="F21:F61" si="3">D21*E21</f>
        <v>234.01831326530635</v>
      </c>
      <c r="G21" s="4">
        <f t="shared" ref="G21:G61" si="4">D21*D21</f>
        <v>268.44481836734724</v>
      </c>
      <c r="H21" s="4">
        <f t="shared" ref="H21:H61" si="5">E21*E21</f>
        <v>204.00680958049898</v>
      </c>
    </row>
    <row r="22" spans="1:8" x14ac:dyDescent="0.25">
      <c r="A22">
        <v>19</v>
      </c>
      <c r="B22" s="6">
        <v>108.49</v>
      </c>
      <c r="C22" s="53">
        <f t="shared" si="0"/>
        <v>102.16</v>
      </c>
      <c r="D22" s="53">
        <f t="shared" si="1"/>
        <v>-16.754285714285729</v>
      </c>
      <c r="E22" s="53">
        <f t="shared" si="2"/>
        <v>-14.33309523809524</v>
      </c>
      <c r="F22" s="4">
        <f t="shared" si="3"/>
        <v>240.14077278911589</v>
      </c>
      <c r="G22" s="4">
        <f t="shared" si="4"/>
        <v>280.70608979591884</v>
      </c>
      <c r="H22" s="4">
        <f t="shared" si="5"/>
        <v>205.43761910430842</v>
      </c>
    </row>
    <row r="23" spans="1:8" x14ac:dyDescent="0.25">
      <c r="A23">
        <v>20</v>
      </c>
      <c r="B23" s="6">
        <v>108.36</v>
      </c>
      <c r="C23" s="53">
        <f t="shared" si="0"/>
        <v>102.06</v>
      </c>
      <c r="D23" s="53">
        <f t="shared" si="1"/>
        <v>-16.884285714285724</v>
      </c>
      <c r="E23" s="53">
        <f t="shared" si="2"/>
        <v>-14.433095238095234</v>
      </c>
      <c r="F23" s="4">
        <f t="shared" si="3"/>
        <v>243.69250374149667</v>
      </c>
      <c r="G23" s="4">
        <f t="shared" si="4"/>
        <v>285.07910408163298</v>
      </c>
      <c r="H23" s="4">
        <f t="shared" si="5"/>
        <v>208.31423815192733</v>
      </c>
    </row>
    <row r="24" spans="1:8" x14ac:dyDescent="0.25">
      <c r="A24">
        <v>21</v>
      </c>
      <c r="B24" s="6">
        <v>108.19</v>
      </c>
      <c r="C24" s="53">
        <f t="shared" si="0"/>
        <v>102.55</v>
      </c>
      <c r="D24" s="53">
        <f t="shared" si="1"/>
        <v>-17.054285714285726</v>
      </c>
      <c r="E24" s="53">
        <f t="shared" si="2"/>
        <v>-13.943095238095239</v>
      </c>
      <c r="F24" s="4">
        <f t="shared" si="3"/>
        <v>237.78952993197296</v>
      </c>
      <c r="G24" s="4">
        <f t="shared" si="4"/>
        <v>290.84866122449017</v>
      </c>
      <c r="H24" s="4">
        <f t="shared" si="5"/>
        <v>194.40990481859413</v>
      </c>
    </row>
    <row r="25" spans="1:8" x14ac:dyDescent="0.25">
      <c r="A25">
        <v>22</v>
      </c>
      <c r="B25" s="6">
        <v>107.8</v>
      </c>
      <c r="C25" s="53">
        <f t="shared" si="0"/>
        <v>104.35</v>
      </c>
      <c r="D25" s="53">
        <f t="shared" si="1"/>
        <v>-17.444285714285726</v>
      </c>
      <c r="E25" s="53">
        <f t="shared" si="2"/>
        <v>-12.143095238095242</v>
      </c>
      <c r="F25" s="4">
        <f t="shared" si="3"/>
        <v>211.82762278911585</v>
      </c>
      <c r="G25" s="4">
        <f t="shared" si="4"/>
        <v>304.30310408163308</v>
      </c>
      <c r="H25" s="4">
        <f t="shared" si="5"/>
        <v>147.45476196145134</v>
      </c>
    </row>
    <row r="26" spans="1:8" x14ac:dyDescent="0.25">
      <c r="A26">
        <v>23</v>
      </c>
      <c r="B26" s="6">
        <v>107.47</v>
      </c>
      <c r="C26" s="53">
        <f t="shared" si="0"/>
        <v>107.57</v>
      </c>
      <c r="D26" s="53">
        <f t="shared" si="1"/>
        <v>-17.774285714285725</v>
      </c>
      <c r="E26" s="53">
        <f t="shared" si="2"/>
        <v>-8.9230952380952431</v>
      </c>
      <c r="F26" s="4">
        <f t="shared" si="3"/>
        <v>158.60164421768727</v>
      </c>
      <c r="G26" s="4">
        <f t="shared" si="4"/>
        <v>315.92523265306158</v>
      </c>
      <c r="H26" s="4">
        <f t="shared" si="5"/>
        <v>79.621628628118003</v>
      </c>
    </row>
    <row r="27" spans="1:8" x14ac:dyDescent="0.25">
      <c r="A27">
        <v>24</v>
      </c>
      <c r="B27" s="6">
        <v>107.03</v>
      </c>
      <c r="C27" s="53">
        <f t="shared" si="0"/>
        <v>111.96</v>
      </c>
      <c r="D27" s="53">
        <f t="shared" si="1"/>
        <v>-18.214285714285722</v>
      </c>
      <c r="E27" s="53">
        <f t="shared" si="2"/>
        <v>-4.5330952380952425</v>
      </c>
      <c r="F27" s="4">
        <f t="shared" si="3"/>
        <v>82.567091836734818</v>
      </c>
      <c r="G27" s="4">
        <f t="shared" si="4"/>
        <v>331.76020408163293</v>
      </c>
      <c r="H27" s="4">
        <f t="shared" si="5"/>
        <v>20.548952437641763</v>
      </c>
    </row>
    <row r="28" spans="1:8" x14ac:dyDescent="0.25">
      <c r="A28">
        <v>25</v>
      </c>
      <c r="B28" s="6">
        <v>106.61</v>
      </c>
      <c r="C28" s="53">
        <f t="shared" si="0"/>
        <v>115.27</v>
      </c>
      <c r="D28" s="53">
        <f t="shared" si="1"/>
        <v>-18.634285714285724</v>
      </c>
      <c r="E28" s="53">
        <f t="shared" si="2"/>
        <v>-1.2230952380952402</v>
      </c>
      <c r="F28" s="4">
        <f t="shared" si="3"/>
        <v>22.791506122449032</v>
      </c>
      <c r="G28" s="4">
        <f t="shared" si="4"/>
        <v>347.236604081633</v>
      </c>
      <c r="H28" s="4">
        <f t="shared" si="5"/>
        <v>1.4959619614512525</v>
      </c>
    </row>
    <row r="29" spans="1:8" x14ac:dyDescent="0.25">
      <c r="A29">
        <v>26</v>
      </c>
      <c r="B29" s="6">
        <v>106.57</v>
      </c>
      <c r="C29" s="53">
        <f t="shared" si="0"/>
        <v>117.17</v>
      </c>
      <c r="D29" s="53">
        <f t="shared" si="1"/>
        <v>-18.67428571428573</v>
      </c>
      <c r="E29" s="53">
        <f t="shared" si="2"/>
        <v>0.67690476190476545</v>
      </c>
      <c r="F29" s="4">
        <f t="shared" si="3"/>
        <v>-12.640712925170146</v>
      </c>
      <c r="G29" s="4">
        <f t="shared" si="4"/>
        <v>348.72894693877612</v>
      </c>
      <c r="H29" s="4">
        <f t="shared" si="5"/>
        <v>0.45820005668934721</v>
      </c>
    </row>
    <row r="30" spans="1:8" x14ac:dyDescent="0.25">
      <c r="A30">
        <v>27</v>
      </c>
      <c r="B30" s="6">
        <v>106.49</v>
      </c>
      <c r="C30" s="53">
        <f t="shared" si="0"/>
        <v>117.61</v>
      </c>
      <c r="D30" s="53">
        <f t="shared" si="1"/>
        <v>-18.754285714285729</v>
      </c>
      <c r="E30" s="53">
        <f t="shared" si="2"/>
        <v>1.1169047619047632</v>
      </c>
      <c r="F30" s="4">
        <f t="shared" si="3"/>
        <v>-20.946751020408204</v>
      </c>
      <c r="G30" s="4">
        <f t="shared" si="4"/>
        <v>351.72323265306176</v>
      </c>
      <c r="H30" s="4">
        <f t="shared" si="5"/>
        <v>1.2474762471655356</v>
      </c>
    </row>
    <row r="31" spans="1:8" x14ac:dyDescent="0.25">
      <c r="A31">
        <v>28</v>
      </c>
      <c r="B31" s="6">
        <v>107.04</v>
      </c>
      <c r="C31" s="53">
        <f t="shared" si="0"/>
        <v>117.26</v>
      </c>
      <c r="D31" s="53">
        <f t="shared" si="1"/>
        <v>-18.204285714285717</v>
      </c>
      <c r="E31" s="53">
        <f t="shared" si="2"/>
        <v>0.76690476190476886</v>
      </c>
      <c r="F31" s="4">
        <f t="shared" si="3"/>
        <v>-13.960953401360673</v>
      </c>
      <c r="G31" s="4">
        <f t="shared" si="4"/>
        <v>331.39601836734704</v>
      </c>
      <c r="H31" s="4">
        <f t="shared" si="5"/>
        <v>0.58814291383221018</v>
      </c>
    </row>
    <row r="32" spans="1:8" x14ac:dyDescent="0.25">
      <c r="A32">
        <v>29</v>
      </c>
      <c r="B32" s="6">
        <v>111.35</v>
      </c>
      <c r="C32" s="53">
        <f t="shared" si="0"/>
        <v>115.88</v>
      </c>
      <c r="D32" s="53">
        <f t="shared" si="1"/>
        <v>-13.894285714285729</v>
      </c>
      <c r="E32" s="53">
        <f t="shared" si="2"/>
        <v>-0.6130952380952408</v>
      </c>
      <c r="F32" s="4">
        <f t="shared" si="3"/>
        <v>8.5185204081633117</v>
      </c>
      <c r="G32" s="4">
        <f t="shared" si="4"/>
        <v>193.0511755102045</v>
      </c>
      <c r="H32" s="4">
        <f t="shared" si="5"/>
        <v>0.37588577097505999</v>
      </c>
    </row>
    <row r="33" spans="1:8" x14ac:dyDescent="0.25">
      <c r="A33">
        <v>30</v>
      </c>
      <c r="B33" s="6">
        <v>117.54</v>
      </c>
      <c r="C33" s="53">
        <f t="shared" si="0"/>
        <v>113.35</v>
      </c>
      <c r="D33" s="53">
        <f t="shared" si="1"/>
        <v>-7.7042857142857173</v>
      </c>
      <c r="E33" s="53">
        <f t="shared" si="2"/>
        <v>-3.1430952380952419</v>
      </c>
      <c r="F33" s="4">
        <f t="shared" si="3"/>
        <v>24.215303741496637</v>
      </c>
      <c r="G33" s="4">
        <f t="shared" si="4"/>
        <v>59.356018367346984</v>
      </c>
      <c r="H33" s="4">
        <f t="shared" si="5"/>
        <v>9.8790476757369863</v>
      </c>
    </row>
    <row r="34" spans="1:8" x14ac:dyDescent="0.25">
      <c r="A34">
        <v>31</v>
      </c>
      <c r="B34" s="6">
        <v>122.58</v>
      </c>
      <c r="C34" s="53">
        <f t="shared" si="0"/>
        <v>111.39</v>
      </c>
      <c r="D34" s="53">
        <f t="shared" si="1"/>
        <v>-2.6642857142857252</v>
      </c>
      <c r="E34" s="53">
        <f t="shared" si="2"/>
        <v>-5.1030952380952357</v>
      </c>
      <c r="F34" s="4">
        <f t="shared" si="3"/>
        <v>13.596103741496648</v>
      </c>
      <c r="G34" s="4">
        <f t="shared" si="4"/>
        <v>7.0984183673469969</v>
      </c>
      <c r="H34" s="4">
        <f t="shared" si="5"/>
        <v>26.041581009070271</v>
      </c>
    </row>
    <row r="35" spans="1:8" x14ac:dyDescent="0.25">
      <c r="A35">
        <v>32</v>
      </c>
      <c r="B35" s="6">
        <v>128.16</v>
      </c>
      <c r="C35" s="53">
        <f t="shared" si="0"/>
        <v>109.76</v>
      </c>
      <c r="D35" s="53">
        <f t="shared" si="1"/>
        <v>2.915714285714273</v>
      </c>
      <c r="E35" s="53">
        <f t="shared" si="2"/>
        <v>-6.7330952380952311</v>
      </c>
      <c r="F35" s="4">
        <f t="shared" si="3"/>
        <v>-19.63178197278901</v>
      </c>
      <c r="G35" s="4">
        <f t="shared" si="4"/>
        <v>8.5013897959182927</v>
      </c>
      <c r="H35" s="4">
        <f t="shared" si="5"/>
        <v>45.334571485260675</v>
      </c>
    </row>
    <row r="36" spans="1:8" x14ac:dyDescent="0.25">
      <c r="A36">
        <v>33</v>
      </c>
      <c r="B36" s="6">
        <v>132.86000000000001</v>
      </c>
      <c r="C36" s="53">
        <f t="shared" si="0"/>
        <v>109.5</v>
      </c>
      <c r="D36" s="53">
        <f t="shared" si="1"/>
        <v>7.6157142857142901</v>
      </c>
      <c r="E36" s="53">
        <f t="shared" si="2"/>
        <v>-6.9930952380952363</v>
      </c>
      <c r="F36" s="4">
        <f t="shared" si="3"/>
        <v>-53.257415306122468</v>
      </c>
      <c r="G36" s="4">
        <f t="shared" si="4"/>
        <v>57.999104081632723</v>
      </c>
      <c r="H36" s="4">
        <f t="shared" si="5"/>
        <v>48.903381009070266</v>
      </c>
    </row>
    <row r="37" spans="1:8" x14ac:dyDescent="0.25">
      <c r="A37">
        <v>34</v>
      </c>
      <c r="B37" s="6">
        <v>134.91999999999999</v>
      </c>
      <c r="C37" s="53">
        <f t="shared" si="0"/>
        <v>108.86</v>
      </c>
      <c r="D37" s="53">
        <f t="shared" si="1"/>
        <v>9.675714285714264</v>
      </c>
      <c r="E37" s="53">
        <f t="shared" si="2"/>
        <v>-7.6330952380952368</v>
      </c>
      <c r="F37" s="4">
        <f t="shared" si="3"/>
        <v>-73.855648639455609</v>
      </c>
      <c r="G37" s="4">
        <f t="shared" si="4"/>
        <v>93.619446938775084</v>
      </c>
      <c r="H37" s="4">
        <f t="shared" si="5"/>
        <v>58.264142913832181</v>
      </c>
    </row>
    <row r="38" spans="1:8" x14ac:dyDescent="0.25">
      <c r="A38">
        <v>35</v>
      </c>
      <c r="B38" s="6">
        <v>135.69999999999999</v>
      </c>
      <c r="C38" s="53">
        <f t="shared" si="0"/>
        <v>108.49</v>
      </c>
      <c r="D38" s="53">
        <f t="shared" si="1"/>
        <v>10.455714285714265</v>
      </c>
      <c r="E38" s="53">
        <f t="shared" si="2"/>
        <v>-8.0030952380952414</v>
      </c>
      <c r="F38" s="4">
        <f t="shared" si="3"/>
        <v>-83.678077210884226</v>
      </c>
      <c r="G38" s="4">
        <f t="shared" si="4"/>
        <v>109.32196122448937</v>
      </c>
      <c r="H38" s="4">
        <f t="shared" si="5"/>
        <v>64.049533390022731</v>
      </c>
    </row>
    <row r="39" spans="1:8" x14ac:dyDescent="0.25">
      <c r="A39">
        <v>36</v>
      </c>
      <c r="B39" s="6">
        <v>136.13999999999999</v>
      </c>
      <c r="C39" s="53">
        <f t="shared" si="0"/>
        <v>108.36</v>
      </c>
      <c r="D39" s="53">
        <f t="shared" si="1"/>
        <v>10.895714285714263</v>
      </c>
      <c r="E39" s="53">
        <f t="shared" si="2"/>
        <v>-8.1330952380952368</v>
      </c>
      <c r="F39" s="4">
        <f t="shared" si="3"/>
        <v>-88.615881972788912</v>
      </c>
      <c r="G39" s="4">
        <f t="shared" si="4"/>
        <v>118.71658979591787</v>
      </c>
      <c r="H39" s="4">
        <f t="shared" si="5"/>
        <v>66.147238151927411</v>
      </c>
    </row>
    <row r="40" spans="1:8" x14ac:dyDescent="0.25">
      <c r="A40">
        <v>37</v>
      </c>
      <c r="B40" s="6">
        <v>140.15</v>
      </c>
      <c r="C40" s="53">
        <f t="shared" si="0"/>
        <v>108.19</v>
      </c>
      <c r="D40" s="53">
        <f t="shared" si="1"/>
        <v>14.905714285714282</v>
      </c>
      <c r="E40" s="53">
        <f t="shared" si="2"/>
        <v>-8.3030952380952385</v>
      </c>
      <c r="F40" s="4">
        <f t="shared" si="3"/>
        <v>-123.76356530612243</v>
      </c>
      <c r="G40" s="4">
        <f t="shared" si="4"/>
        <v>222.18031836734684</v>
      </c>
      <c r="H40" s="4">
        <f t="shared" si="5"/>
        <v>68.941390532879822</v>
      </c>
    </row>
    <row r="41" spans="1:8" x14ac:dyDescent="0.25">
      <c r="A41">
        <v>38</v>
      </c>
      <c r="B41" s="6">
        <v>140.09</v>
      </c>
      <c r="C41" s="53">
        <f t="shared" si="0"/>
        <v>107.8</v>
      </c>
      <c r="D41" s="53">
        <f t="shared" si="1"/>
        <v>14.84571428571428</v>
      </c>
      <c r="E41" s="53">
        <f t="shared" si="2"/>
        <v>-8.6930952380952391</v>
      </c>
      <c r="F41" s="4">
        <f t="shared" si="3"/>
        <v>-129.05520816326526</v>
      </c>
      <c r="G41" s="4">
        <f t="shared" si="4"/>
        <v>220.39523265306104</v>
      </c>
      <c r="H41" s="4">
        <f t="shared" si="5"/>
        <v>75.569904818594125</v>
      </c>
    </row>
    <row r="42" spans="1:8" x14ac:dyDescent="0.25">
      <c r="A42">
        <v>39</v>
      </c>
      <c r="B42" s="6">
        <v>139.1</v>
      </c>
      <c r="C42" s="53">
        <f t="shared" si="0"/>
        <v>107.47</v>
      </c>
      <c r="D42" s="53">
        <f t="shared" si="1"/>
        <v>13.855714285714271</v>
      </c>
      <c r="E42" s="53">
        <f t="shared" si="2"/>
        <v>-9.0230952380952374</v>
      </c>
      <c r="F42" s="4">
        <f t="shared" si="3"/>
        <v>-125.02142959183659</v>
      </c>
      <c r="G42" s="4">
        <f t="shared" si="4"/>
        <v>191.98081836734653</v>
      </c>
      <c r="H42" s="4">
        <f t="shared" si="5"/>
        <v>81.416247675736955</v>
      </c>
    </row>
    <row r="43" spans="1:8" x14ac:dyDescent="0.25">
      <c r="A43">
        <v>40</v>
      </c>
      <c r="B43" s="6">
        <v>137.5</v>
      </c>
      <c r="C43" s="53">
        <f t="shared" si="0"/>
        <v>107.03</v>
      </c>
      <c r="D43" s="53">
        <f t="shared" si="1"/>
        <v>12.255714285714276</v>
      </c>
      <c r="E43" s="53">
        <f t="shared" si="2"/>
        <v>-9.4630952380952351</v>
      </c>
      <c r="F43" s="4">
        <f t="shared" si="3"/>
        <v>-115.97699149659852</v>
      </c>
      <c r="G43" s="4">
        <f t="shared" si="4"/>
        <v>150.20253265306098</v>
      </c>
      <c r="H43" s="4">
        <f t="shared" si="5"/>
        <v>89.550171485260719</v>
      </c>
    </row>
    <row r="44" spans="1:8" x14ac:dyDescent="0.25">
      <c r="A44">
        <v>41</v>
      </c>
      <c r="B44" s="6">
        <v>136.12</v>
      </c>
      <c r="C44" s="53">
        <f t="shared" si="0"/>
        <v>106.61</v>
      </c>
      <c r="D44" s="53">
        <f t="shared" si="1"/>
        <v>10.875714285714281</v>
      </c>
      <c r="E44" s="53">
        <f t="shared" si="2"/>
        <v>-9.8830952380952368</v>
      </c>
      <c r="F44" s="4">
        <f t="shared" si="3"/>
        <v>-107.48572006802715</v>
      </c>
      <c r="G44" s="4">
        <f t="shared" si="4"/>
        <v>118.28116122448969</v>
      </c>
      <c r="H44" s="4">
        <f t="shared" si="5"/>
        <v>97.675571485260747</v>
      </c>
    </row>
    <row r="45" spans="1:8" x14ac:dyDescent="0.25">
      <c r="A45">
        <v>42</v>
      </c>
      <c r="B45" s="6">
        <v>135.22</v>
      </c>
      <c r="C45" s="53">
        <f t="shared" si="0"/>
        <v>106.57</v>
      </c>
      <c r="D45" s="53">
        <f t="shared" si="1"/>
        <v>9.9757142857142753</v>
      </c>
      <c r="E45" s="53">
        <f t="shared" si="2"/>
        <v>-9.9230952380952431</v>
      </c>
      <c r="F45" s="4">
        <f t="shared" si="3"/>
        <v>-98.989962925170019</v>
      </c>
      <c r="G45" s="4">
        <f t="shared" si="4"/>
        <v>99.514875510203879</v>
      </c>
      <c r="H45" s="4">
        <f t="shared" si="5"/>
        <v>98.467819104308489</v>
      </c>
    </row>
    <row r="46" spans="1:8" x14ac:dyDescent="0.25">
      <c r="A46">
        <v>43</v>
      </c>
      <c r="B46" s="6">
        <v>134.72999999999999</v>
      </c>
      <c r="C46" s="53">
        <f t="shared" si="0"/>
        <v>106.49</v>
      </c>
      <c r="D46" s="53">
        <f t="shared" si="1"/>
        <v>9.4857142857142662</v>
      </c>
      <c r="E46" s="53">
        <f t="shared" si="2"/>
        <v>-10.003095238095241</v>
      </c>
      <c r="F46" s="4">
        <f t="shared" si="3"/>
        <v>-94.886503401360386</v>
      </c>
      <c r="G46" s="4">
        <f t="shared" si="4"/>
        <v>89.978775510203718</v>
      </c>
      <c r="H46" s="4">
        <f t="shared" si="5"/>
        <v>100.0619143424037</v>
      </c>
    </row>
    <row r="47" spans="1:8" x14ac:dyDescent="0.25">
      <c r="A47">
        <v>44</v>
      </c>
      <c r="B47" s="6">
        <v>134.38999999999999</v>
      </c>
      <c r="C47" s="53">
        <f t="shared" si="0"/>
        <v>107.04</v>
      </c>
      <c r="D47" s="53">
        <f t="shared" si="1"/>
        <v>9.1457142857142628</v>
      </c>
      <c r="E47" s="53">
        <f t="shared" si="2"/>
        <v>-9.45309523809523</v>
      </c>
      <c r="F47" s="4">
        <f t="shared" si="3"/>
        <v>-86.455308163265016</v>
      </c>
      <c r="G47" s="4">
        <f t="shared" si="4"/>
        <v>83.644089795917949</v>
      </c>
      <c r="H47" s="4">
        <f t="shared" si="5"/>
        <v>89.361009580498717</v>
      </c>
    </row>
    <row r="48" spans="1:8" x14ac:dyDescent="0.25">
      <c r="A48">
        <v>45</v>
      </c>
      <c r="B48" s="6">
        <v>134.51</v>
      </c>
      <c r="C48" s="53">
        <f t="shared" si="0"/>
        <v>111.35</v>
      </c>
      <c r="D48" s="53">
        <f t="shared" si="1"/>
        <v>9.2657142857142674</v>
      </c>
      <c r="E48" s="53">
        <f t="shared" si="2"/>
        <v>-5.1430952380952419</v>
      </c>
      <c r="F48" s="4">
        <f t="shared" si="3"/>
        <v>-47.654451020408104</v>
      </c>
      <c r="G48" s="4">
        <f t="shared" si="4"/>
        <v>85.85346122448945</v>
      </c>
      <c r="H48" s="4">
        <f t="shared" si="5"/>
        <v>26.451428628117952</v>
      </c>
    </row>
    <row r="49" spans="1:8" x14ac:dyDescent="0.25">
      <c r="A49">
        <v>46</v>
      </c>
      <c r="B49" s="6">
        <v>134.46</v>
      </c>
      <c r="C49" s="53">
        <f t="shared" si="0"/>
        <v>117.54</v>
      </c>
      <c r="D49" s="53">
        <f t="shared" si="1"/>
        <v>9.2157142857142844</v>
      </c>
      <c r="E49" s="53">
        <f t="shared" si="2"/>
        <v>1.04690476190477</v>
      </c>
      <c r="F49" s="4">
        <f t="shared" si="3"/>
        <v>9.6479751700681007</v>
      </c>
      <c r="G49" s="4">
        <f t="shared" si="4"/>
        <v>84.92938979591834</v>
      </c>
      <c r="H49" s="4">
        <f t="shared" si="5"/>
        <v>1.0960095804988832</v>
      </c>
    </row>
    <row r="50" spans="1:8" x14ac:dyDescent="0.25">
      <c r="A50">
        <v>47</v>
      </c>
      <c r="B50" s="6">
        <v>134.27000000000001</v>
      </c>
      <c r="C50" s="53">
        <f t="shared" si="0"/>
        <v>122.58</v>
      </c>
      <c r="D50" s="53">
        <f t="shared" si="1"/>
        <v>9.0257142857142867</v>
      </c>
      <c r="E50" s="53">
        <f t="shared" si="2"/>
        <v>6.086904761904762</v>
      </c>
      <c r="F50" s="4">
        <f t="shared" si="3"/>
        <v>54.938663265306133</v>
      </c>
      <c r="G50" s="4">
        <f t="shared" si="4"/>
        <v>81.46351836734695</v>
      </c>
      <c r="H50" s="4">
        <f t="shared" si="5"/>
        <v>37.050409580498865</v>
      </c>
    </row>
    <row r="51" spans="1:8" x14ac:dyDescent="0.25">
      <c r="A51">
        <v>48</v>
      </c>
      <c r="B51" s="6">
        <v>133.72999999999999</v>
      </c>
      <c r="C51" s="53">
        <f t="shared" si="0"/>
        <v>128.16</v>
      </c>
      <c r="D51" s="53">
        <f t="shared" si="1"/>
        <v>8.4857142857142662</v>
      </c>
      <c r="E51" s="53">
        <f t="shared" si="2"/>
        <v>11.66690476190476</v>
      </c>
      <c r="F51" s="4">
        <f t="shared" si="3"/>
        <v>99.00202040816302</v>
      </c>
      <c r="G51" s="4">
        <f t="shared" si="4"/>
        <v>72.007346938775186</v>
      </c>
      <c r="H51" s="4">
        <f t="shared" si="5"/>
        <v>136.11666672335596</v>
      </c>
    </row>
    <row r="52" spans="1:8" x14ac:dyDescent="0.25">
      <c r="A52">
        <v>49</v>
      </c>
      <c r="B52" s="6">
        <v>132.01</v>
      </c>
      <c r="C52" s="53">
        <f t="shared" si="0"/>
        <v>132.86000000000001</v>
      </c>
      <c r="D52" s="53">
        <f t="shared" si="1"/>
        <v>6.7657142857142674</v>
      </c>
      <c r="E52" s="53">
        <f t="shared" si="2"/>
        <v>16.366904761904777</v>
      </c>
      <c r="F52" s="4">
        <f t="shared" si="3"/>
        <v>110.73380136054402</v>
      </c>
      <c r="G52" s="4">
        <f t="shared" si="4"/>
        <v>45.774889795918121</v>
      </c>
      <c r="H52" s="4">
        <f t="shared" si="5"/>
        <v>267.87557148526128</v>
      </c>
    </row>
    <row r="53" spans="1:8" x14ac:dyDescent="0.25">
      <c r="A53">
        <v>50</v>
      </c>
      <c r="B53" s="6">
        <v>130.59</v>
      </c>
      <c r="C53" s="53">
        <f t="shared" si="0"/>
        <v>134.91999999999999</v>
      </c>
      <c r="D53" s="53">
        <f t="shared" si="1"/>
        <v>5.3457142857142799</v>
      </c>
      <c r="E53" s="53">
        <f t="shared" si="2"/>
        <v>18.426904761904751</v>
      </c>
      <c r="F53" s="4">
        <f t="shared" si="3"/>
        <v>98.504968027210722</v>
      </c>
      <c r="G53" s="4">
        <f t="shared" si="4"/>
        <v>28.576661224489733</v>
      </c>
      <c r="H53" s="4">
        <f t="shared" si="5"/>
        <v>339.550819104308</v>
      </c>
    </row>
    <row r="54" spans="1:8" x14ac:dyDescent="0.25">
      <c r="A54">
        <v>51</v>
      </c>
      <c r="B54" s="6">
        <v>130.28</v>
      </c>
      <c r="C54" s="53">
        <f t="shared" si="0"/>
        <v>135.69999999999999</v>
      </c>
      <c r="D54" s="53">
        <f t="shared" si="1"/>
        <v>5.0357142857142776</v>
      </c>
      <c r="E54" s="53">
        <f t="shared" si="2"/>
        <v>19.206904761904752</v>
      </c>
      <c r="F54" s="4">
        <f t="shared" si="3"/>
        <v>96.720484693877353</v>
      </c>
      <c r="G54" s="4">
        <f t="shared" si="4"/>
        <v>25.358418367346857</v>
      </c>
      <c r="H54" s="4">
        <f t="shared" si="5"/>
        <v>368.90519053287943</v>
      </c>
    </row>
    <row r="55" spans="1:8" x14ac:dyDescent="0.25">
      <c r="A55">
        <v>52</v>
      </c>
      <c r="B55" s="6">
        <v>129.16</v>
      </c>
      <c r="C55" s="53">
        <f t="shared" si="0"/>
        <v>136.13999999999999</v>
      </c>
      <c r="D55" s="53">
        <f t="shared" si="1"/>
        <v>3.915714285714273</v>
      </c>
      <c r="E55" s="53">
        <f t="shared" si="2"/>
        <v>19.64690476190475</v>
      </c>
      <c r="F55" s="4">
        <f t="shared" si="3"/>
        <v>76.93166564625821</v>
      </c>
      <c r="G55" s="4">
        <f t="shared" si="4"/>
        <v>15.332818367346839</v>
      </c>
      <c r="H55" s="4">
        <f t="shared" si="5"/>
        <v>386.00086672335556</v>
      </c>
    </row>
    <row r="56" spans="1:8" x14ac:dyDescent="0.25">
      <c r="A56">
        <v>53</v>
      </c>
      <c r="B56" s="6">
        <v>128.94</v>
      </c>
      <c r="C56" s="53">
        <f t="shared" si="0"/>
        <v>140.15</v>
      </c>
      <c r="D56" s="53">
        <f t="shared" si="1"/>
        <v>3.6957142857142742</v>
      </c>
      <c r="E56" s="53">
        <f t="shared" si="2"/>
        <v>23.656904761904769</v>
      </c>
      <c r="F56" s="4">
        <f t="shared" si="3"/>
        <v>87.429160884353493</v>
      </c>
      <c r="G56" s="4">
        <f t="shared" si="4"/>
        <v>13.658304081632568</v>
      </c>
      <c r="H56" s="4">
        <f t="shared" si="5"/>
        <v>559.64914291383252</v>
      </c>
    </row>
    <row r="57" spans="1:8" x14ac:dyDescent="0.25">
      <c r="A57">
        <v>54</v>
      </c>
      <c r="B57" s="6">
        <v>129.30000000000001</v>
      </c>
      <c r="C57" s="53">
        <f t="shared" si="0"/>
        <v>140.09</v>
      </c>
      <c r="D57" s="53">
        <f t="shared" si="1"/>
        <v>4.0557142857142878</v>
      </c>
      <c r="E57" s="53">
        <f t="shared" si="2"/>
        <v>23.596904761904767</v>
      </c>
      <c r="F57" s="4">
        <f t="shared" si="3"/>
        <v>95.702303741496664</v>
      </c>
      <c r="G57" s="4">
        <f t="shared" si="4"/>
        <v>16.448818367346956</v>
      </c>
      <c r="H57" s="4">
        <f t="shared" si="5"/>
        <v>556.8139143424039</v>
      </c>
    </row>
    <row r="58" spans="1:8" x14ac:dyDescent="0.25">
      <c r="A58">
        <v>55</v>
      </c>
      <c r="B58" s="6">
        <v>131.22</v>
      </c>
      <c r="C58" s="53">
        <f t="shared" si="0"/>
        <v>139.1</v>
      </c>
      <c r="D58" s="53">
        <f t="shared" si="1"/>
        <v>5.9757142857142753</v>
      </c>
      <c r="E58" s="53">
        <f t="shared" si="2"/>
        <v>22.606904761904758</v>
      </c>
      <c r="F58" s="4">
        <f t="shared" si="3"/>
        <v>135.09240374149633</v>
      </c>
      <c r="G58" s="4">
        <f t="shared" si="4"/>
        <v>35.709161224489669</v>
      </c>
      <c r="H58" s="4">
        <f t="shared" si="5"/>
        <v>511.07214291383201</v>
      </c>
    </row>
    <row r="59" spans="1:8" x14ac:dyDescent="0.25">
      <c r="A59">
        <v>56</v>
      </c>
      <c r="B59" s="6">
        <v>132.52000000000001</v>
      </c>
      <c r="C59" s="53">
        <f t="shared" si="0"/>
        <v>137.5</v>
      </c>
      <c r="D59" s="53">
        <f t="shared" si="1"/>
        <v>7.2757142857142867</v>
      </c>
      <c r="E59" s="53">
        <f t="shared" si="2"/>
        <v>21.006904761904764</v>
      </c>
      <c r="F59" s="4">
        <f t="shared" si="3"/>
        <v>152.84023707482996</v>
      </c>
      <c r="G59" s="4">
        <f t="shared" si="4"/>
        <v>52.936018367346954</v>
      </c>
      <c r="H59" s="4">
        <f t="shared" si="5"/>
        <v>441.29004767573701</v>
      </c>
    </row>
    <row r="60" spans="1:8" x14ac:dyDescent="0.25">
      <c r="A60">
        <v>57</v>
      </c>
      <c r="B60" s="6">
        <v>134.25</v>
      </c>
      <c r="C60" s="53">
        <f t="shared" si="0"/>
        <v>136.12</v>
      </c>
      <c r="D60" s="53">
        <f t="shared" si="1"/>
        <v>9.0057142857142765</v>
      </c>
      <c r="E60" s="53">
        <f t="shared" si="2"/>
        <v>19.626904761904768</v>
      </c>
      <c r="F60" s="4">
        <f t="shared" si="3"/>
        <v>176.75429659863934</v>
      </c>
      <c r="G60" s="4">
        <f t="shared" si="4"/>
        <v>81.102889795918202</v>
      </c>
      <c r="H60" s="4">
        <f t="shared" si="5"/>
        <v>385.21539053288006</v>
      </c>
    </row>
    <row r="61" spans="1:8" x14ac:dyDescent="0.25">
      <c r="A61">
        <v>58</v>
      </c>
      <c r="B61" s="6">
        <v>136.06</v>
      </c>
      <c r="C61" s="53">
        <f t="shared" si="0"/>
        <v>135.22</v>
      </c>
      <c r="D61" s="53">
        <f t="shared" si="1"/>
        <v>10.815714285714279</v>
      </c>
      <c r="E61" s="53">
        <f t="shared" si="2"/>
        <v>18.726904761904763</v>
      </c>
      <c r="F61" s="4">
        <f t="shared" si="3"/>
        <v>202.5448513605441</v>
      </c>
      <c r="G61" s="4">
        <f t="shared" si="4"/>
        <v>116.97967551020393</v>
      </c>
      <c r="H61" s="4">
        <f t="shared" si="5"/>
        <v>350.69696196145128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4892.71</v>
      </c>
      <c r="D62" s="39">
        <f t="shared" si="6"/>
        <v>-4.5474735088646412E-13</v>
      </c>
      <c r="E62" s="39">
        <f t="shared" si="6"/>
        <v>5.6843418860808015E-14</v>
      </c>
      <c r="F62" s="39">
        <f t="shared" si="6"/>
        <v>1801.8706428571436</v>
      </c>
      <c r="G62" s="39">
        <f t="shared" si="6"/>
        <v>6284.0078285714271</v>
      </c>
      <c r="H62" s="39">
        <f t="shared" si="6"/>
        <v>6652.2842976190486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116.49309523809524</v>
      </c>
    </row>
    <row r="65" spans="1:2" ht="18" x14ac:dyDescent="0.35">
      <c r="A65" t="s">
        <v>202</v>
      </c>
      <c r="B65" s="39">
        <f>SUM(B20:B61)/42</f>
        <v>125.24428571428572</v>
      </c>
    </row>
    <row r="66" spans="1:2" ht="18" x14ac:dyDescent="0.35">
      <c r="A66" t="s">
        <v>203</v>
      </c>
      <c r="B66">
        <f>SUM(C20:C61)/42</f>
        <v>116.49309523809524</v>
      </c>
    </row>
    <row r="68" spans="1:2" ht="18" x14ac:dyDescent="0.35">
      <c r="A68" t="s">
        <v>201</v>
      </c>
      <c r="B68">
        <f>F62/SQRT(G62*H62)</f>
        <v>0.27868901474031649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61" zoomScale="85" zoomScaleNormal="85" workbookViewId="0">
      <selection activeCell="D74" sqref="D74"/>
    </sheetView>
  </sheetViews>
  <sheetFormatPr defaultRowHeight="15" x14ac:dyDescent="0.25"/>
  <cols>
    <col min="6" max="6" width="18.1406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216</v>
      </c>
      <c r="D3" s="45" t="s">
        <v>217</v>
      </c>
      <c r="E3" s="45" t="s">
        <v>218</v>
      </c>
      <c r="F3" s="46" t="s">
        <v>219</v>
      </c>
      <c r="G3" s="45" t="s">
        <v>220</v>
      </c>
      <c r="H3" s="45" t="s">
        <v>221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53">
        <f>B4</f>
        <v>102.32</v>
      </c>
      <c r="D21" s="53">
        <f>B21-$B$65</f>
        <v>-16.768292682926841</v>
      </c>
      <c r="E21" s="53">
        <f>C21-$B$66</f>
        <v>-13.716341463414636</v>
      </c>
      <c r="F21" s="4">
        <f>D21*E21</f>
        <v>229.99962819750169</v>
      </c>
      <c r="G21" s="4">
        <f>D21*D21</f>
        <v>281.17563950029785</v>
      </c>
      <c r="H21" s="4">
        <f>E21*E21</f>
        <v>188.13802314098757</v>
      </c>
    </row>
    <row r="22" spans="1:8" x14ac:dyDescent="0.25">
      <c r="A22">
        <v>19</v>
      </c>
      <c r="B22" s="6">
        <v>108.49</v>
      </c>
      <c r="C22" s="53">
        <f t="shared" ref="C22:C61" si="0">B5</f>
        <v>102.21</v>
      </c>
      <c r="D22" s="53">
        <f t="shared" ref="D22:D61" si="1">B22-$B$65</f>
        <v>-17.138292682926846</v>
      </c>
      <c r="E22" s="53">
        <f t="shared" ref="E22:E61" si="2">C22-$B$66</f>
        <v>-13.826341463414636</v>
      </c>
      <c r="F22" s="4">
        <f t="shared" ref="F22:F61" si="3">D22*E22</f>
        <v>236.95988673408709</v>
      </c>
      <c r="G22" s="4">
        <f t="shared" ref="G22:G61" si="4">D22*D22</f>
        <v>293.72107608566387</v>
      </c>
      <c r="H22" s="4">
        <f t="shared" ref="H22:H61" si="5">E22*E22</f>
        <v>191.16771826293876</v>
      </c>
    </row>
    <row r="23" spans="1:8" x14ac:dyDescent="0.25">
      <c r="A23">
        <v>20</v>
      </c>
      <c r="B23" s="6">
        <v>108.36</v>
      </c>
      <c r="C23" s="53">
        <f t="shared" si="0"/>
        <v>102.16</v>
      </c>
      <c r="D23" s="53">
        <f t="shared" si="1"/>
        <v>-17.268292682926841</v>
      </c>
      <c r="E23" s="53">
        <f t="shared" si="2"/>
        <v>-13.876341463414633</v>
      </c>
      <c r="F23" s="4">
        <f t="shared" si="3"/>
        <v>239.62072575847725</v>
      </c>
      <c r="G23" s="4">
        <f t="shared" si="4"/>
        <v>298.19393218322466</v>
      </c>
      <c r="H23" s="4">
        <f t="shared" si="5"/>
        <v>192.55285240928015</v>
      </c>
    </row>
    <row r="24" spans="1:8" x14ac:dyDescent="0.25">
      <c r="A24">
        <v>21</v>
      </c>
      <c r="B24" s="6">
        <v>108.19</v>
      </c>
      <c r="C24" s="53">
        <f t="shared" si="0"/>
        <v>102.06</v>
      </c>
      <c r="D24" s="53">
        <f t="shared" si="1"/>
        <v>-17.438292682926843</v>
      </c>
      <c r="E24" s="53">
        <f t="shared" si="2"/>
        <v>-13.976341463414627</v>
      </c>
      <c r="F24" s="4">
        <f t="shared" si="3"/>
        <v>243.72353307555034</v>
      </c>
      <c r="G24" s="4">
        <f t="shared" si="4"/>
        <v>304.09405169541986</v>
      </c>
      <c r="H24" s="4">
        <f t="shared" si="5"/>
        <v>195.33812070196294</v>
      </c>
    </row>
    <row r="25" spans="1:8" x14ac:dyDescent="0.25">
      <c r="A25">
        <v>22</v>
      </c>
      <c r="B25" s="6">
        <v>107.8</v>
      </c>
      <c r="C25" s="53">
        <f t="shared" si="0"/>
        <v>102.55</v>
      </c>
      <c r="D25" s="53">
        <f t="shared" si="1"/>
        <v>-17.828292682926843</v>
      </c>
      <c r="E25" s="53">
        <f t="shared" si="2"/>
        <v>-13.486341463414632</v>
      </c>
      <c r="F25" s="4">
        <f t="shared" si="3"/>
        <v>240.43844283164799</v>
      </c>
      <c r="G25" s="4">
        <f t="shared" si="4"/>
        <v>317.84801998810281</v>
      </c>
      <c r="H25" s="4">
        <f t="shared" si="5"/>
        <v>181.88140606781673</v>
      </c>
    </row>
    <row r="26" spans="1:8" x14ac:dyDescent="0.25">
      <c r="A26">
        <v>23</v>
      </c>
      <c r="B26" s="6">
        <v>107.47</v>
      </c>
      <c r="C26" s="53">
        <f t="shared" si="0"/>
        <v>104.35</v>
      </c>
      <c r="D26" s="53">
        <f t="shared" si="1"/>
        <v>-18.158292682926842</v>
      </c>
      <c r="E26" s="53">
        <f t="shared" si="2"/>
        <v>-11.686341463414635</v>
      </c>
      <c r="F26" s="4">
        <f t="shared" si="3"/>
        <v>212.20400868530652</v>
      </c>
      <c r="G26" s="4">
        <f t="shared" si="4"/>
        <v>329.72359315883449</v>
      </c>
      <c r="H26" s="4">
        <f t="shared" si="5"/>
        <v>136.5705767995241</v>
      </c>
    </row>
    <row r="27" spans="1:8" x14ac:dyDescent="0.25">
      <c r="A27">
        <v>24</v>
      </c>
      <c r="B27" s="6">
        <v>107.03</v>
      </c>
      <c r="C27" s="53">
        <f t="shared" si="0"/>
        <v>107.57</v>
      </c>
      <c r="D27" s="53">
        <f t="shared" si="1"/>
        <v>-18.598292682926839</v>
      </c>
      <c r="E27" s="53">
        <f t="shared" si="2"/>
        <v>-8.4663414634146363</v>
      </c>
      <c r="F27" s="4">
        <f t="shared" si="3"/>
        <v>157.45949649018453</v>
      </c>
      <c r="G27" s="4">
        <f t="shared" si="4"/>
        <v>345.89649071981</v>
      </c>
      <c r="H27" s="4">
        <f t="shared" si="5"/>
        <v>71.678937775133889</v>
      </c>
    </row>
    <row r="28" spans="1:8" x14ac:dyDescent="0.25">
      <c r="A28">
        <v>25</v>
      </c>
      <c r="B28" s="6">
        <v>106.61</v>
      </c>
      <c r="C28" s="53">
        <f t="shared" si="0"/>
        <v>111.96</v>
      </c>
      <c r="D28" s="53">
        <f t="shared" si="1"/>
        <v>-19.018292682926841</v>
      </c>
      <c r="E28" s="53">
        <f t="shared" si="2"/>
        <v>-4.0763414634146358</v>
      </c>
      <c r="F28" s="4">
        <f t="shared" si="3"/>
        <v>77.525055026769863</v>
      </c>
      <c r="G28" s="4">
        <f t="shared" si="4"/>
        <v>361.69545657346862</v>
      </c>
      <c r="H28" s="4">
        <f t="shared" si="5"/>
        <v>16.616559726353373</v>
      </c>
    </row>
    <row r="29" spans="1:8" x14ac:dyDescent="0.25">
      <c r="A29">
        <v>26</v>
      </c>
      <c r="B29" s="6">
        <v>106.57</v>
      </c>
      <c r="C29" s="53">
        <f t="shared" si="0"/>
        <v>115.27</v>
      </c>
      <c r="D29" s="53">
        <f t="shared" si="1"/>
        <v>-19.058292682926847</v>
      </c>
      <c r="E29" s="53">
        <f t="shared" si="2"/>
        <v>-0.76634146341463349</v>
      </c>
      <c r="F29" s="4">
        <f t="shared" si="3"/>
        <v>14.605159904818562</v>
      </c>
      <c r="G29" s="4">
        <f t="shared" si="4"/>
        <v>363.21851998810303</v>
      </c>
      <c r="H29" s="4">
        <f t="shared" si="5"/>
        <v>0.58727923854848207</v>
      </c>
    </row>
    <row r="30" spans="1:8" x14ac:dyDescent="0.25">
      <c r="A30">
        <v>27</v>
      </c>
      <c r="B30" s="6">
        <v>106.49</v>
      </c>
      <c r="C30" s="53">
        <f t="shared" si="0"/>
        <v>117.17</v>
      </c>
      <c r="D30" s="53">
        <f t="shared" si="1"/>
        <v>-19.138292682926846</v>
      </c>
      <c r="E30" s="53">
        <f t="shared" si="2"/>
        <v>1.1336585365853722</v>
      </c>
      <c r="F30" s="4">
        <f t="shared" si="3"/>
        <v>-21.696288875669385</v>
      </c>
      <c r="G30" s="4">
        <f t="shared" si="4"/>
        <v>366.27424681737125</v>
      </c>
      <c r="H30" s="4">
        <f t="shared" si="5"/>
        <v>1.2851816775728877</v>
      </c>
    </row>
    <row r="31" spans="1:8" x14ac:dyDescent="0.25">
      <c r="A31">
        <v>28</v>
      </c>
      <c r="B31" s="6">
        <v>107.04</v>
      </c>
      <c r="C31" s="53">
        <f t="shared" si="0"/>
        <v>117.61</v>
      </c>
      <c r="D31" s="53">
        <f t="shared" si="1"/>
        <v>-18.588292682926834</v>
      </c>
      <c r="E31" s="53">
        <f t="shared" si="2"/>
        <v>1.5736585365853699</v>
      </c>
      <c r="F31" s="4">
        <f t="shared" si="3"/>
        <v>-29.251625461035182</v>
      </c>
      <c r="G31" s="4">
        <f t="shared" si="4"/>
        <v>345.52462486615127</v>
      </c>
      <c r="H31" s="4">
        <f t="shared" si="5"/>
        <v>2.476401189768008</v>
      </c>
    </row>
    <row r="32" spans="1:8" x14ac:dyDescent="0.25">
      <c r="A32">
        <v>29</v>
      </c>
      <c r="B32" s="6">
        <v>111.35</v>
      </c>
      <c r="C32" s="53">
        <f t="shared" si="0"/>
        <v>117.26</v>
      </c>
      <c r="D32" s="53">
        <f t="shared" si="1"/>
        <v>-14.278292682926846</v>
      </c>
      <c r="E32" s="53">
        <f t="shared" si="2"/>
        <v>1.2236585365853756</v>
      </c>
      <c r="F32" s="4">
        <f t="shared" si="3"/>
        <v>-17.471754729327941</v>
      </c>
      <c r="G32" s="4">
        <f t="shared" si="4"/>
        <v>203.86964193932232</v>
      </c>
      <c r="H32" s="4">
        <f t="shared" si="5"/>
        <v>1.497340214158263</v>
      </c>
    </row>
    <row r="33" spans="1:8" x14ac:dyDescent="0.25">
      <c r="A33">
        <v>30</v>
      </c>
      <c r="B33" s="6">
        <v>117.54</v>
      </c>
      <c r="C33" s="53">
        <f t="shared" si="0"/>
        <v>115.88</v>
      </c>
      <c r="D33" s="53">
        <f t="shared" si="1"/>
        <v>-8.0882926829268342</v>
      </c>
      <c r="E33" s="53">
        <f t="shared" si="2"/>
        <v>-0.15634146341463406</v>
      </c>
      <c r="F33" s="4">
        <f t="shared" si="3"/>
        <v>1.264535514574658</v>
      </c>
      <c r="G33" s="4">
        <f t="shared" si="4"/>
        <v>65.420478524687766</v>
      </c>
      <c r="H33" s="4">
        <f t="shared" si="5"/>
        <v>2.4442653182629361E-2</v>
      </c>
    </row>
    <row r="34" spans="1:8" x14ac:dyDescent="0.25">
      <c r="A34">
        <v>31</v>
      </c>
      <c r="B34" s="6">
        <v>122.58</v>
      </c>
      <c r="C34" s="53">
        <f t="shared" si="0"/>
        <v>113.35</v>
      </c>
      <c r="D34" s="53">
        <f t="shared" si="1"/>
        <v>-3.0482926829268422</v>
      </c>
      <c r="E34" s="53">
        <f t="shared" si="2"/>
        <v>-2.6863414634146352</v>
      </c>
      <c r="F34" s="4">
        <f t="shared" si="3"/>
        <v>8.188755026769817</v>
      </c>
      <c r="G34" s="4">
        <f t="shared" si="4"/>
        <v>9.2920882807853253</v>
      </c>
      <c r="H34" s="4">
        <f t="shared" si="5"/>
        <v>7.2164304580606835</v>
      </c>
    </row>
    <row r="35" spans="1:8" x14ac:dyDescent="0.25">
      <c r="A35">
        <v>32</v>
      </c>
      <c r="B35" s="6">
        <v>128.16</v>
      </c>
      <c r="C35" s="53">
        <f t="shared" si="0"/>
        <v>111.39</v>
      </c>
      <c r="D35" s="53">
        <f t="shared" si="1"/>
        <v>2.5317073170731561</v>
      </c>
      <c r="E35" s="53">
        <f t="shared" si="2"/>
        <v>-4.6463414634146289</v>
      </c>
      <c r="F35" s="4">
        <f t="shared" si="3"/>
        <v>-11.763176680547213</v>
      </c>
      <c r="G35" s="4">
        <f t="shared" si="4"/>
        <v>6.4095419393217581</v>
      </c>
      <c r="H35" s="4">
        <f t="shared" si="5"/>
        <v>21.588488994645996</v>
      </c>
    </row>
    <row r="36" spans="1:8" x14ac:dyDescent="0.25">
      <c r="A36">
        <v>33</v>
      </c>
      <c r="B36" s="6">
        <v>132.86000000000001</v>
      </c>
      <c r="C36" s="53">
        <f t="shared" si="0"/>
        <v>109.76</v>
      </c>
      <c r="D36" s="53">
        <f t="shared" si="1"/>
        <v>7.2317073170731732</v>
      </c>
      <c r="E36" s="53">
        <f t="shared" si="2"/>
        <v>-6.2763414634146244</v>
      </c>
      <c r="F36" s="4">
        <f t="shared" si="3"/>
        <v>-45.388664485425288</v>
      </c>
      <c r="G36" s="4">
        <f t="shared" si="4"/>
        <v>52.297590719809669</v>
      </c>
      <c r="H36" s="4">
        <f t="shared" si="5"/>
        <v>39.39246216537763</v>
      </c>
    </row>
    <row r="37" spans="1:8" x14ac:dyDescent="0.25">
      <c r="A37">
        <v>34</v>
      </c>
      <c r="B37" s="6">
        <v>134.91999999999999</v>
      </c>
      <c r="C37" s="53">
        <f t="shared" si="0"/>
        <v>109.5</v>
      </c>
      <c r="D37" s="53">
        <f t="shared" si="1"/>
        <v>9.291707317073147</v>
      </c>
      <c r="E37" s="53">
        <f t="shared" si="2"/>
        <v>-6.5363414634146295</v>
      </c>
      <c r="F37" s="4">
        <f t="shared" si="3"/>
        <v>-60.733771802498318</v>
      </c>
      <c r="G37" s="4">
        <f t="shared" si="4"/>
        <v>86.335824866150659</v>
      </c>
      <c r="H37" s="4">
        <f t="shared" si="5"/>
        <v>42.7237597263533</v>
      </c>
    </row>
    <row r="38" spans="1:8" x14ac:dyDescent="0.25">
      <c r="A38">
        <v>35</v>
      </c>
      <c r="B38" s="6">
        <v>135.69999999999999</v>
      </c>
      <c r="C38" s="53">
        <f t="shared" si="0"/>
        <v>108.86</v>
      </c>
      <c r="D38" s="53">
        <f t="shared" si="1"/>
        <v>10.071707317073148</v>
      </c>
      <c r="E38" s="53">
        <f t="shared" si="2"/>
        <v>-7.1763414634146301</v>
      </c>
      <c r="F38" s="4">
        <f t="shared" si="3"/>
        <v>-72.278010826888547</v>
      </c>
      <c r="G38" s="4">
        <f t="shared" si="4"/>
        <v>101.43928828078479</v>
      </c>
      <c r="H38" s="4">
        <f t="shared" si="5"/>
        <v>51.499876799524031</v>
      </c>
    </row>
    <row r="39" spans="1:8" x14ac:dyDescent="0.25">
      <c r="A39">
        <v>36</v>
      </c>
      <c r="B39" s="6">
        <v>136.13999999999999</v>
      </c>
      <c r="C39" s="53">
        <f t="shared" si="0"/>
        <v>108.49</v>
      </c>
      <c r="D39" s="53">
        <f t="shared" si="1"/>
        <v>10.511707317073146</v>
      </c>
      <c r="E39" s="53">
        <f t="shared" si="2"/>
        <v>-7.5463414634146346</v>
      </c>
      <c r="F39" s="4">
        <f t="shared" si="3"/>
        <v>-79.324932778108092</v>
      </c>
      <c r="G39" s="4">
        <f t="shared" si="4"/>
        <v>110.49599071980911</v>
      </c>
      <c r="H39" s="4">
        <f t="shared" si="5"/>
        <v>56.947269482450928</v>
      </c>
    </row>
    <row r="40" spans="1:8" x14ac:dyDescent="0.25">
      <c r="A40">
        <v>37</v>
      </c>
      <c r="B40" s="6">
        <v>140.15</v>
      </c>
      <c r="C40" s="53">
        <f t="shared" si="0"/>
        <v>108.36</v>
      </c>
      <c r="D40" s="53">
        <f t="shared" si="1"/>
        <v>14.521707317073165</v>
      </c>
      <c r="E40" s="53">
        <f t="shared" si="2"/>
        <v>-7.6763414634146301</v>
      </c>
      <c r="F40" s="4">
        <f t="shared" si="3"/>
        <v>-111.47358399762037</v>
      </c>
      <c r="G40" s="4">
        <f t="shared" si="4"/>
        <v>210.87998340273631</v>
      </c>
      <c r="H40" s="4">
        <f t="shared" si="5"/>
        <v>58.926218262938661</v>
      </c>
    </row>
    <row r="41" spans="1:8" x14ac:dyDescent="0.25">
      <c r="A41">
        <v>38</v>
      </c>
      <c r="B41" s="6">
        <v>140.09</v>
      </c>
      <c r="C41" s="53">
        <f t="shared" si="0"/>
        <v>108.19</v>
      </c>
      <c r="D41" s="53">
        <f t="shared" si="1"/>
        <v>14.461707317073163</v>
      </c>
      <c r="E41" s="53">
        <f t="shared" si="2"/>
        <v>-7.8463414634146318</v>
      </c>
      <c r="F41" s="4">
        <f t="shared" si="3"/>
        <v>-113.47149375371794</v>
      </c>
      <c r="G41" s="4">
        <f t="shared" si="4"/>
        <v>209.14097852468745</v>
      </c>
      <c r="H41" s="4">
        <f t="shared" si="5"/>
        <v>61.565074360499665</v>
      </c>
    </row>
    <row r="42" spans="1:8" x14ac:dyDescent="0.25">
      <c r="A42">
        <v>39</v>
      </c>
      <c r="B42" s="6">
        <v>139.1</v>
      </c>
      <c r="C42" s="53">
        <f t="shared" si="0"/>
        <v>107.8</v>
      </c>
      <c r="D42" s="53">
        <f t="shared" si="1"/>
        <v>13.471707317073154</v>
      </c>
      <c r="E42" s="53">
        <f t="shared" si="2"/>
        <v>-8.2363414634146324</v>
      </c>
      <c r="F42" s="4">
        <f t="shared" si="3"/>
        <v>-110.9575815585959</v>
      </c>
      <c r="G42" s="4">
        <f t="shared" si="4"/>
        <v>181.48689803688237</v>
      </c>
      <c r="H42" s="4">
        <f t="shared" si="5"/>
        <v>67.837320701963094</v>
      </c>
    </row>
    <row r="43" spans="1:8" x14ac:dyDescent="0.25">
      <c r="A43">
        <v>40</v>
      </c>
      <c r="B43" s="6">
        <v>137.5</v>
      </c>
      <c r="C43" s="53">
        <f t="shared" si="0"/>
        <v>107.47</v>
      </c>
      <c r="D43" s="53">
        <f t="shared" si="1"/>
        <v>11.87170731707316</v>
      </c>
      <c r="E43" s="53">
        <f t="shared" si="2"/>
        <v>-8.5663414634146307</v>
      </c>
      <c r="F43" s="4">
        <f t="shared" si="3"/>
        <v>-101.69709863176666</v>
      </c>
      <c r="G43" s="4">
        <f t="shared" si="4"/>
        <v>140.93743462224839</v>
      </c>
      <c r="H43" s="4">
        <f t="shared" si="5"/>
        <v>73.382206067816711</v>
      </c>
    </row>
    <row r="44" spans="1:8" x14ac:dyDescent="0.25">
      <c r="A44">
        <v>41</v>
      </c>
      <c r="B44" s="6">
        <v>136.12</v>
      </c>
      <c r="C44" s="53">
        <f t="shared" si="0"/>
        <v>107.03</v>
      </c>
      <c r="D44" s="53">
        <f t="shared" si="1"/>
        <v>10.491707317073164</v>
      </c>
      <c r="E44" s="53">
        <f t="shared" si="2"/>
        <v>-9.0063414634146284</v>
      </c>
      <c r="F44" s="4">
        <f t="shared" si="3"/>
        <v>-94.491898631766688</v>
      </c>
      <c r="G44" s="4">
        <f t="shared" si="4"/>
        <v>110.07592242712657</v>
      </c>
      <c r="H44" s="4">
        <f t="shared" si="5"/>
        <v>81.114186555621544</v>
      </c>
    </row>
    <row r="45" spans="1:8" x14ac:dyDescent="0.25">
      <c r="A45">
        <v>42</v>
      </c>
      <c r="B45" s="6">
        <v>135.22</v>
      </c>
      <c r="C45" s="53">
        <f t="shared" si="0"/>
        <v>106.61</v>
      </c>
      <c r="D45" s="53">
        <f t="shared" si="1"/>
        <v>9.5917073170731584</v>
      </c>
      <c r="E45" s="53">
        <f t="shared" si="2"/>
        <v>-9.4263414634146301</v>
      </c>
      <c r="F45" s="4">
        <f t="shared" si="3"/>
        <v>-90.414708387864209</v>
      </c>
      <c r="G45" s="4">
        <f t="shared" si="4"/>
        <v>92.000849256394773</v>
      </c>
      <c r="H45" s="4">
        <f t="shared" si="5"/>
        <v>88.855913384889874</v>
      </c>
    </row>
    <row r="46" spans="1:8" x14ac:dyDescent="0.25">
      <c r="A46">
        <v>43</v>
      </c>
      <c r="B46" s="6">
        <v>134.72999999999999</v>
      </c>
      <c r="C46" s="53">
        <f t="shared" si="0"/>
        <v>106.57</v>
      </c>
      <c r="D46" s="53">
        <f t="shared" si="1"/>
        <v>9.1017073170731493</v>
      </c>
      <c r="E46" s="53">
        <f t="shared" si="2"/>
        <v>-9.4663414634146363</v>
      </c>
      <c r="F46" s="4">
        <f t="shared" si="3"/>
        <v>-86.159869363473945</v>
      </c>
      <c r="G46" s="4">
        <f t="shared" si="4"/>
        <v>82.841076085662905</v>
      </c>
      <c r="H46" s="4">
        <f t="shared" si="5"/>
        <v>89.611620701963162</v>
      </c>
    </row>
    <row r="47" spans="1:8" x14ac:dyDescent="0.25">
      <c r="A47">
        <v>44</v>
      </c>
      <c r="B47" s="6">
        <v>134.38999999999999</v>
      </c>
      <c r="C47" s="53">
        <f t="shared" si="0"/>
        <v>106.49</v>
      </c>
      <c r="D47" s="53">
        <f t="shared" si="1"/>
        <v>8.7617073170731459</v>
      </c>
      <c r="E47" s="53">
        <f t="shared" si="2"/>
        <v>-9.5463414634146346</v>
      </c>
      <c r="F47" s="4">
        <f t="shared" si="3"/>
        <v>-83.642249851278763</v>
      </c>
      <c r="G47" s="4">
        <f t="shared" si="4"/>
        <v>76.767515110053111</v>
      </c>
      <c r="H47" s="4">
        <f t="shared" si="5"/>
        <v>91.132635336109473</v>
      </c>
    </row>
    <row r="48" spans="1:8" x14ac:dyDescent="0.25">
      <c r="A48">
        <v>45</v>
      </c>
      <c r="B48" s="6">
        <v>134.51</v>
      </c>
      <c r="C48" s="53">
        <f t="shared" si="0"/>
        <v>107.04</v>
      </c>
      <c r="D48" s="53">
        <f t="shared" si="1"/>
        <v>8.8817073170731504</v>
      </c>
      <c r="E48" s="53">
        <f t="shared" si="2"/>
        <v>-8.9963414634146233</v>
      </c>
      <c r="F48" s="4">
        <f t="shared" si="3"/>
        <v>-79.90287180249824</v>
      </c>
      <c r="G48" s="4">
        <f t="shared" si="4"/>
        <v>78.884724866150734</v>
      </c>
      <c r="H48" s="4">
        <f t="shared" si="5"/>
        <v>80.934159726353158</v>
      </c>
    </row>
    <row r="49" spans="1:8" x14ac:dyDescent="0.25">
      <c r="A49">
        <v>46</v>
      </c>
      <c r="B49" s="6">
        <v>134.46</v>
      </c>
      <c r="C49" s="53">
        <f t="shared" si="0"/>
        <v>111.35</v>
      </c>
      <c r="D49" s="53">
        <f t="shared" si="1"/>
        <v>8.8317073170731675</v>
      </c>
      <c r="E49" s="53">
        <f t="shared" si="2"/>
        <v>-4.6863414634146352</v>
      </c>
      <c r="F49" s="4">
        <f t="shared" si="3"/>
        <v>-41.388396192742412</v>
      </c>
      <c r="G49" s="4">
        <f t="shared" si="4"/>
        <v>77.999054134443725</v>
      </c>
      <c r="H49" s="4">
        <f t="shared" si="5"/>
        <v>21.961796311719226</v>
      </c>
    </row>
    <row r="50" spans="1:8" x14ac:dyDescent="0.25">
      <c r="A50">
        <v>47</v>
      </c>
      <c r="B50" s="6">
        <v>134.27000000000001</v>
      </c>
      <c r="C50" s="53">
        <f t="shared" si="0"/>
        <v>117.54</v>
      </c>
      <c r="D50" s="53">
        <f t="shared" si="1"/>
        <v>8.6417073170731697</v>
      </c>
      <c r="E50" s="53">
        <f t="shared" si="2"/>
        <v>1.5036585365853767</v>
      </c>
      <c r="F50" s="4">
        <f t="shared" si="3"/>
        <v>12.994176977989385</v>
      </c>
      <c r="G50" s="4">
        <f t="shared" si="4"/>
        <v>74.679105353955961</v>
      </c>
      <c r="H50" s="4">
        <f t="shared" si="5"/>
        <v>2.2609889946460768</v>
      </c>
    </row>
    <row r="51" spans="1:8" x14ac:dyDescent="0.25">
      <c r="A51">
        <v>48</v>
      </c>
      <c r="B51" s="6">
        <v>133.72999999999999</v>
      </c>
      <c r="C51" s="53">
        <f t="shared" si="0"/>
        <v>122.58</v>
      </c>
      <c r="D51" s="53">
        <f t="shared" si="1"/>
        <v>8.1017073170731493</v>
      </c>
      <c r="E51" s="53">
        <f t="shared" si="2"/>
        <v>6.5436585365853688</v>
      </c>
      <c r="F51" s="4">
        <f t="shared" si="3"/>
        <v>53.014806246281857</v>
      </c>
      <c r="G51" s="4">
        <f t="shared" si="4"/>
        <v>65.637661451516607</v>
      </c>
      <c r="H51" s="4">
        <f t="shared" si="5"/>
        <v>42.81946704342657</v>
      </c>
    </row>
    <row r="52" spans="1:8" x14ac:dyDescent="0.25">
      <c r="A52">
        <v>49</v>
      </c>
      <c r="B52" s="6">
        <v>132.01</v>
      </c>
      <c r="C52" s="53">
        <f t="shared" si="0"/>
        <v>128.16</v>
      </c>
      <c r="D52" s="53">
        <f t="shared" si="1"/>
        <v>6.3817073170731504</v>
      </c>
      <c r="E52" s="53">
        <f t="shared" si="2"/>
        <v>12.123658536585367</v>
      </c>
      <c r="F52" s="4">
        <f t="shared" si="3"/>
        <v>77.369640392623197</v>
      </c>
      <c r="G52" s="4">
        <f t="shared" si="4"/>
        <v>40.726188280784989</v>
      </c>
      <c r="H52" s="4">
        <f t="shared" si="5"/>
        <v>146.98309631171924</v>
      </c>
    </row>
    <row r="53" spans="1:8" x14ac:dyDescent="0.25">
      <c r="A53">
        <v>50</v>
      </c>
      <c r="B53" s="6">
        <v>130.59</v>
      </c>
      <c r="C53" s="53">
        <f t="shared" si="0"/>
        <v>132.86000000000001</v>
      </c>
      <c r="D53" s="53">
        <f t="shared" si="1"/>
        <v>4.9617073170731629</v>
      </c>
      <c r="E53" s="53">
        <f t="shared" si="2"/>
        <v>16.823658536585384</v>
      </c>
      <c r="F53" s="4">
        <f t="shared" si="3"/>
        <v>83.474069660916086</v>
      </c>
      <c r="G53" s="4">
        <f t="shared" si="4"/>
        <v>24.618539500297363</v>
      </c>
      <c r="H53" s="4">
        <f t="shared" si="5"/>
        <v>283.03548655562224</v>
      </c>
    </row>
    <row r="54" spans="1:8" x14ac:dyDescent="0.25">
      <c r="A54">
        <v>51</v>
      </c>
      <c r="B54" s="6">
        <v>130.28</v>
      </c>
      <c r="C54" s="53">
        <f t="shared" si="0"/>
        <v>134.91999999999999</v>
      </c>
      <c r="D54" s="53">
        <f t="shared" si="1"/>
        <v>4.6517073170731607</v>
      </c>
      <c r="E54" s="53">
        <f t="shared" si="2"/>
        <v>18.883658536585358</v>
      </c>
      <c r="F54" s="4">
        <f t="shared" si="3"/>
        <v>87.84125258774516</v>
      </c>
      <c r="G54" s="4">
        <f t="shared" si="4"/>
        <v>21.638380963711981</v>
      </c>
      <c r="H54" s="4">
        <f t="shared" si="5"/>
        <v>356.59255972635304</v>
      </c>
    </row>
    <row r="55" spans="1:8" x14ac:dyDescent="0.25">
      <c r="A55">
        <v>52</v>
      </c>
      <c r="B55" s="6">
        <v>129.16</v>
      </c>
      <c r="C55" s="53">
        <f t="shared" si="0"/>
        <v>135.69999999999999</v>
      </c>
      <c r="D55" s="53">
        <f t="shared" si="1"/>
        <v>3.5317073170731561</v>
      </c>
      <c r="E55" s="53">
        <f t="shared" si="2"/>
        <v>19.663658536585359</v>
      </c>
      <c r="F55" s="4">
        <f t="shared" si="3"/>
        <v>69.446286734086542</v>
      </c>
      <c r="G55" s="4">
        <f t="shared" si="4"/>
        <v>12.472956573468071</v>
      </c>
      <c r="H55" s="4">
        <f t="shared" si="5"/>
        <v>386.65946704342628</v>
      </c>
    </row>
    <row r="56" spans="1:8" x14ac:dyDescent="0.25">
      <c r="A56">
        <v>53</v>
      </c>
      <c r="B56" s="6">
        <v>128.94</v>
      </c>
      <c r="C56" s="53">
        <f t="shared" si="0"/>
        <v>136.13999999999999</v>
      </c>
      <c r="D56" s="53">
        <f t="shared" si="1"/>
        <v>3.3117073170731572</v>
      </c>
      <c r="E56" s="53">
        <f t="shared" si="2"/>
        <v>20.103658536585357</v>
      </c>
      <c r="F56" s="4">
        <f t="shared" si="3"/>
        <v>66.577433075549962</v>
      </c>
      <c r="G56" s="4">
        <f t="shared" si="4"/>
        <v>10.96740535395589</v>
      </c>
      <c r="H56" s="4">
        <f t="shared" si="5"/>
        <v>404.15708655562128</v>
      </c>
    </row>
    <row r="57" spans="1:8" x14ac:dyDescent="0.25">
      <c r="A57">
        <v>54</v>
      </c>
      <c r="B57" s="6">
        <v>129.30000000000001</v>
      </c>
      <c r="C57" s="53">
        <f t="shared" si="0"/>
        <v>140.15</v>
      </c>
      <c r="D57" s="53">
        <f t="shared" si="1"/>
        <v>3.6717073170731709</v>
      </c>
      <c r="E57" s="53">
        <f t="shared" si="2"/>
        <v>24.113658536585376</v>
      </c>
      <c r="F57" s="4">
        <f t="shared" si="3"/>
        <v>88.53829649018445</v>
      </c>
      <c r="G57" s="4">
        <f t="shared" si="4"/>
        <v>13.481434622248663</v>
      </c>
      <c r="H57" s="4">
        <f t="shared" si="5"/>
        <v>581.46852801903674</v>
      </c>
    </row>
    <row r="58" spans="1:8" x14ac:dyDescent="0.25">
      <c r="A58">
        <v>55</v>
      </c>
      <c r="B58" s="6">
        <v>131.22</v>
      </c>
      <c r="C58" s="53">
        <f t="shared" si="0"/>
        <v>140.09</v>
      </c>
      <c r="D58" s="53">
        <f t="shared" si="1"/>
        <v>5.5917073170731584</v>
      </c>
      <c r="E58" s="53">
        <f t="shared" si="2"/>
        <v>24.053658536585374</v>
      </c>
      <c r="F58" s="4">
        <f t="shared" si="3"/>
        <v>134.50101844140369</v>
      </c>
      <c r="G58" s="4">
        <f t="shared" si="4"/>
        <v>31.267190719809498</v>
      </c>
      <c r="H58" s="4">
        <f t="shared" si="5"/>
        <v>578.57848899464648</v>
      </c>
    </row>
    <row r="59" spans="1:8" x14ac:dyDescent="0.25">
      <c r="A59">
        <v>56</v>
      </c>
      <c r="B59" s="6">
        <v>132.52000000000001</v>
      </c>
      <c r="C59" s="53">
        <f t="shared" si="0"/>
        <v>139.1</v>
      </c>
      <c r="D59" s="53">
        <f t="shared" si="1"/>
        <v>6.8917073170731697</v>
      </c>
      <c r="E59" s="53">
        <f t="shared" si="2"/>
        <v>23.063658536585365</v>
      </c>
      <c r="F59" s="4">
        <f t="shared" si="3"/>
        <v>158.94798429506244</v>
      </c>
      <c r="G59" s="4">
        <f t="shared" si="4"/>
        <v>47.495629744199867</v>
      </c>
      <c r="H59" s="4">
        <f t="shared" si="5"/>
        <v>531.93234509220702</v>
      </c>
    </row>
    <row r="60" spans="1:8" x14ac:dyDescent="0.25">
      <c r="A60">
        <v>57</v>
      </c>
      <c r="B60" s="6">
        <v>134.25</v>
      </c>
      <c r="C60" s="53">
        <f t="shared" si="0"/>
        <v>137.5</v>
      </c>
      <c r="D60" s="53">
        <f t="shared" si="1"/>
        <v>8.6217073170731595</v>
      </c>
      <c r="E60" s="53">
        <f t="shared" si="2"/>
        <v>21.46365853658537</v>
      </c>
      <c r="F60" s="4">
        <f t="shared" si="3"/>
        <v>185.05338185603787</v>
      </c>
      <c r="G60" s="4">
        <f t="shared" si="4"/>
        <v>74.33383706127286</v>
      </c>
      <c r="H60" s="4">
        <f t="shared" si="5"/>
        <v>460.68863777513405</v>
      </c>
    </row>
    <row r="61" spans="1:8" x14ac:dyDescent="0.25">
      <c r="A61">
        <v>58</v>
      </c>
      <c r="B61" s="6">
        <v>136.06</v>
      </c>
      <c r="C61" s="53">
        <f t="shared" si="0"/>
        <v>136.12</v>
      </c>
      <c r="D61" s="53">
        <f t="shared" si="1"/>
        <v>10.431707317073162</v>
      </c>
      <c r="E61" s="53">
        <f t="shared" si="2"/>
        <v>20.083658536585375</v>
      </c>
      <c r="F61" s="4">
        <f t="shared" si="3"/>
        <v>209.50684770969653</v>
      </c>
      <c r="G61" s="4">
        <f t="shared" si="4"/>
        <v>108.82051754907775</v>
      </c>
      <c r="H61" s="4">
        <f t="shared" si="5"/>
        <v>403.35334021415861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4757.49</v>
      </c>
      <c r="D62" s="39">
        <f t="shared" si="6"/>
        <v>-4.8316906031686813E-13</v>
      </c>
      <c r="E62" s="39">
        <f t="shared" si="6"/>
        <v>8.5265128291212022E-14</v>
      </c>
      <c r="F62" s="39">
        <f t="shared" si="6"/>
        <v>1637.7464439024404</v>
      </c>
      <c r="G62" s="39">
        <f t="shared" si="6"/>
        <v>6030.079380487804</v>
      </c>
      <c r="H62" s="39">
        <f t="shared" si="6"/>
        <v>6293.0337512195129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116.03634146341463</v>
      </c>
    </row>
    <row r="65" spans="1:2" ht="18" x14ac:dyDescent="0.35">
      <c r="A65" t="s">
        <v>222</v>
      </c>
      <c r="B65" s="39">
        <f>SUM(B21:B61)/41</f>
        <v>125.62829268292684</v>
      </c>
    </row>
    <row r="66" spans="1:2" ht="18" x14ac:dyDescent="0.35">
      <c r="A66" t="s">
        <v>223</v>
      </c>
      <c r="B66">
        <f>SUM(C21:C61)/41</f>
        <v>116.03634146341463</v>
      </c>
    </row>
    <row r="68" spans="1:2" ht="18" x14ac:dyDescent="0.35">
      <c r="A68" t="s">
        <v>224</v>
      </c>
      <c r="B68">
        <f>F62/SQRT(G62*H62)</f>
        <v>0.26586129752486465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5" workbookViewId="0">
      <selection activeCell="C70" sqref="C70"/>
    </sheetView>
  </sheetViews>
  <sheetFormatPr defaultRowHeight="15" x14ac:dyDescent="0.25"/>
  <cols>
    <col min="6" max="6" width="18.1406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225</v>
      </c>
      <c r="D3" s="45" t="s">
        <v>226</v>
      </c>
      <c r="E3" s="45" t="s">
        <v>227</v>
      </c>
      <c r="F3" s="46" t="s">
        <v>228</v>
      </c>
      <c r="G3" s="45" t="s">
        <v>229</v>
      </c>
      <c r="H3" s="45" t="s">
        <v>230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53">
        <f>B4</f>
        <v>102.32</v>
      </c>
      <c r="D22" s="53">
        <f t="shared" ref="D22:D61" si="0">B22-$B$65</f>
        <v>-17.557500000000019</v>
      </c>
      <c r="E22" s="53">
        <f t="shared" ref="E22:E61" si="1">C22-$B$66</f>
        <v>-13.214250000000007</v>
      </c>
      <c r="F22" s="4">
        <f t="shared" ref="F22:F61" si="2">D22*E22</f>
        <v>232.00919437500036</v>
      </c>
      <c r="G22" s="4">
        <f t="shared" ref="G22:H36" si="3">D22*D22</f>
        <v>308.26580625000065</v>
      </c>
      <c r="H22" s="4">
        <f t="shared" si="3"/>
        <v>174.61640306250018</v>
      </c>
    </row>
    <row r="23" spans="1:8" x14ac:dyDescent="0.25">
      <c r="A23">
        <v>20</v>
      </c>
      <c r="B23" s="6">
        <v>108.36</v>
      </c>
      <c r="C23" s="53">
        <f t="shared" ref="C23:C61" si="4">B5</f>
        <v>102.21</v>
      </c>
      <c r="D23" s="53">
        <f t="shared" si="0"/>
        <v>-17.687500000000014</v>
      </c>
      <c r="E23" s="53">
        <f t="shared" si="1"/>
        <v>-13.324250000000006</v>
      </c>
      <c r="F23" s="4">
        <f t="shared" si="2"/>
        <v>235.6726718750003</v>
      </c>
      <c r="G23" s="4">
        <f t="shared" si="3"/>
        <v>312.84765625000051</v>
      </c>
      <c r="H23" s="4">
        <f t="shared" si="3"/>
        <v>177.53563806250017</v>
      </c>
    </row>
    <row r="24" spans="1:8" x14ac:dyDescent="0.25">
      <c r="A24">
        <v>21</v>
      </c>
      <c r="B24" s="6">
        <v>108.19</v>
      </c>
      <c r="C24" s="53">
        <f t="shared" si="4"/>
        <v>102.16</v>
      </c>
      <c r="D24" s="53">
        <f t="shared" si="0"/>
        <v>-17.857500000000016</v>
      </c>
      <c r="E24" s="53">
        <f t="shared" si="1"/>
        <v>-13.374250000000004</v>
      </c>
      <c r="F24" s="4">
        <f t="shared" si="2"/>
        <v>238.83066937500027</v>
      </c>
      <c r="G24" s="4">
        <f t="shared" si="3"/>
        <v>318.89030625000055</v>
      </c>
      <c r="H24" s="4">
        <f t="shared" si="3"/>
        <v>178.87056306250008</v>
      </c>
    </row>
    <row r="25" spans="1:8" x14ac:dyDescent="0.25">
      <c r="A25">
        <v>22</v>
      </c>
      <c r="B25" s="6">
        <v>107.8</v>
      </c>
      <c r="C25" s="53">
        <f t="shared" si="4"/>
        <v>102.06</v>
      </c>
      <c r="D25" s="53">
        <f t="shared" si="0"/>
        <v>-18.247500000000016</v>
      </c>
      <c r="E25" s="53">
        <f t="shared" si="1"/>
        <v>-13.474249999999998</v>
      </c>
      <c r="F25" s="4">
        <f t="shared" si="2"/>
        <v>245.87137687500018</v>
      </c>
      <c r="G25" s="4">
        <f t="shared" si="3"/>
        <v>332.97125625000058</v>
      </c>
      <c r="H25" s="4">
        <f t="shared" si="3"/>
        <v>181.55541306249995</v>
      </c>
    </row>
    <row r="26" spans="1:8" x14ac:dyDescent="0.25">
      <c r="A26">
        <v>23</v>
      </c>
      <c r="B26" s="6">
        <v>107.47</v>
      </c>
      <c r="C26" s="53">
        <f t="shared" si="4"/>
        <v>102.55</v>
      </c>
      <c r="D26" s="53">
        <f t="shared" si="0"/>
        <v>-18.577500000000015</v>
      </c>
      <c r="E26" s="53">
        <f t="shared" si="1"/>
        <v>-12.984250000000003</v>
      </c>
      <c r="F26" s="4">
        <f t="shared" si="2"/>
        <v>241.21490437500026</v>
      </c>
      <c r="G26" s="4">
        <f t="shared" si="3"/>
        <v>345.12350625000056</v>
      </c>
      <c r="H26" s="4">
        <f t="shared" si="3"/>
        <v>168.59074806250007</v>
      </c>
    </row>
    <row r="27" spans="1:8" x14ac:dyDescent="0.25">
      <c r="A27">
        <v>24</v>
      </c>
      <c r="B27" s="6">
        <v>107.03</v>
      </c>
      <c r="C27" s="53">
        <f t="shared" si="4"/>
        <v>104.35</v>
      </c>
      <c r="D27" s="53">
        <f t="shared" si="0"/>
        <v>-19.017500000000013</v>
      </c>
      <c r="E27" s="53">
        <f t="shared" si="1"/>
        <v>-11.184250000000006</v>
      </c>
      <c r="F27" s="4">
        <f t="shared" si="2"/>
        <v>212.69647437500026</v>
      </c>
      <c r="G27" s="4">
        <f t="shared" si="3"/>
        <v>361.66530625000047</v>
      </c>
      <c r="H27" s="4">
        <f t="shared" si="3"/>
        <v>125.08744806250013</v>
      </c>
    </row>
    <row r="28" spans="1:8" x14ac:dyDescent="0.25">
      <c r="A28">
        <v>25</v>
      </c>
      <c r="B28" s="6">
        <v>106.61</v>
      </c>
      <c r="C28" s="53">
        <f t="shared" si="4"/>
        <v>107.57</v>
      </c>
      <c r="D28" s="53">
        <f t="shared" si="0"/>
        <v>-19.437500000000014</v>
      </c>
      <c r="E28" s="53">
        <f t="shared" si="1"/>
        <v>-7.9642500000000069</v>
      </c>
      <c r="F28" s="4">
        <f t="shared" si="2"/>
        <v>154.80510937500026</v>
      </c>
      <c r="G28" s="4">
        <f t="shared" si="3"/>
        <v>377.81640625000057</v>
      </c>
      <c r="H28" s="4">
        <f t="shared" si="3"/>
        <v>63.42927806250011</v>
      </c>
    </row>
    <row r="29" spans="1:8" x14ac:dyDescent="0.25">
      <c r="A29">
        <v>26</v>
      </c>
      <c r="B29" s="6">
        <v>106.57</v>
      </c>
      <c r="C29" s="53">
        <f t="shared" si="4"/>
        <v>111.96</v>
      </c>
      <c r="D29" s="53">
        <f t="shared" si="0"/>
        <v>-19.47750000000002</v>
      </c>
      <c r="E29" s="53">
        <f t="shared" si="1"/>
        <v>-3.5742500000000064</v>
      </c>
      <c r="F29" s="4">
        <f t="shared" si="2"/>
        <v>69.617454375000193</v>
      </c>
      <c r="G29" s="4">
        <f t="shared" si="3"/>
        <v>379.3730062500008</v>
      </c>
      <c r="H29" s="4">
        <f t="shared" si="3"/>
        <v>12.775263062500045</v>
      </c>
    </row>
    <row r="30" spans="1:8" x14ac:dyDescent="0.25">
      <c r="A30">
        <v>27</v>
      </c>
      <c r="B30" s="6">
        <v>106.49</v>
      </c>
      <c r="C30" s="53">
        <f t="shared" si="4"/>
        <v>115.27</v>
      </c>
      <c r="D30" s="53">
        <f t="shared" si="0"/>
        <v>-19.557500000000019</v>
      </c>
      <c r="E30" s="53">
        <f t="shared" si="1"/>
        <v>-0.26425000000000409</v>
      </c>
      <c r="F30" s="4">
        <f t="shared" si="2"/>
        <v>5.1680693750000852</v>
      </c>
      <c r="G30" s="4">
        <f t="shared" si="3"/>
        <v>382.49580625000073</v>
      </c>
      <c r="H30" s="4">
        <f t="shared" si="3"/>
        <v>6.9828062500002161E-2</v>
      </c>
    </row>
    <row r="31" spans="1:8" x14ac:dyDescent="0.25">
      <c r="A31">
        <v>28</v>
      </c>
      <c r="B31" s="6">
        <v>107.04</v>
      </c>
      <c r="C31" s="53">
        <f t="shared" si="4"/>
        <v>117.17</v>
      </c>
      <c r="D31" s="53">
        <f t="shared" si="0"/>
        <v>-19.007500000000007</v>
      </c>
      <c r="E31" s="53">
        <f t="shared" si="1"/>
        <v>1.6357500000000016</v>
      </c>
      <c r="F31" s="4">
        <f t="shared" si="2"/>
        <v>-31.091518125000043</v>
      </c>
      <c r="G31" s="4">
        <f t="shared" si="3"/>
        <v>361.28505625000031</v>
      </c>
      <c r="H31" s="4">
        <f t="shared" si="3"/>
        <v>2.6756780625000052</v>
      </c>
    </row>
    <row r="32" spans="1:8" x14ac:dyDescent="0.25">
      <c r="A32">
        <v>29</v>
      </c>
      <c r="B32" s="6">
        <v>111.35</v>
      </c>
      <c r="C32" s="53">
        <f t="shared" si="4"/>
        <v>117.61</v>
      </c>
      <c r="D32" s="53">
        <f t="shared" si="0"/>
        <v>-14.697500000000019</v>
      </c>
      <c r="E32" s="53">
        <f t="shared" si="1"/>
        <v>2.0757499999999993</v>
      </c>
      <c r="F32" s="4">
        <f t="shared" si="2"/>
        <v>-30.508335625000029</v>
      </c>
      <c r="G32" s="4">
        <f t="shared" si="3"/>
        <v>216.01650625000056</v>
      </c>
      <c r="H32" s="4">
        <f t="shared" si="3"/>
        <v>4.3087380624999971</v>
      </c>
    </row>
    <row r="33" spans="1:8" x14ac:dyDescent="0.25">
      <c r="A33">
        <v>30</v>
      </c>
      <c r="B33" s="6">
        <v>117.54</v>
      </c>
      <c r="C33" s="53">
        <f t="shared" si="4"/>
        <v>117.26</v>
      </c>
      <c r="D33" s="53">
        <f t="shared" si="0"/>
        <v>-8.5075000000000074</v>
      </c>
      <c r="E33" s="53">
        <f t="shared" si="1"/>
        <v>1.725750000000005</v>
      </c>
      <c r="F33" s="4">
        <f t="shared" si="2"/>
        <v>-14.681818125000055</v>
      </c>
      <c r="G33" s="4">
        <f t="shared" si="3"/>
        <v>72.377556250000126</v>
      </c>
      <c r="H33" s="4">
        <f t="shared" si="3"/>
        <v>2.9782130625000174</v>
      </c>
    </row>
    <row r="34" spans="1:8" x14ac:dyDescent="0.25">
      <c r="A34">
        <v>31</v>
      </c>
      <c r="B34" s="6">
        <v>122.58</v>
      </c>
      <c r="C34" s="53">
        <f t="shared" si="4"/>
        <v>115.88</v>
      </c>
      <c r="D34" s="53">
        <f t="shared" si="0"/>
        <v>-3.4675000000000153</v>
      </c>
      <c r="E34" s="53">
        <f t="shared" si="1"/>
        <v>0.34574999999999534</v>
      </c>
      <c r="F34" s="4">
        <f t="shared" si="2"/>
        <v>-1.1988881249999892</v>
      </c>
      <c r="G34" s="4">
        <f t="shared" si="3"/>
        <v>12.023556250000107</v>
      </c>
      <c r="H34" s="4">
        <f t="shared" si="3"/>
        <v>0.11954306249999677</v>
      </c>
    </row>
    <row r="35" spans="1:8" x14ac:dyDescent="0.25">
      <c r="A35">
        <v>32</v>
      </c>
      <c r="B35" s="6">
        <v>128.16</v>
      </c>
      <c r="C35" s="53">
        <f t="shared" si="4"/>
        <v>113.35</v>
      </c>
      <c r="D35" s="53">
        <f t="shared" si="0"/>
        <v>2.1124999999999829</v>
      </c>
      <c r="E35" s="53">
        <f t="shared" si="1"/>
        <v>-2.1842500000000058</v>
      </c>
      <c r="F35" s="4">
        <f t="shared" si="2"/>
        <v>-4.6142281249999746</v>
      </c>
      <c r="G35" s="4">
        <f t="shared" si="3"/>
        <v>4.4626562499999283</v>
      </c>
      <c r="H35" s="4">
        <f t="shared" si="3"/>
        <v>4.7709480625000253</v>
      </c>
    </row>
    <row r="36" spans="1:8" x14ac:dyDescent="0.25">
      <c r="A36">
        <v>33</v>
      </c>
      <c r="B36" s="6">
        <v>132.86000000000001</v>
      </c>
      <c r="C36" s="53">
        <f t="shared" si="4"/>
        <v>111.39</v>
      </c>
      <c r="D36" s="53">
        <f t="shared" si="0"/>
        <v>6.8125</v>
      </c>
      <c r="E36" s="53">
        <f t="shared" si="1"/>
        <v>-4.1442499999999995</v>
      </c>
      <c r="F36" s="4">
        <f t="shared" si="2"/>
        <v>-28.232703124999997</v>
      </c>
      <c r="G36" s="4">
        <f t="shared" si="3"/>
        <v>46.41015625</v>
      </c>
      <c r="H36" s="4">
        <f t="shared" si="3"/>
        <v>17.174808062499995</v>
      </c>
    </row>
    <row r="37" spans="1:8" x14ac:dyDescent="0.25">
      <c r="A37">
        <v>34</v>
      </c>
      <c r="B37" s="6">
        <v>134.91999999999999</v>
      </c>
      <c r="C37" s="53">
        <f t="shared" si="4"/>
        <v>109.76</v>
      </c>
      <c r="D37" s="53">
        <f t="shared" si="0"/>
        <v>8.8724999999999739</v>
      </c>
      <c r="E37" s="53">
        <f t="shared" si="1"/>
        <v>-5.774249999999995</v>
      </c>
      <c r="F37" s="4">
        <f t="shared" si="2"/>
        <v>-51.232033124999802</v>
      </c>
      <c r="G37" s="4">
        <f t="shared" ref="G37:H61" si="5">D37*D37</f>
        <v>78.721256249999541</v>
      </c>
      <c r="H37" s="4">
        <f t="shared" si="5"/>
        <v>33.341963062499943</v>
      </c>
    </row>
    <row r="38" spans="1:8" x14ac:dyDescent="0.25">
      <c r="A38">
        <v>35</v>
      </c>
      <c r="B38" s="6">
        <v>135.69999999999999</v>
      </c>
      <c r="C38" s="53">
        <f t="shared" si="4"/>
        <v>109.5</v>
      </c>
      <c r="D38" s="53">
        <f t="shared" si="0"/>
        <v>9.652499999999975</v>
      </c>
      <c r="E38" s="53">
        <f t="shared" si="1"/>
        <v>-6.0342500000000001</v>
      </c>
      <c r="F38" s="4">
        <f t="shared" si="2"/>
        <v>-58.245598124999852</v>
      </c>
      <c r="G38" s="4">
        <f t="shared" si="5"/>
        <v>93.170756249999513</v>
      </c>
      <c r="H38" s="4">
        <f t="shared" si="5"/>
        <v>36.412173062500003</v>
      </c>
    </row>
    <row r="39" spans="1:8" x14ac:dyDescent="0.25">
      <c r="A39">
        <v>36</v>
      </c>
      <c r="B39" s="6">
        <v>136.13999999999999</v>
      </c>
      <c r="C39" s="53">
        <f t="shared" si="4"/>
        <v>108.86</v>
      </c>
      <c r="D39" s="53">
        <f t="shared" si="0"/>
        <v>10.092499999999973</v>
      </c>
      <c r="E39" s="53">
        <f t="shared" si="1"/>
        <v>-6.6742500000000007</v>
      </c>
      <c r="F39" s="4">
        <f t="shared" si="2"/>
        <v>-67.359868124999821</v>
      </c>
      <c r="G39" s="4">
        <f t="shared" si="5"/>
        <v>101.85855624999945</v>
      </c>
      <c r="H39" s="4">
        <f t="shared" si="5"/>
        <v>44.54561306250001</v>
      </c>
    </row>
    <row r="40" spans="1:8" x14ac:dyDescent="0.25">
      <c r="A40">
        <v>37</v>
      </c>
      <c r="B40" s="6">
        <v>140.15</v>
      </c>
      <c r="C40" s="53">
        <f t="shared" si="4"/>
        <v>108.49</v>
      </c>
      <c r="D40" s="53">
        <f t="shared" si="0"/>
        <v>14.102499999999992</v>
      </c>
      <c r="E40" s="53">
        <f t="shared" si="1"/>
        <v>-7.0442500000000052</v>
      </c>
      <c r="F40" s="4">
        <f t="shared" si="2"/>
        <v>-99.34153562500002</v>
      </c>
      <c r="G40" s="4">
        <f t="shared" si="5"/>
        <v>198.88050624999977</v>
      </c>
      <c r="H40" s="4">
        <f t="shared" si="5"/>
        <v>49.621458062500075</v>
      </c>
    </row>
    <row r="41" spans="1:8" x14ac:dyDescent="0.25">
      <c r="A41">
        <v>38</v>
      </c>
      <c r="B41" s="6">
        <v>140.09</v>
      </c>
      <c r="C41" s="53">
        <f t="shared" si="4"/>
        <v>108.36</v>
      </c>
      <c r="D41" s="53">
        <f t="shared" si="0"/>
        <v>14.04249999999999</v>
      </c>
      <c r="E41" s="53">
        <f t="shared" si="1"/>
        <v>-7.1742500000000007</v>
      </c>
      <c r="F41" s="4">
        <f t="shared" si="2"/>
        <v>-100.74440562499994</v>
      </c>
      <c r="G41" s="4">
        <f t="shared" si="5"/>
        <v>197.1918062499997</v>
      </c>
      <c r="H41" s="4">
        <f t="shared" si="5"/>
        <v>51.469863062500011</v>
      </c>
    </row>
    <row r="42" spans="1:8" x14ac:dyDescent="0.25">
      <c r="A42">
        <v>39</v>
      </c>
      <c r="B42" s="6">
        <v>139.1</v>
      </c>
      <c r="C42" s="53">
        <f t="shared" si="4"/>
        <v>108.19</v>
      </c>
      <c r="D42" s="53">
        <f t="shared" si="0"/>
        <v>13.052499999999981</v>
      </c>
      <c r="E42" s="53">
        <f t="shared" si="1"/>
        <v>-7.3442500000000024</v>
      </c>
      <c r="F42" s="4">
        <f t="shared" si="2"/>
        <v>-95.860823124999882</v>
      </c>
      <c r="G42" s="4">
        <f t="shared" si="5"/>
        <v>170.3677562499995</v>
      </c>
      <c r="H42" s="4">
        <f t="shared" si="5"/>
        <v>53.938008062500032</v>
      </c>
    </row>
    <row r="43" spans="1:8" x14ac:dyDescent="0.25">
      <c r="A43">
        <v>40</v>
      </c>
      <c r="B43" s="6">
        <v>137.5</v>
      </c>
      <c r="C43" s="53">
        <f t="shared" si="4"/>
        <v>107.8</v>
      </c>
      <c r="D43" s="53">
        <f t="shared" si="0"/>
        <v>11.452499999999986</v>
      </c>
      <c r="E43" s="53">
        <f t="shared" si="1"/>
        <v>-7.734250000000003</v>
      </c>
      <c r="F43" s="4">
        <f t="shared" si="2"/>
        <v>-88.576498124999929</v>
      </c>
      <c r="G43" s="4">
        <f t="shared" si="5"/>
        <v>131.15975624999967</v>
      </c>
      <c r="H43" s="4">
        <f t="shared" si="5"/>
        <v>59.818623062500045</v>
      </c>
    </row>
    <row r="44" spans="1:8" x14ac:dyDescent="0.25">
      <c r="A44">
        <v>41</v>
      </c>
      <c r="B44" s="6">
        <v>136.12</v>
      </c>
      <c r="C44" s="53">
        <f t="shared" si="4"/>
        <v>107.47</v>
      </c>
      <c r="D44" s="53">
        <f t="shared" si="0"/>
        <v>10.072499999999991</v>
      </c>
      <c r="E44" s="53">
        <f t="shared" si="1"/>
        <v>-8.0642500000000013</v>
      </c>
      <c r="F44" s="4">
        <f t="shared" si="2"/>
        <v>-81.227158124999946</v>
      </c>
      <c r="G44" s="4">
        <f t="shared" si="5"/>
        <v>101.45525624999982</v>
      </c>
      <c r="H44" s="4">
        <f t="shared" si="5"/>
        <v>65.032128062500021</v>
      </c>
    </row>
    <row r="45" spans="1:8" x14ac:dyDescent="0.25">
      <c r="A45">
        <v>42</v>
      </c>
      <c r="B45" s="6">
        <v>135.22</v>
      </c>
      <c r="C45" s="53">
        <f t="shared" si="4"/>
        <v>107.03</v>
      </c>
      <c r="D45" s="53">
        <f t="shared" si="0"/>
        <v>9.1724999999999852</v>
      </c>
      <c r="E45" s="53">
        <f t="shared" si="1"/>
        <v>-8.504249999999999</v>
      </c>
      <c r="F45" s="4">
        <f t="shared" si="2"/>
        <v>-78.005233124999862</v>
      </c>
      <c r="G45" s="4">
        <f t="shared" si="5"/>
        <v>84.134756249999725</v>
      </c>
      <c r="H45" s="4">
        <f t="shared" si="5"/>
        <v>72.322268062499987</v>
      </c>
    </row>
    <row r="46" spans="1:8" x14ac:dyDescent="0.25">
      <c r="A46">
        <v>43</v>
      </c>
      <c r="B46" s="6">
        <v>134.72999999999999</v>
      </c>
      <c r="C46" s="53">
        <f t="shared" si="4"/>
        <v>106.61</v>
      </c>
      <c r="D46" s="53">
        <f t="shared" si="0"/>
        <v>8.6824999999999761</v>
      </c>
      <c r="E46" s="53">
        <f t="shared" si="1"/>
        <v>-8.9242500000000007</v>
      </c>
      <c r="F46" s="4">
        <f t="shared" si="2"/>
        <v>-77.484800624999792</v>
      </c>
      <c r="G46" s="4">
        <f t="shared" si="5"/>
        <v>75.38580624999959</v>
      </c>
      <c r="H46" s="4">
        <f t="shared" si="5"/>
        <v>79.642238062500013</v>
      </c>
    </row>
    <row r="47" spans="1:8" x14ac:dyDescent="0.25">
      <c r="A47">
        <v>44</v>
      </c>
      <c r="B47" s="6">
        <v>134.38999999999999</v>
      </c>
      <c r="C47" s="53">
        <f t="shared" si="4"/>
        <v>106.57</v>
      </c>
      <c r="D47" s="53">
        <f t="shared" si="0"/>
        <v>8.3424999999999727</v>
      </c>
      <c r="E47" s="53">
        <f t="shared" si="1"/>
        <v>-8.9642500000000069</v>
      </c>
      <c r="F47" s="4">
        <f t="shared" si="2"/>
        <v>-74.784255624999815</v>
      </c>
      <c r="G47" s="4">
        <f t="shared" si="5"/>
        <v>69.597306249999548</v>
      </c>
      <c r="H47" s="4">
        <f t="shared" si="5"/>
        <v>80.357778062500131</v>
      </c>
    </row>
    <row r="48" spans="1:8" x14ac:dyDescent="0.25">
      <c r="A48">
        <v>45</v>
      </c>
      <c r="B48" s="6">
        <v>134.51</v>
      </c>
      <c r="C48" s="53">
        <f t="shared" si="4"/>
        <v>106.49</v>
      </c>
      <c r="D48" s="53">
        <f t="shared" si="0"/>
        <v>8.4624999999999773</v>
      </c>
      <c r="E48" s="53">
        <f t="shared" si="1"/>
        <v>-9.0442500000000052</v>
      </c>
      <c r="F48" s="4">
        <f t="shared" si="2"/>
        <v>-76.536965624999837</v>
      </c>
      <c r="G48" s="4">
        <f t="shared" si="5"/>
        <v>71.613906249999616</v>
      </c>
      <c r="H48" s="4">
        <f t="shared" si="5"/>
        <v>81.798458062500089</v>
      </c>
    </row>
    <row r="49" spans="1:8" x14ac:dyDescent="0.25">
      <c r="A49">
        <v>46</v>
      </c>
      <c r="B49" s="6">
        <v>134.46</v>
      </c>
      <c r="C49" s="53">
        <f t="shared" si="4"/>
        <v>107.04</v>
      </c>
      <c r="D49" s="53">
        <f t="shared" si="0"/>
        <v>8.4124999999999943</v>
      </c>
      <c r="E49" s="53">
        <f t="shared" si="1"/>
        <v>-8.4942499999999939</v>
      </c>
      <c r="F49" s="4">
        <f t="shared" si="2"/>
        <v>-71.457878124999894</v>
      </c>
      <c r="G49" s="4">
        <f t="shared" si="5"/>
        <v>70.7701562499999</v>
      </c>
      <c r="H49" s="4">
        <f t="shared" si="5"/>
        <v>72.15228306249989</v>
      </c>
    </row>
    <row r="50" spans="1:8" x14ac:dyDescent="0.25">
      <c r="A50">
        <v>47</v>
      </c>
      <c r="B50" s="6">
        <v>134.27000000000001</v>
      </c>
      <c r="C50" s="53">
        <f t="shared" si="4"/>
        <v>111.35</v>
      </c>
      <c r="D50" s="53">
        <f t="shared" si="0"/>
        <v>8.2224999999999966</v>
      </c>
      <c r="E50" s="53">
        <f t="shared" si="1"/>
        <v>-4.1842500000000058</v>
      </c>
      <c r="F50" s="4">
        <f t="shared" si="2"/>
        <v>-34.404995625000033</v>
      </c>
      <c r="G50" s="4">
        <f t="shared" si="5"/>
        <v>67.609506249999939</v>
      </c>
      <c r="H50" s="4">
        <f t="shared" si="5"/>
        <v>17.507948062500049</v>
      </c>
    </row>
    <row r="51" spans="1:8" x14ac:dyDescent="0.25">
      <c r="A51">
        <v>48</v>
      </c>
      <c r="B51" s="6">
        <v>133.72999999999999</v>
      </c>
      <c r="C51" s="53">
        <f t="shared" si="4"/>
        <v>117.54</v>
      </c>
      <c r="D51" s="53">
        <f t="shared" si="0"/>
        <v>7.6824999999999761</v>
      </c>
      <c r="E51" s="53">
        <f t="shared" si="1"/>
        <v>2.0057500000000061</v>
      </c>
      <c r="F51" s="4">
        <f t="shared" si="2"/>
        <v>15.409174374999999</v>
      </c>
      <c r="G51" s="4">
        <f t="shared" si="5"/>
        <v>59.02080624999963</v>
      </c>
      <c r="H51" s="4">
        <f t="shared" si="5"/>
        <v>4.0230330625000246</v>
      </c>
    </row>
    <row r="52" spans="1:8" x14ac:dyDescent="0.25">
      <c r="A52">
        <v>49</v>
      </c>
      <c r="B52" s="6">
        <v>132.01</v>
      </c>
      <c r="C52" s="53">
        <f t="shared" si="4"/>
        <v>122.58</v>
      </c>
      <c r="D52" s="53">
        <f t="shared" si="0"/>
        <v>5.9624999999999773</v>
      </c>
      <c r="E52" s="53">
        <f t="shared" si="1"/>
        <v>7.0457499999999982</v>
      </c>
      <c r="F52" s="4">
        <f t="shared" si="2"/>
        <v>42.010284374999827</v>
      </c>
      <c r="G52" s="4">
        <f t="shared" si="5"/>
        <v>35.551406249999729</v>
      </c>
      <c r="H52" s="4">
        <f t="shared" si="5"/>
        <v>49.642593062499976</v>
      </c>
    </row>
    <row r="53" spans="1:8" x14ac:dyDescent="0.25">
      <c r="A53">
        <v>50</v>
      </c>
      <c r="B53" s="6">
        <v>130.59</v>
      </c>
      <c r="C53" s="53">
        <f t="shared" si="4"/>
        <v>128.16</v>
      </c>
      <c r="D53" s="53">
        <f t="shared" si="0"/>
        <v>4.5424999999999898</v>
      </c>
      <c r="E53" s="53">
        <f t="shared" si="1"/>
        <v>12.625749999999996</v>
      </c>
      <c r="F53" s="4">
        <f t="shared" si="2"/>
        <v>57.352469374999856</v>
      </c>
      <c r="G53" s="4">
        <f t="shared" si="5"/>
        <v>20.634306249999906</v>
      </c>
      <c r="H53" s="4">
        <f t="shared" si="5"/>
        <v>159.4095630624999</v>
      </c>
    </row>
    <row r="54" spans="1:8" x14ac:dyDescent="0.25">
      <c r="A54">
        <v>51</v>
      </c>
      <c r="B54" s="6">
        <v>130.28</v>
      </c>
      <c r="C54" s="53">
        <f t="shared" si="4"/>
        <v>132.86000000000001</v>
      </c>
      <c r="D54" s="53">
        <f t="shared" si="0"/>
        <v>4.2324999999999875</v>
      </c>
      <c r="E54" s="53">
        <f t="shared" si="1"/>
        <v>17.325750000000014</v>
      </c>
      <c r="F54" s="4">
        <f t="shared" si="2"/>
        <v>73.331236874999846</v>
      </c>
      <c r="G54" s="4">
        <f t="shared" si="5"/>
        <v>17.914056249999895</v>
      </c>
      <c r="H54" s="4">
        <f t="shared" si="5"/>
        <v>300.18161306250045</v>
      </c>
    </row>
    <row r="55" spans="1:8" x14ac:dyDescent="0.25">
      <c r="A55">
        <v>52</v>
      </c>
      <c r="B55" s="6">
        <v>129.16</v>
      </c>
      <c r="C55" s="53">
        <f t="shared" si="4"/>
        <v>134.91999999999999</v>
      </c>
      <c r="D55" s="53">
        <f t="shared" si="0"/>
        <v>3.1124999999999829</v>
      </c>
      <c r="E55" s="53">
        <f t="shared" si="1"/>
        <v>19.385749999999987</v>
      </c>
      <c r="F55" s="4">
        <f t="shared" si="2"/>
        <v>60.33814687499963</v>
      </c>
      <c r="G55" s="4">
        <f t="shared" si="5"/>
        <v>9.6876562499998933</v>
      </c>
      <c r="H55" s="4">
        <f t="shared" si="5"/>
        <v>375.8073030624995</v>
      </c>
    </row>
    <row r="56" spans="1:8" x14ac:dyDescent="0.25">
      <c r="A56">
        <v>53</v>
      </c>
      <c r="B56" s="6">
        <v>128.94</v>
      </c>
      <c r="C56" s="53">
        <f t="shared" si="4"/>
        <v>135.69999999999999</v>
      </c>
      <c r="D56" s="53">
        <f t="shared" si="0"/>
        <v>2.8924999999999841</v>
      </c>
      <c r="E56" s="53">
        <f t="shared" si="1"/>
        <v>20.165749999999989</v>
      </c>
      <c r="F56" s="4">
        <f t="shared" si="2"/>
        <v>58.329431874999649</v>
      </c>
      <c r="G56" s="4">
        <f t="shared" si="5"/>
        <v>8.366556249999908</v>
      </c>
      <c r="H56" s="4">
        <f t="shared" si="5"/>
        <v>406.65747306249955</v>
      </c>
    </row>
    <row r="57" spans="1:8" x14ac:dyDescent="0.25">
      <c r="A57">
        <v>54</v>
      </c>
      <c r="B57" s="6">
        <v>129.30000000000001</v>
      </c>
      <c r="C57" s="53">
        <f t="shared" si="4"/>
        <v>136.13999999999999</v>
      </c>
      <c r="D57" s="53">
        <f t="shared" si="0"/>
        <v>3.2524999999999977</v>
      </c>
      <c r="E57" s="53">
        <f t="shared" si="1"/>
        <v>20.605749999999986</v>
      </c>
      <c r="F57" s="4">
        <f t="shared" si="2"/>
        <v>67.020201874999913</v>
      </c>
      <c r="G57" s="4">
        <f t="shared" si="5"/>
        <v>10.578756249999985</v>
      </c>
      <c r="H57" s="4">
        <f t="shared" si="5"/>
        <v>424.59693306249943</v>
      </c>
    </row>
    <row r="58" spans="1:8" x14ac:dyDescent="0.25">
      <c r="A58">
        <v>55</v>
      </c>
      <c r="B58" s="6">
        <v>131.22</v>
      </c>
      <c r="C58" s="53">
        <f t="shared" si="4"/>
        <v>140.15</v>
      </c>
      <c r="D58" s="53">
        <f t="shared" si="0"/>
        <v>5.1724999999999852</v>
      </c>
      <c r="E58" s="53">
        <f t="shared" si="1"/>
        <v>24.615750000000006</v>
      </c>
      <c r="F58" s="4">
        <f t="shared" si="2"/>
        <v>127.32496687499966</v>
      </c>
      <c r="G58" s="4">
        <f t="shared" si="5"/>
        <v>26.754756249999847</v>
      </c>
      <c r="H58" s="4">
        <f t="shared" si="5"/>
        <v>605.93514806250028</v>
      </c>
    </row>
    <row r="59" spans="1:8" x14ac:dyDescent="0.25">
      <c r="A59">
        <v>56</v>
      </c>
      <c r="B59" s="6">
        <v>132.52000000000001</v>
      </c>
      <c r="C59" s="53">
        <f t="shared" si="4"/>
        <v>140.09</v>
      </c>
      <c r="D59" s="53">
        <f t="shared" si="0"/>
        <v>6.4724999999999966</v>
      </c>
      <c r="E59" s="53">
        <f t="shared" si="1"/>
        <v>24.555750000000003</v>
      </c>
      <c r="F59" s="4">
        <f t="shared" si="2"/>
        <v>158.93709187499994</v>
      </c>
      <c r="G59" s="4">
        <f t="shared" si="5"/>
        <v>41.893256249999958</v>
      </c>
      <c r="H59" s="4">
        <f t="shared" si="5"/>
        <v>602.98485806250017</v>
      </c>
    </row>
    <row r="60" spans="1:8" x14ac:dyDescent="0.25">
      <c r="A60">
        <v>57</v>
      </c>
      <c r="B60" s="6">
        <v>134.25</v>
      </c>
      <c r="C60" s="53">
        <f t="shared" si="4"/>
        <v>139.1</v>
      </c>
      <c r="D60" s="53">
        <f t="shared" si="0"/>
        <v>8.2024999999999864</v>
      </c>
      <c r="E60" s="53">
        <f t="shared" si="1"/>
        <v>23.565749999999994</v>
      </c>
      <c r="F60" s="4">
        <f t="shared" si="2"/>
        <v>193.29806437499963</v>
      </c>
      <c r="G60" s="4">
        <f t="shared" si="5"/>
        <v>67.281006249999777</v>
      </c>
      <c r="H60" s="4">
        <f t="shared" si="5"/>
        <v>555.34457306249976</v>
      </c>
    </row>
    <row r="61" spans="1:8" x14ac:dyDescent="0.25">
      <c r="A61">
        <v>58</v>
      </c>
      <c r="B61" s="6">
        <v>136.06</v>
      </c>
      <c r="C61" s="53">
        <f t="shared" si="4"/>
        <v>137.5</v>
      </c>
      <c r="D61" s="53">
        <f t="shared" si="0"/>
        <v>10.012499999999989</v>
      </c>
      <c r="E61" s="53">
        <f t="shared" si="1"/>
        <v>21.96575</v>
      </c>
      <c r="F61" s="4">
        <f t="shared" si="2"/>
        <v>219.93207187499974</v>
      </c>
      <c r="G61" s="4">
        <f t="shared" si="5"/>
        <v>100.25015624999978</v>
      </c>
      <c r="H61" s="4">
        <f t="shared" si="5"/>
        <v>482.49417306250001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4621.37</v>
      </c>
      <c r="D62" s="39">
        <f t="shared" si="6"/>
        <v>-5.9685589803848416E-13</v>
      </c>
      <c r="E62" s="39">
        <f t="shared" si="6"/>
        <v>-1.1368683772161603E-13</v>
      </c>
      <c r="F62" s="39">
        <f t="shared" si="6"/>
        <v>1543.5795250000017</v>
      </c>
      <c r="G62" s="39">
        <f t="shared" si="6"/>
        <v>5741.87435</v>
      </c>
      <c r="H62" s="39">
        <f t="shared" si="6"/>
        <v>5879.5965774999995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115.53425</v>
      </c>
    </row>
    <row r="65" spans="1:2" ht="18" x14ac:dyDescent="0.35">
      <c r="A65" t="s">
        <v>231</v>
      </c>
      <c r="B65" s="39">
        <f>SUM(B22:B61)/40</f>
        <v>126.04750000000001</v>
      </c>
    </row>
    <row r="66" spans="1:2" ht="18" x14ac:dyDescent="0.35">
      <c r="A66" t="s">
        <v>232</v>
      </c>
      <c r="B66">
        <f>SUM(C22:C61)/40</f>
        <v>115.53425</v>
      </c>
    </row>
    <row r="68" spans="1:2" ht="18" x14ac:dyDescent="0.35">
      <c r="A68" t="s">
        <v>233</v>
      </c>
      <c r="B68">
        <f>F62/SQRT(G62*H62)</f>
        <v>0.26566136678709262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4" workbookViewId="0">
      <selection activeCell="D70" sqref="D70"/>
    </sheetView>
  </sheetViews>
  <sheetFormatPr defaultRowHeight="15" x14ac:dyDescent="0.25"/>
  <cols>
    <col min="6" max="6" width="18.285156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234</v>
      </c>
      <c r="D3" s="45" t="s">
        <v>235</v>
      </c>
      <c r="E3" s="45" t="s">
        <v>236</v>
      </c>
      <c r="F3" s="46" t="s">
        <v>237</v>
      </c>
      <c r="G3" s="45" t="s">
        <v>103</v>
      </c>
      <c r="H3" s="45" t="s">
        <v>238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53">
        <f>B4</f>
        <v>102.32</v>
      </c>
      <c r="D23" s="53">
        <f t="shared" ref="D23:D61" si="0">B23-$B$65</f>
        <v>-18.137692307692348</v>
      </c>
      <c r="E23" s="53">
        <f t="shared" ref="E23:E61" si="1">C23-$B$66</f>
        <v>-12.65102564102564</v>
      </c>
      <c r="F23" s="4">
        <f t="shared" ref="F23:F61" si="2">D23*E23</f>
        <v>229.46041045364942</v>
      </c>
      <c r="G23" s="4">
        <f t="shared" ref="G23:H37" si="3">D23*D23</f>
        <v>328.97588224852217</v>
      </c>
      <c r="H23" s="4">
        <f t="shared" si="3"/>
        <v>160.04844976988821</v>
      </c>
    </row>
    <row r="24" spans="1:8" x14ac:dyDescent="0.25">
      <c r="A24">
        <v>21</v>
      </c>
      <c r="B24" s="6">
        <v>108.19</v>
      </c>
      <c r="C24" s="53">
        <f t="shared" ref="C24:C61" si="4">B5</f>
        <v>102.21</v>
      </c>
      <c r="D24" s="53">
        <f t="shared" si="0"/>
        <v>-18.307692307692349</v>
      </c>
      <c r="E24" s="53">
        <f t="shared" si="1"/>
        <v>-12.76102564102564</v>
      </c>
      <c r="F24" s="4">
        <f t="shared" si="2"/>
        <v>233.62493096646995</v>
      </c>
      <c r="G24" s="4">
        <f t="shared" si="3"/>
        <v>335.17159763313759</v>
      </c>
      <c r="H24" s="4">
        <f t="shared" si="3"/>
        <v>162.84377541091385</v>
      </c>
    </row>
    <row r="25" spans="1:8" x14ac:dyDescent="0.25">
      <c r="A25">
        <v>22</v>
      </c>
      <c r="B25" s="6">
        <v>107.8</v>
      </c>
      <c r="C25" s="53">
        <f t="shared" si="4"/>
        <v>102.16</v>
      </c>
      <c r="D25" s="53">
        <f t="shared" si="0"/>
        <v>-18.69769230769235</v>
      </c>
      <c r="E25" s="53">
        <f t="shared" si="1"/>
        <v>-12.811025641025637</v>
      </c>
      <c r="F25" s="4">
        <f t="shared" si="2"/>
        <v>239.53661558185451</v>
      </c>
      <c r="G25" s="4">
        <f t="shared" si="3"/>
        <v>349.60369763313764</v>
      </c>
      <c r="H25" s="4">
        <f t="shared" si="3"/>
        <v>164.12237797501632</v>
      </c>
    </row>
    <row r="26" spans="1:8" x14ac:dyDescent="0.25">
      <c r="A26">
        <v>23</v>
      </c>
      <c r="B26" s="6">
        <v>107.47</v>
      </c>
      <c r="C26" s="53">
        <f t="shared" si="4"/>
        <v>102.06</v>
      </c>
      <c r="D26" s="53">
        <f t="shared" si="0"/>
        <v>-19.027692307692348</v>
      </c>
      <c r="E26" s="53">
        <f t="shared" si="1"/>
        <v>-12.911025641025631</v>
      </c>
      <c r="F26" s="4">
        <f t="shared" si="2"/>
        <v>245.66702327416206</v>
      </c>
      <c r="G26" s="4">
        <f t="shared" si="3"/>
        <v>362.05307455621454</v>
      </c>
      <c r="H26" s="4">
        <f t="shared" si="3"/>
        <v>166.69458310322131</v>
      </c>
    </row>
    <row r="27" spans="1:8" x14ac:dyDescent="0.25">
      <c r="A27">
        <v>24</v>
      </c>
      <c r="B27" s="6">
        <v>107.03</v>
      </c>
      <c r="C27" s="53">
        <f t="shared" si="4"/>
        <v>102.55</v>
      </c>
      <c r="D27" s="53">
        <f t="shared" si="0"/>
        <v>-19.467692307692346</v>
      </c>
      <c r="E27" s="53">
        <f t="shared" si="1"/>
        <v>-12.421025641025636</v>
      </c>
      <c r="F27" s="4">
        <f t="shared" si="2"/>
        <v>241.80870532544418</v>
      </c>
      <c r="G27" s="4">
        <f t="shared" si="3"/>
        <v>378.99104378698371</v>
      </c>
      <c r="H27" s="4">
        <f t="shared" si="3"/>
        <v>154.28187797501633</v>
      </c>
    </row>
    <row r="28" spans="1:8" x14ac:dyDescent="0.25">
      <c r="A28">
        <v>25</v>
      </c>
      <c r="B28" s="6">
        <v>106.61</v>
      </c>
      <c r="C28" s="53">
        <f t="shared" si="4"/>
        <v>104.35</v>
      </c>
      <c r="D28" s="53">
        <f t="shared" si="0"/>
        <v>-19.887692307692348</v>
      </c>
      <c r="E28" s="53">
        <f t="shared" si="1"/>
        <v>-10.621025641025639</v>
      </c>
      <c r="F28" s="4">
        <f t="shared" si="2"/>
        <v>211.22768994082878</v>
      </c>
      <c r="G28" s="4">
        <f t="shared" si="3"/>
        <v>395.52030532544535</v>
      </c>
      <c r="H28" s="4">
        <f t="shared" si="3"/>
        <v>112.80618566732409</v>
      </c>
    </row>
    <row r="29" spans="1:8" x14ac:dyDescent="0.25">
      <c r="A29">
        <v>26</v>
      </c>
      <c r="B29" s="6">
        <v>106.57</v>
      </c>
      <c r="C29" s="53">
        <f t="shared" si="4"/>
        <v>107.57</v>
      </c>
      <c r="D29" s="53">
        <f t="shared" si="0"/>
        <v>-19.927692307692354</v>
      </c>
      <c r="E29" s="53">
        <f t="shared" si="1"/>
        <v>-7.4010256410256403</v>
      </c>
      <c r="F29" s="4">
        <f t="shared" si="2"/>
        <v>147.48536173570054</v>
      </c>
      <c r="G29" s="4">
        <f t="shared" si="3"/>
        <v>397.11292071006102</v>
      </c>
      <c r="H29" s="4">
        <f t="shared" si="3"/>
        <v>54.775180539118992</v>
      </c>
    </row>
    <row r="30" spans="1:8" x14ac:dyDescent="0.25">
      <c r="A30">
        <v>27</v>
      </c>
      <c r="B30" s="6">
        <v>106.49</v>
      </c>
      <c r="C30" s="53">
        <f t="shared" si="4"/>
        <v>111.96</v>
      </c>
      <c r="D30" s="53">
        <f t="shared" si="0"/>
        <v>-20.007692307692352</v>
      </c>
      <c r="E30" s="53">
        <f t="shared" si="1"/>
        <v>-3.0110256410256397</v>
      </c>
      <c r="F30" s="4">
        <f t="shared" si="2"/>
        <v>60.243674556213122</v>
      </c>
      <c r="G30" s="4">
        <f t="shared" si="3"/>
        <v>400.30775147929171</v>
      </c>
      <c r="H30" s="4">
        <f t="shared" si="3"/>
        <v>9.0662754109138639</v>
      </c>
    </row>
    <row r="31" spans="1:8" x14ac:dyDescent="0.25">
      <c r="A31">
        <v>28</v>
      </c>
      <c r="B31" s="6">
        <v>107.04</v>
      </c>
      <c r="C31" s="53">
        <f t="shared" si="4"/>
        <v>115.27</v>
      </c>
      <c r="D31" s="53">
        <f t="shared" si="0"/>
        <v>-19.457692307692341</v>
      </c>
      <c r="E31" s="53">
        <f t="shared" si="1"/>
        <v>0.29897435897436253</v>
      </c>
      <c r="F31" s="4">
        <f t="shared" si="2"/>
        <v>-5.8173510848127021</v>
      </c>
      <c r="G31" s="4">
        <f t="shared" si="3"/>
        <v>378.60178994082969</v>
      </c>
      <c r="H31" s="4">
        <f t="shared" si="3"/>
        <v>8.9385667324130988E-2</v>
      </c>
    </row>
    <row r="32" spans="1:8" x14ac:dyDescent="0.25">
      <c r="A32">
        <v>29</v>
      </c>
      <c r="B32" s="6">
        <v>111.35</v>
      </c>
      <c r="C32" s="53">
        <f t="shared" si="4"/>
        <v>117.17</v>
      </c>
      <c r="D32" s="53">
        <f t="shared" si="0"/>
        <v>-15.147692307692353</v>
      </c>
      <c r="E32" s="53">
        <f t="shared" si="1"/>
        <v>2.1989743589743682</v>
      </c>
      <c r="F32" s="4">
        <f t="shared" si="2"/>
        <v>-33.30938698224876</v>
      </c>
      <c r="G32" s="4">
        <f t="shared" si="3"/>
        <v>229.45258224852208</v>
      </c>
      <c r="H32" s="4">
        <f t="shared" si="3"/>
        <v>4.8354882314267336</v>
      </c>
    </row>
    <row r="33" spans="1:8" x14ac:dyDescent="0.25">
      <c r="A33">
        <v>30</v>
      </c>
      <c r="B33" s="6">
        <v>117.54</v>
      </c>
      <c r="C33" s="53">
        <f t="shared" si="4"/>
        <v>117.61</v>
      </c>
      <c r="D33" s="53">
        <f t="shared" si="0"/>
        <v>-8.9576923076923407</v>
      </c>
      <c r="E33" s="53">
        <f t="shared" si="1"/>
        <v>2.6389743589743659</v>
      </c>
      <c r="F33" s="4">
        <f t="shared" si="2"/>
        <v>-23.639120315582005</v>
      </c>
      <c r="G33" s="4">
        <f t="shared" si="3"/>
        <v>80.240251479290535</v>
      </c>
      <c r="H33" s="4">
        <f t="shared" si="3"/>
        <v>6.9641856673241653</v>
      </c>
    </row>
    <row r="34" spans="1:8" x14ac:dyDescent="0.25">
      <c r="A34">
        <v>31</v>
      </c>
      <c r="B34" s="6">
        <v>122.58</v>
      </c>
      <c r="C34" s="53">
        <f t="shared" si="4"/>
        <v>117.26</v>
      </c>
      <c r="D34" s="53">
        <f t="shared" si="0"/>
        <v>-3.9176923076923487</v>
      </c>
      <c r="E34" s="53">
        <f t="shared" si="1"/>
        <v>2.2889743589743716</v>
      </c>
      <c r="F34" s="4">
        <f t="shared" si="2"/>
        <v>-8.96749723865892</v>
      </c>
      <c r="G34" s="4">
        <f t="shared" si="3"/>
        <v>15.348313017751801</v>
      </c>
      <c r="H34" s="4">
        <f t="shared" si="3"/>
        <v>5.2394036160421358</v>
      </c>
    </row>
    <row r="35" spans="1:8" x14ac:dyDescent="0.25">
      <c r="A35">
        <v>32</v>
      </c>
      <c r="B35" s="6">
        <v>128.16</v>
      </c>
      <c r="C35" s="53">
        <f t="shared" si="4"/>
        <v>115.88</v>
      </c>
      <c r="D35" s="53">
        <f t="shared" si="0"/>
        <v>1.6623076923076496</v>
      </c>
      <c r="E35" s="53">
        <f t="shared" si="1"/>
        <v>0.90897435897436196</v>
      </c>
      <c r="F35" s="4">
        <f t="shared" si="2"/>
        <v>1.5109950690334968</v>
      </c>
      <c r="G35" s="4">
        <f t="shared" si="3"/>
        <v>2.7632668639051836</v>
      </c>
      <c r="H35" s="4">
        <f t="shared" si="3"/>
        <v>0.8262343852728522</v>
      </c>
    </row>
    <row r="36" spans="1:8" x14ac:dyDescent="0.25">
      <c r="A36">
        <v>33</v>
      </c>
      <c r="B36" s="6">
        <v>132.86000000000001</v>
      </c>
      <c r="C36" s="53">
        <f t="shared" si="4"/>
        <v>113.35</v>
      </c>
      <c r="D36" s="53">
        <f t="shared" si="0"/>
        <v>6.3623076923076667</v>
      </c>
      <c r="E36" s="53">
        <f t="shared" si="1"/>
        <v>-1.6210256410256392</v>
      </c>
      <c r="F36" s="4">
        <f t="shared" si="2"/>
        <v>-10.31346390532539</v>
      </c>
      <c r="G36" s="4">
        <f t="shared" si="3"/>
        <v>40.47895917159731</v>
      </c>
      <c r="H36" s="4">
        <f t="shared" si="3"/>
        <v>2.6277241288625843</v>
      </c>
    </row>
    <row r="37" spans="1:8" x14ac:dyDescent="0.25">
      <c r="A37">
        <v>34</v>
      </c>
      <c r="B37" s="6">
        <v>134.91999999999999</v>
      </c>
      <c r="C37" s="53">
        <f t="shared" si="4"/>
        <v>111.39</v>
      </c>
      <c r="D37" s="53">
        <f t="shared" si="0"/>
        <v>8.4223076923076405</v>
      </c>
      <c r="E37" s="53">
        <f t="shared" si="1"/>
        <v>-3.5810256410256329</v>
      </c>
      <c r="F37" s="4">
        <f t="shared" si="2"/>
        <v>-30.160499802761088</v>
      </c>
      <c r="G37" s="4">
        <f t="shared" si="3"/>
        <v>70.935266863904459</v>
      </c>
      <c r="H37" s="4">
        <f t="shared" si="3"/>
        <v>12.823744641683046</v>
      </c>
    </row>
    <row r="38" spans="1:8" x14ac:dyDescent="0.25">
      <c r="A38">
        <v>35</v>
      </c>
      <c r="B38" s="6">
        <v>135.69999999999999</v>
      </c>
      <c r="C38" s="53">
        <f t="shared" si="4"/>
        <v>109.76</v>
      </c>
      <c r="D38" s="53">
        <f t="shared" si="0"/>
        <v>9.2023076923076417</v>
      </c>
      <c r="E38" s="53">
        <f t="shared" si="1"/>
        <v>-5.2110256410256284</v>
      </c>
      <c r="F38" s="4">
        <f t="shared" si="2"/>
        <v>-47.9534613412225</v>
      </c>
      <c r="G38" s="4">
        <f t="shared" ref="G38:H61" si="5">D38*D38</f>
        <v>84.682466863904395</v>
      </c>
      <c r="H38" s="4">
        <f t="shared" si="5"/>
        <v>27.154788231426561</v>
      </c>
    </row>
    <row r="39" spans="1:8" x14ac:dyDescent="0.25">
      <c r="A39">
        <v>36</v>
      </c>
      <c r="B39" s="6">
        <v>136.13999999999999</v>
      </c>
      <c r="C39" s="53">
        <f t="shared" si="4"/>
        <v>109.5</v>
      </c>
      <c r="D39" s="53">
        <f t="shared" si="0"/>
        <v>9.6423076923076394</v>
      </c>
      <c r="E39" s="53">
        <f t="shared" si="1"/>
        <v>-5.4710256410256335</v>
      </c>
      <c r="F39" s="4">
        <f t="shared" si="2"/>
        <v>-52.7533126232738</v>
      </c>
      <c r="G39" s="4">
        <f t="shared" si="5"/>
        <v>92.974097633135074</v>
      </c>
      <c r="H39" s="4">
        <f t="shared" si="5"/>
        <v>29.932121564759942</v>
      </c>
    </row>
    <row r="40" spans="1:8" x14ac:dyDescent="0.25">
      <c r="A40">
        <v>37</v>
      </c>
      <c r="B40" s="6">
        <v>140.15</v>
      </c>
      <c r="C40" s="53">
        <f t="shared" si="4"/>
        <v>108.86</v>
      </c>
      <c r="D40" s="53">
        <f t="shared" si="0"/>
        <v>13.652307692307659</v>
      </c>
      <c r="E40" s="53">
        <f t="shared" si="1"/>
        <v>-6.1110256410256341</v>
      </c>
      <c r="F40" s="4">
        <f t="shared" si="2"/>
        <v>-83.429602366863605</v>
      </c>
      <c r="G40" s="4">
        <f t="shared" si="5"/>
        <v>186.38550532544286</v>
      </c>
      <c r="H40" s="4">
        <f t="shared" si="5"/>
        <v>37.344634385272762</v>
      </c>
    </row>
    <row r="41" spans="1:8" x14ac:dyDescent="0.25">
      <c r="A41">
        <v>38</v>
      </c>
      <c r="B41" s="6">
        <v>140.09</v>
      </c>
      <c r="C41" s="53">
        <f t="shared" si="4"/>
        <v>108.49</v>
      </c>
      <c r="D41" s="53">
        <f t="shared" si="0"/>
        <v>13.592307692307656</v>
      </c>
      <c r="E41" s="53">
        <f t="shared" si="1"/>
        <v>-6.4810256410256386</v>
      </c>
      <c r="F41" s="4">
        <f t="shared" si="2"/>
        <v>-88.092094674555952</v>
      </c>
      <c r="G41" s="4">
        <f t="shared" si="5"/>
        <v>184.7508284023659</v>
      </c>
      <c r="H41" s="4">
        <f t="shared" si="5"/>
        <v>42.003693359631789</v>
      </c>
    </row>
    <row r="42" spans="1:8" x14ac:dyDescent="0.25">
      <c r="A42">
        <v>39</v>
      </c>
      <c r="B42" s="6">
        <v>139.1</v>
      </c>
      <c r="C42" s="53">
        <f t="shared" si="4"/>
        <v>108.36</v>
      </c>
      <c r="D42" s="53">
        <f t="shared" si="0"/>
        <v>12.602307692307647</v>
      </c>
      <c r="E42" s="53">
        <f t="shared" si="1"/>
        <v>-6.6110256410256341</v>
      </c>
      <c r="F42" s="4">
        <f t="shared" si="2"/>
        <v>-83.314179289940441</v>
      </c>
      <c r="G42" s="4">
        <f t="shared" si="5"/>
        <v>158.81815917159651</v>
      </c>
      <c r="H42" s="4">
        <f t="shared" si="5"/>
        <v>43.705660026298396</v>
      </c>
    </row>
    <row r="43" spans="1:8" x14ac:dyDescent="0.25">
      <c r="A43">
        <v>40</v>
      </c>
      <c r="B43" s="6">
        <v>137.5</v>
      </c>
      <c r="C43" s="53">
        <f t="shared" si="4"/>
        <v>108.19</v>
      </c>
      <c r="D43" s="53">
        <f t="shared" si="0"/>
        <v>11.002307692307653</v>
      </c>
      <c r="E43" s="53">
        <f t="shared" si="1"/>
        <v>-6.7810256410256358</v>
      </c>
      <c r="F43" s="4">
        <f t="shared" si="2"/>
        <v>-74.606930571991782</v>
      </c>
      <c r="G43" s="4">
        <f t="shared" si="5"/>
        <v>121.05077455621215</v>
      </c>
      <c r="H43" s="4">
        <f t="shared" si="5"/>
        <v>45.982308744247135</v>
      </c>
    </row>
    <row r="44" spans="1:8" x14ac:dyDescent="0.25">
      <c r="A44">
        <v>41</v>
      </c>
      <c r="B44" s="6">
        <v>136.12</v>
      </c>
      <c r="C44" s="53">
        <f t="shared" si="4"/>
        <v>107.8</v>
      </c>
      <c r="D44" s="53">
        <f t="shared" si="0"/>
        <v>9.6223076923076576</v>
      </c>
      <c r="E44" s="53">
        <f t="shared" si="1"/>
        <v>-7.1710256410256363</v>
      </c>
      <c r="F44" s="4">
        <f t="shared" si="2"/>
        <v>-69.001815187376437</v>
      </c>
      <c r="G44" s="4">
        <f t="shared" si="5"/>
        <v>92.588805325443118</v>
      </c>
      <c r="H44" s="4">
        <f t="shared" si="5"/>
        <v>51.42360874424714</v>
      </c>
    </row>
    <row r="45" spans="1:8" x14ac:dyDescent="0.25">
      <c r="A45">
        <v>42</v>
      </c>
      <c r="B45" s="6">
        <v>135.22</v>
      </c>
      <c r="C45" s="53">
        <f t="shared" si="4"/>
        <v>107.47</v>
      </c>
      <c r="D45" s="53">
        <f t="shared" si="0"/>
        <v>8.7223076923076519</v>
      </c>
      <c r="E45" s="53">
        <f t="shared" si="1"/>
        <v>-7.5010256410256346</v>
      </c>
      <c r="F45" s="4">
        <f t="shared" si="2"/>
        <v>-65.426253648914823</v>
      </c>
      <c r="G45" s="4">
        <f t="shared" si="5"/>
        <v>76.078651479289235</v>
      </c>
      <c r="H45" s="4">
        <f t="shared" si="5"/>
        <v>56.265385667324033</v>
      </c>
    </row>
    <row r="46" spans="1:8" x14ac:dyDescent="0.25">
      <c r="A46">
        <v>43</v>
      </c>
      <c r="B46" s="6">
        <v>134.72999999999999</v>
      </c>
      <c r="C46" s="53">
        <f t="shared" si="4"/>
        <v>107.03</v>
      </c>
      <c r="D46" s="53">
        <f t="shared" si="0"/>
        <v>8.2323076923076428</v>
      </c>
      <c r="E46" s="53">
        <f t="shared" si="1"/>
        <v>-7.9410256410256324</v>
      </c>
      <c r="F46" s="4">
        <f t="shared" si="2"/>
        <v>-65.372966469427539</v>
      </c>
      <c r="G46" s="4">
        <f t="shared" si="5"/>
        <v>67.770889940827587</v>
      </c>
      <c r="H46" s="4">
        <f t="shared" si="5"/>
        <v>63.059888231426555</v>
      </c>
    </row>
    <row r="47" spans="1:8" x14ac:dyDescent="0.25">
      <c r="A47">
        <v>44</v>
      </c>
      <c r="B47" s="6">
        <v>134.38999999999999</v>
      </c>
      <c r="C47" s="53">
        <f t="shared" si="4"/>
        <v>106.61</v>
      </c>
      <c r="D47" s="53">
        <f t="shared" si="0"/>
        <v>7.8923076923076394</v>
      </c>
      <c r="E47" s="53">
        <f t="shared" si="1"/>
        <v>-8.3610256410256341</v>
      </c>
      <c r="F47" s="4">
        <f t="shared" si="2"/>
        <v>-65.987786982248025</v>
      </c>
      <c r="G47" s="4">
        <f t="shared" si="5"/>
        <v>62.288520710058336</v>
      </c>
      <c r="H47" s="4">
        <f t="shared" si="5"/>
        <v>69.906749769888108</v>
      </c>
    </row>
    <row r="48" spans="1:8" x14ac:dyDescent="0.25">
      <c r="A48">
        <v>45</v>
      </c>
      <c r="B48" s="6">
        <v>134.51</v>
      </c>
      <c r="C48" s="53">
        <f t="shared" si="4"/>
        <v>106.57</v>
      </c>
      <c r="D48" s="53">
        <f t="shared" si="0"/>
        <v>8.0123076923076439</v>
      </c>
      <c r="E48" s="53">
        <f t="shared" si="1"/>
        <v>-8.4010256410256403</v>
      </c>
      <c r="F48" s="4">
        <f t="shared" si="2"/>
        <v>-67.311602366863497</v>
      </c>
      <c r="G48" s="4">
        <f t="shared" si="5"/>
        <v>64.197074556212243</v>
      </c>
      <c r="H48" s="4">
        <f t="shared" si="5"/>
        <v>70.577231821170272</v>
      </c>
    </row>
    <row r="49" spans="1:8" x14ac:dyDescent="0.25">
      <c r="A49">
        <v>46</v>
      </c>
      <c r="B49" s="6">
        <v>134.46</v>
      </c>
      <c r="C49" s="53">
        <f t="shared" si="4"/>
        <v>106.49</v>
      </c>
      <c r="D49" s="53">
        <f t="shared" si="0"/>
        <v>7.962307692307661</v>
      </c>
      <c r="E49" s="53">
        <f t="shared" si="1"/>
        <v>-8.4810256410256386</v>
      </c>
      <c r="F49" s="4">
        <f t="shared" si="2"/>
        <v>-67.528535700196954</v>
      </c>
      <c r="G49" s="4">
        <f t="shared" si="5"/>
        <v>63.398343786981748</v>
      </c>
      <c r="H49" s="4">
        <f t="shared" si="5"/>
        <v>71.927795923734351</v>
      </c>
    </row>
    <row r="50" spans="1:8" x14ac:dyDescent="0.25">
      <c r="A50">
        <v>47</v>
      </c>
      <c r="B50" s="6">
        <v>134.27000000000001</v>
      </c>
      <c r="C50" s="53">
        <f t="shared" si="4"/>
        <v>107.04</v>
      </c>
      <c r="D50" s="53">
        <f t="shared" si="0"/>
        <v>7.7723076923076633</v>
      </c>
      <c r="E50" s="53">
        <f t="shared" si="1"/>
        <v>-7.9310256410256272</v>
      </c>
      <c r="F50" s="4">
        <f t="shared" si="2"/>
        <v>-61.642371597632795</v>
      </c>
      <c r="G50" s="4">
        <f t="shared" si="5"/>
        <v>60.408766863904873</v>
      </c>
      <c r="H50" s="4">
        <f t="shared" si="5"/>
        <v>62.901167718605961</v>
      </c>
    </row>
    <row r="51" spans="1:8" x14ac:dyDescent="0.25">
      <c r="A51">
        <v>48</v>
      </c>
      <c r="B51" s="6">
        <v>133.72999999999999</v>
      </c>
      <c r="C51" s="53">
        <f t="shared" si="4"/>
        <v>111.35</v>
      </c>
      <c r="D51" s="53">
        <f t="shared" si="0"/>
        <v>7.2323076923076428</v>
      </c>
      <c r="E51" s="53">
        <f t="shared" si="1"/>
        <v>-3.6210256410256392</v>
      </c>
      <c r="F51" s="4">
        <f t="shared" si="2"/>
        <v>-26.188371597632944</v>
      </c>
      <c r="G51" s="4">
        <f t="shared" si="5"/>
        <v>52.306274556212301</v>
      </c>
      <c r="H51" s="4">
        <f t="shared" si="5"/>
        <v>13.111826692965142</v>
      </c>
    </row>
    <row r="52" spans="1:8" x14ac:dyDescent="0.25">
      <c r="A52">
        <v>49</v>
      </c>
      <c r="B52" s="6">
        <v>132.01</v>
      </c>
      <c r="C52" s="53">
        <f t="shared" si="4"/>
        <v>117.54</v>
      </c>
      <c r="D52" s="53">
        <f t="shared" si="0"/>
        <v>5.5123076923076439</v>
      </c>
      <c r="E52" s="53">
        <f t="shared" si="1"/>
        <v>2.5689743589743728</v>
      </c>
      <c r="F52" s="4">
        <f t="shared" si="2"/>
        <v>14.160977120315534</v>
      </c>
      <c r="G52" s="4">
        <f t="shared" si="5"/>
        <v>30.385536094674023</v>
      </c>
      <c r="H52" s="4">
        <f t="shared" si="5"/>
        <v>6.5996292570677895</v>
      </c>
    </row>
    <row r="53" spans="1:8" x14ac:dyDescent="0.25">
      <c r="A53">
        <v>50</v>
      </c>
      <c r="B53" s="6">
        <v>130.59</v>
      </c>
      <c r="C53" s="53">
        <f t="shared" si="4"/>
        <v>122.58</v>
      </c>
      <c r="D53" s="53">
        <f t="shared" si="0"/>
        <v>4.0923076923076565</v>
      </c>
      <c r="E53" s="53">
        <f t="shared" si="1"/>
        <v>7.6089743589743648</v>
      </c>
      <c r="F53" s="4">
        <f t="shared" si="2"/>
        <v>31.138264299802511</v>
      </c>
      <c r="G53" s="4">
        <f t="shared" si="5"/>
        <v>16.746982248520418</v>
      </c>
      <c r="H53" s="4">
        <f t="shared" si="5"/>
        <v>57.896490795529346</v>
      </c>
    </row>
    <row r="54" spans="1:8" x14ac:dyDescent="0.25">
      <c r="A54">
        <v>51</v>
      </c>
      <c r="B54" s="6">
        <v>130.28</v>
      </c>
      <c r="C54" s="53">
        <f t="shared" si="4"/>
        <v>128.16</v>
      </c>
      <c r="D54" s="53">
        <f t="shared" si="0"/>
        <v>3.7823076923076542</v>
      </c>
      <c r="E54" s="53">
        <f t="shared" si="1"/>
        <v>13.188974358974363</v>
      </c>
      <c r="F54" s="4">
        <f t="shared" si="2"/>
        <v>49.884759171597146</v>
      </c>
      <c r="G54" s="4">
        <f t="shared" si="5"/>
        <v>14.305851479289652</v>
      </c>
      <c r="H54" s="4">
        <f t="shared" si="5"/>
        <v>173.9490446416832</v>
      </c>
    </row>
    <row r="55" spans="1:8" x14ac:dyDescent="0.25">
      <c r="A55">
        <v>52</v>
      </c>
      <c r="B55" s="6">
        <v>129.16</v>
      </c>
      <c r="C55" s="53">
        <f t="shared" si="4"/>
        <v>132.86000000000001</v>
      </c>
      <c r="D55" s="53">
        <f t="shared" si="0"/>
        <v>2.6623076923076496</v>
      </c>
      <c r="E55" s="53">
        <f t="shared" si="1"/>
        <v>17.88897435897438</v>
      </c>
      <c r="F55" s="4">
        <f t="shared" si="2"/>
        <v>47.6259540433918</v>
      </c>
      <c r="G55" s="4">
        <f t="shared" si="5"/>
        <v>7.0878822485204829</v>
      </c>
      <c r="H55" s="4">
        <f t="shared" si="5"/>
        <v>320.01540361604282</v>
      </c>
    </row>
    <row r="56" spans="1:8" x14ac:dyDescent="0.25">
      <c r="A56">
        <v>53</v>
      </c>
      <c r="B56" s="6">
        <v>128.94</v>
      </c>
      <c r="C56" s="53">
        <f t="shared" si="4"/>
        <v>134.91999999999999</v>
      </c>
      <c r="D56" s="53">
        <f t="shared" si="0"/>
        <v>2.4423076923076508</v>
      </c>
      <c r="E56" s="53">
        <f t="shared" si="1"/>
        <v>19.948974358974354</v>
      </c>
      <c r="F56" s="4">
        <f t="shared" si="2"/>
        <v>48.721533530571151</v>
      </c>
      <c r="G56" s="4">
        <f t="shared" si="5"/>
        <v>5.9648668639051223</v>
      </c>
      <c r="H56" s="4">
        <f t="shared" si="5"/>
        <v>397.96157797501621</v>
      </c>
    </row>
    <row r="57" spans="1:8" x14ac:dyDescent="0.25">
      <c r="A57">
        <v>54</v>
      </c>
      <c r="B57" s="6">
        <v>129.30000000000001</v>
      </c>
      <c r="C57" s="53">
        <f t="shared" si="4"/>
        <v>135.69999999999999</v>
      </c>
      <c r="D57" s="53">
        <f t="shared" si="0"/>
        <v>2.8023076923076644</v>
      </c>
      <c r="E57" s="53">
        <f t="shared" si="1"/>
        <v>20.728974358974355</v>
      </c>
      <c r="F57" s="4">
        <f t="shared" si="2"/>
        <v>58.088964299802171</v>
      </c>
      <c r="G57" s="4">
        <f t="shared" si="5"/>
        <v>7.8529284023667074</v>
      </c>
      <c r="H57" s="4">
        <f t="shared" si="5"/>
        <v>429.6903779750163</v>
      </c>
    </row>
    <row r="58" spans="1:8" x14ac:dyDescent="0.25">
      <c r="A58">
        <v>55</v>
      </c>
      <c r="B58" s="6">
        <v>131.22</v>
      </c>
      <c r="C58" s="53">
        <f t="shared" si="4"/>
        <v>136.13999999999999</v>
      </c>
      <c r="D58" s="53">
        <f t="shared" si="0"/>
        <v>4.7223076923076519</v>
      </c>
      <c r="E58" s="53">
        <f t="shared" si="1"/>
        <v>21.168974358974353</v>
      </c>
      <c r="F58" s="4">
        <f t="shared" si="2"/>
        <v>99.966410453648038</v>
      </c>
      <c r="G58" s="4">
        <f t="shared" si="5"/>
        <v>22.30018994082802</v>
      </c>
      <c r="H58" s="4">
        <f t="shared" si="5"/>
        <v>448.12547541091362</v>
      </c>
    </row>
    <row r="59" spans="1:8" x14ac:dyDescent="0.25">
      <c r="A59">
        <v>56</v>
      </c>
      <c r="B59" s="6">
        <v>132.52000000000001</v>
      </c>
      <c r="C59" s="53">
        <f t="shared" si="4"/>
        <v>140.15</v>
      </c>
      <c r="D59" s="53">
        <f t="shared" si="0"/>
        <v>6.0223076923076633</v>
      </c>
      <c r="E59" s="53">
        <f t="shared" si="1"/>
        <v>25.178974358974372</v>
      </c>
      <c r="F59" s="4">
        <f t="shared" si="2"/>
        <v>151.63553096646876</v>
      </c>
      <c r="G59" s="4">
        <f t="shared" si="5"/>
        <v>36.268189940828051</v>
      </c>
      <c r="H59" s="4">
        <f t="shared" si="5"/>
        <v>633.98074976988892</v>
      </c>
    </row>
    <row r="60" spans="1:8" x14ac:dyDescent="0.25">
      <c r="A60">
        <v>57</v>
      </c>
      <c r="B60" s="6">
        <v>134.25</v>
      </c>
      <c r="C60" s="53">
        <f t="shared" si="4"/>
        <v>140.09</v>
      </c>
      <c r="D60" s="53">
        <f t="shared" si="0"/>
        <v>7.752307692307653</v>
      </c>
      <c r="E60" s="53">
        <f t="shared" si="1"/>
        <v>25.11897435897437</v>
      </c>
      <c r="F60" s="4">
        <f t="shared" si="2"/>
        <v>194.73001814595571</v>
      </c>
      <c r="G60" s="4">
        <f t="shared" si="5"/>
        <v>60.098274556212409</v>
      </c>
      <c r="H60" s="4">
        <f t="shared" si="5"/>
        <v>630.96287284681182</v>
      </c>
    </row>
    <row r="61" spans="1:8" x14ac:dyDescent="0.25">
      <c r="A61">
        <v>58</v>
      </c>
      <c r="B61" s="6">
        <v>136.06</v>
      </c>
      <c r="C61" s="53">
        <f t="shared" si="4"/>
        <v>139.1</v>
      </c>
      <c r="D61" s="53">
        <f t="shared" si="0"/>
        <v>9.5623076923076553</v>
      </c>
      <c r="E61" s="53">
        <f t="shared" si="1"/>
        <v>24.128974358974361</v>
      </c>
      <c r="F61" s="4">
        <f t="shared" si="2"/>
        <v>230.7286771203147</v>
      </c>
      <c r="G61" s="4">
        <f t="shared" si="5"/>
        <v>91.437728402366162</v>
      </c>
      <c r="H61" s="4">
        <f t="shared" si="5"/>
        <v>582.20740361604214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4483.87</v>
      </c>
      <c r="D62" s="39">
        <f t="shared" si="6"/>
        <v>-1.5916157281026244E-12</v>
      </c>
      <c r="E62" s="39">
        <f t="shared" si="6"/>
        <v>1.9895196601282805E-13</v>
      </c>
      <c r="F62" s="39">
        <f t="shared" si="6"/>
        <v>1506.4298923076935</v>
      </c>
      <c r="G62" s="39">
        <f t="shared" si="6"/>
        <v>5425.7042923076888</v>
      </c>
      <c r="H62" s="39">
        <f t="shared" si="6"/>
        <v>5384.7307589743577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114.97102564102563</v>
      </c>
    </row>
    <row r="65" spans="1:2" ht="18" x14ac:dyDescent="0.35">
      <c r="A65" t="s">
        <v>239</v>
      </c>
      <c r="B65" s="39">
        <f>SUM(B23:B61)/39</f>
        <v>126.49769230769235</v>
      </c>
    </row>
    <row r="66" spans="1:2" ht="18" x14ac:dyDescent="0.35">
      <c r="A66" t="s">
        <v>240</v>
      </c>
      <c r="B66">
        <f>SUM(C23:C61)/39</f>
        <v>114.97102564102563</v>
      </c>
    </row>
    <row r="68" spans="1:2" ht="18" x14ac:dyDescent="0.35">
      <c r="A68" t="s">
        <v>241</v>
      </c>
      <c r="B68">
        <f>F62/SQRT(G62*H62)</f>
        <v>0.27870121888360666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4" workbookViewId="0">
      <selection activeCell="C72" sqref="C72"/>
    </sheetView>
  </sheetViews>
  <sheetFormatPr defaultRowHeight="15" x14ac:dyDescent="0.25"/>
  <cols>
    <col min="6" max="6" width="17.1406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242</v>
      </c>
      <c r="D3" s="45" t="s">
        <v>243</v>
      </c>
      <c r="E3" s="45" t="s">
        <v>244</v>
      </c>
      <c r="F3" s="46" t="s">
        <v>245</v>
      </c>
      <c r="G3" s="45" t="s">
        <v>246</v>
      </c>
      <c r="H3" s="45" t="s">
        <v>247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53">
        <f>B4</f>
        <v>102.32</v>
      </c>
      <c r="D24" s="53">
        <f t="shared" ref="D24:D61" si="0">B24-$B$65</f>
        <v>-18.785000000000053</v>
      </c>
      <c r="E24" s="53">
        <f t="shared" ref="E24:E61" si="1">C24-$B$66</f>
        <v>-12.016052631578944</v>
      </c>
      <c r="F24" s="4">
        <f t="shared" ref="F24:F61" si="2">D24*E24</f>
        <v>225.72154868421111</v>
      </c>
      <c r="G24" s="4">
        <f t="shared" ref="G24:H38" si="3">D24*D24</f>
        <v>352.87622500000202</v>
      </c>
      <c r="H24" s="4">
        <f t="shared" si="3"/>
        <v>144.38552084487526</v>
      </c>
    </row>
    <row r="25" spans="1:8" x14ac:dyDescent="0.25">
      <c r="A25">
        <v>22</v>
      </c>
      <c r="B25" s="6">
        <v>107.8</v>
      </c>
      <c r="C25" s="53">
        <f t="shared" ref="C25:C61" si="4">B5</f>
        <v>102.21</v>
      </c>
      <c r="D25" s="53">
        <f t="shared" si="0"/>
        <v>-19.175000000000054</v>
      </c>
      <c r="E25" s="53">
        <f t="shared" si="1"/>
        <v>-12.126052631578943</v>
      </c>
      <c r="F25" s="4">
        <f t="shared" si="2"/>
        <v>232.5170592105269</v>
      </c>
      <c r="G25" s="4">
        <f t="shared" si="3"/>
        <v>367.68062500000207</v>
      </c>
      <c r="H25" s="4">
        <f t="shared" si="3"/>
        <v>147.04115242382261</v>
      </c>
    </row>
    <row r="26" spans="1:8" x14ac:dyDescent="0.25">
      <c r="A26">
        <v>23</v>
      </c>
      <c r="B26" s="6">
        <v>107.47</v>
      </c>
      <c r="C26" s="53">
        <f t="shared" si="4"/>
        <v>102.16</v>
      </c>
      <c r="D26" s="53">
        <f t="shared" si="0"/>
        <v>-19.505000000000052</v>
      </c>
      <c r="E26" s="53">
        <f t="shared" si="1"/>
        <v>-12.176052631578941</v>
      </c>
      <c r="F26" s="4">
        <f t="shared" si="2"/>
        <v>237.49390657894787</v>
      </c>
      <c r="G26" s="4">
        <f t="shared" si="3"/>
        <v>380.44502500000203</v>
      </c>
      <c r="H26" s="4">
        <f t="shared" si="3"/>
        <v>148.25625768698043</v>
      </c>
    </row>
    <row r="27" spans="1:8" x14ac:dyDescent="0.25">
      <c r="A27">
        <v>24</v>
      </c>
      <c r="B27" s="6">
        <v>107.03</v>
      </c>
      <c r="C27" s="53">
        <f t="shared" si="4"/>
        <v>102.06</v>
      </c>
      <c r="D27" s="53">
        <f t="shared" si="0"/>
        <v>-19.94500000000005</v>
      </c>
      <c r="E27" s="53">
        <f t="shared" si="1"/>
        <v>-12.276052631578935</v>
      </c>
      <c r="F27" s="4">
        <f t="shared" si="2"/>
        <v>244.84586973684247</v>
      </c>
      <c r="G27" s="4">
        <f t="shared" si="3"/>
        <v>397.80302500000198</v>
      </c>
      <c r="H27" s="4">
        <f t="shared" si="3"/>
        <v>150.7014682132961</v>
      </c>
    </row>
    <row r="28" spans="1:8" x14ac:dyDescent="0.25">
      <c r="A28">
        <v>25</v>
      </c>
      <c r="B28" s="6">
        <v>106.61</v>
      </c>
      <c r="C28" s="53">
        <f t="shared" si="4"/>
        <v>102.55</v>
      </c>
      <c r="D28" s="53">
        <f t="shared" si="0"/>
        <v>-20.365000000000052</v>
      </c>
      <c r="E28" s="53">
        <f t="shared" si="1"/>
        <v>-11.78605263157894</v>
      </c>
      <c r="F28" s="4">
        <f t="shared" si="2"/>
        <v>240.02296184210573</v>
      </c>
      <c r="G28" s="4">
        <f t="shared" si="3"/>
        <v>414.73322500000211</v>
      </c>
      <c r="H28" s="4">
        <f t="shared" si="3"/>
        <v>138.91103663434885</v>
      </c>
    </row>
    <row r="29" spans="1:8" x14ac:dyDescent="0.25">
      <c r="A29">
        <v>26</v>
      </c>
      <c r="B29" s="6">
        <v>106.57</v>
      </c>
      <c r="C29" s="53">
        <f t="shared" si="4"/>
        <v>104.35</v>
      </c>
      <c r="D29" s="53">
        <f t="shared" si="0"/>
        <v>-20.405000000000058</v>
      </c>
      <c r="E29" s="53">
        <f t="shared" si="1"/>
        <v>-9.9860526315789429</v>
      </c>
      <c r="F29" s="4">
        <f t="shared" si="2"/>
        <v>203.7654039473689</v>
      </c>
      <c r="G29" s="4">
        <f t="shared" si="3"/>
        <v>416.36402500000236</v>
      </c>
      <c r="H29" s="4">
        <f t="shared" si="3"/>
        <v>99.721247160664731</v>
      </c>
    </row>
    <row r="30" spans="1:8" x14ac:dyDescent="0.25">
      <c r="A30">
        <v>27</v>
      </c>
      <c r="B30" s="6">
        <v>106.49</v>
      </c>
      <c r="C30" s="53">
        <f t="shared" si="4"/>
        <v>107.57</v>
      </c>
      <c r="D30" s="53">
        <f t="shared" si="0"/>
        <v>-20.485000000000056</v>
      </c>
      <c r="E30" s="53">
        <f t="shared" si="1"/>
        <v>-6.766052631578944</v>
      </c>
      <c r="F30" s="4">
        <f t="shared" si="2"/>
        <v>138.60258815789504</v>
      </c>
      <c r="G30" s="4">
        <f t="shared" si="3"/>
        <v>419.63522500000232</v>
      </c>
      <c r="H30" s="4">
        <f t="shared" si="3"/>
        <v>45.779468213296354</v>
      </c>
    </row>
    <row r="31" spans="1:8" x14ac:dyDescent="0.25">
      <c r="A31">
        <v>28</v>
      </c>
      <c r="B31" s="6">
        <v>107.04</v>
      </c>
      <c r="C31" s="53">
        <f t="shared" si="4"/>
        <v>111.96</v>
      </c>
      <c r="D31" s="53">
        <f t="shared" si="0"/>
        <v>-19.935000000000045</v>
      </c>
      <c r="E31" s="53">
        <f t="shared" si="1"/>
        <v>-2.3760526315789434</v>
      </c>
      <c r="F31" s="4">
        <f t="shared" si="2"/>
        <v>47.366609210526342</v>
      </c>
      <c r="G31" s="4">
        <f t="shared" si="3"/>
        <v>397.40422500000182</v>
      </c>
      <c r="H31" s="4">
        <f t="shared" si="3"/>
        <v>5.6456261080332224</v>
      </c>
    </row>
    <row r="32" spans="1:8" x14ac:dyDescent="0.25">
      <c r="A32">
        <v>29</v>
      </c>
      <c r="B32" s="6">
        <v>111.35</v>
      </c>
      <c r="C32" s="53">
        <f t="shared" si="4"/>
        <v>115.27</v>
      </c>
      <c r="D32" s="53">
        <f t="shared" si="0"/>
        <v>-15.625000000000057</v>
      </c>
      <c r="E32" s="53">
        <f t="shared" si="1"/>
        <v>0.93394736842105885</v>
      </c>
      <c r="F32" s="4">
        <f t="shared" si="2"/>
        <v>-14.592927631579098</v>
      </c>
      <c r="G32" s="4">
        <f t="shared" si="3"/>
        <v>244.14062500000176</v>
      </c>
      <c r="H32" s="4">
        <f t="shared" si="3"/>
        <v>0.87225768698062101</v>
      </c>
    </row>
    <row r="33" spans="1:8" x14ac:dyDescent="0.25">
      <c r="A33">
        <v>30</v>
      </c>
      <c r="B33" s="6">
        <v>117.54</v>
      </c>
      <c r="C33" s="53">
        <f t="shared" si="4"/>
        <v>117.17</v>
      </c>
      <c r="D33" s="53">
        <f t="shared" si="0"/>
        <v>-9.4350000000000449</v>
      </c>
      <c r="E33" s="53">
        <f t="shared" si="1"/>
        <v>2.8339473684210645</v>
      </c>
      <c r="F33" s="4">
        <f t="shared" si="2"/>
        <v>-26.73829342105287</v>
      </c>
      <c r="G33" s="4">
        <f t="shared" si="3"/>
        <v>89.019225000000844</v>
      </c>
      <c r="H33" s="4">
        <f t="shared" si="3"/>
        <v>8.0312576869806769</v>
      </c>
    </row>
    <row r="34" spans="1:8" x14ac:dyDescent="0.25">
      <c r="A34">
        <v>31</v>
      </c>
      <c r="B34" s="6">
        <v>122.58</v>
      </c>
      <c r="C34" s="53">
        <f t="shared" si="4"/>
        <v>117.61</v>
      </c>
      <c r="D34" s="53">
        <f t="shared" si="0"/>
        <v>-4.3950000000000529</v>
      </c>
      <c r="E34" s="53">
        <f t="shared" si="1"/>
        <v>3.2739473684210623</v>
      </c>
      <c r="F34" s="4">
        <f t="shared" si="2"/>
        <v>-14.388998684210742</v>
      </c>
      <c r="G34" s="4">
        <f t="shared" si="3"/>
        <v>19.316025000000465</v>
      </c>
      <c r="H34" s="4">
        <f t="shared" si="3"/>
        <v>10.718731371191199</v>
      </c>
    </row>
    <row r="35" spans="1:8" x14ac:dyDescent="0.25">
      <c r="A35">
        <v>32</v>
      </c>
      <c r="B35" s="6">
        <v>128.16</v>
      </c>
      <c r="C35" s="53">
        <f t="shared" si="4"/>
        <v>117.26</v>
      </c>
      <c r="D35" s="53">
        <f t="shared" si="0"/>
        <v>1.1849999999999454</v>
      </c>
      <c r="E35" s="53">
        <f t="shared" si="1"/>
        <v>2.9239473684210679</v>
      </c>
      <c r="F35" s="4">
        <f t="shared" si="2"/>
        <v>3.4648776315788061</v>
      </c>
      <c r="G35" s="4">
        <f t="shared" si="3"/>
        <v>1.4042249999998706</v>
      </c>
      <c r="H35" s="4">
        <f t="shared" si="3"/>
        <v>8.549468213296489</v>
      </c>
    </row>
    <row r="36" spans="1:8" x14ac:dyDescent="0.25">
      <c r="A36">
        <v>33</v>
      </c>
      <c r="B36" s="6">
        <v>132.86000000000001</v>
      </c>
      <c r="C36" s="53">
        <f t="shared" si="4"/>
        <v>115.88</v>
      </c>
      <c r="D36" s="53">
        <f t="shared" si="0"/>
        <v>5.8849999999999625</v>
      </c>
      <c r="E36" s="53">
        <f t="shared" si="1"/>
        <v>1.5439473684210583</v>
      </c>
      <c r="F36" s="4">
        <f t="shared" si="2"/>
        <v>9.0861302631578695</v>
      </c>
      <c r="G36" s="4">
        <f t="shared" si="3"/>
        <v>34.633224999999555</v>
      </c>
      <c r="H36" s="4">
        <f t="shared" si="3"/>
        <v>2.3837734764543113</v>
      </c>
    </row>
    <row r="37" spans="1:8" x14ac:dyDescent="0.25">
      <c r="A37">
        <v>34</v>
      </c>
      <c r="B37" s="6">
        <v>134.91999999999999</v>
      </c>
      <c r="C37" s="53">
        <f t="shared" si="4"/>
        <v>113.35</v>
      </c>
      <c r="D37" s="53">
        <f t="shared" si="0"/>
        <v>7.9449999999999363</v>
      </c>
      <c r="E37" s="53">
        <f t="shared" si="1"/>
        <v>-0.98605263157894285</v>
      </c>
      <c r="F37" s="4">
        <f t="shared" si="2"/>
        <v>-7.834188157894638</v>
      </c>
      <c r="G37" s="4">
        <f t="shared" si="3"/>
        <v>63.123024999998989</v>
      </c>
      <c r="H37" s="4">
        <f t="shared" si="3"/>
        <v>0.9722997922437584</v>
      </c>
    </row>
    <row r="38" spans="1:8" x14ac:dyDescent="0.25">
      <c r="A38">
        <v>35</v>
      </c>
      <c r="B38" s="6">
        <v>135.69999999999999</v>
      </c>
      <c r="C38" s="53">
        <f t="shared" si="4"/>
        <v>111.39</v>
      </c>
      <c r="D38" s="53">
        <f t="shared" si="0"/>
        <v>8.7249999999999375</v>
      </c>
      <c r="E38" s="53">
        <f t="shared" si="1"/>
        <v>-2.9460526315789366</v>
      </c>
      <c r="F38" s="4">
        <f t="shared" si="2"/>
        <v>-25.704309210526038</v>
      </c>
      <c r="G38" s="4">
        <f t="shared" si="3"/>
        <v>76.125624999998905</v>
      </c>
      <c r="H38" s="4">
        <f t="shared" si="3"/>
        <v>8.679226108033177</v>
      </c>
    </row>
    <row r="39" spans="1:8" x14ac:dyDescent="0.25">
      <c r="A39">
        <v>36</v>
      </c>
      <c r="B39" s="6">
        <v>136.13999999999999</v>
      </c>
      <c r="C39" s="53">
        <f t="shared" si="4"/>
        <v>109.76</v>
      </c>
      <c r="D39" s="53">
        <f t="shared" si="0"/>
        <v>9.1649999999999352</v>
      </c>
      <c r="E39" s="53">
        <f t="shared" si="1"/>
        <v>-4.5760526315789321</v>
      </c>
      <c r="F39" s="4">
        <f t="shared" si="2"/>
        <v>-41.939522368420619</v>
      </c>
      <c r="G39" s="4">
        <f t="shared" ref="G39:H61" si="5">D39*D39</f>
        <v>83.997224999998807</v>
      </c>
      <c r="H39" s="4">
        <f t="shared" si="5"/>
        <v>20.94025768698047</v>
      </c>
    </row>
    <row r="40" spans="1:8" x14ac:dyDescent="0.25">
      <c r="A40">
        <v>37</v>
      </c>
      <c r="B40" s="6">
        <v>140.15</v>
      </c>
      <c r="C40" s="53">
        <f t="shared" si="4"/>
        <v>109.5</v>
      </c>
      <c r="D40" s="53">
        <f t="shared" si="0"/>
        <v>13.174999999999955</v>
      </c>
      <c r="E40" s="53">
        <f t="shared" si="1"/>
        <v>-4.8360526315789372</v>
      </c>
      <c r="F40" s="4">
        <f t="shared" si="2"/>
        <v>-63.714993421052277</v>
      </c>
      <c r="G40" s="4">
        <f t="shared" si="5"/>
        <v>173.5806249999988</v>
      </c>
      <c r="H40" s="4">
        <f t="shared" si="5"/>
        <v>23.387405055401562</v>
      </c>
    </row>
    <row r="41" spans="1:8" x14ac:dyDescent="0.25">
      <c r="A41">
        <v>38</v>
      </c>
      <c r="B41" s="6">
        <v>140.09</v>
      </c>
      <c r="C41" s="53">
        <f t="shared" si="4"/>
        <v>108.86</v>
      </c>
      <c r="D41" s="53">
        <f t="shared" si="0"/>
        <v>13.114999999999952</v>
      </c>
      <c r="E41" s="53">
        <f t="shared" si="1"/>
        <v>-5.4760526315789377</v>
      </c>
      <c r="F41" s="4">
        <f t="shared" si="2"/>
        <v>-71.818430263157509</v>
      </c>
      <c r="G41" s="4">
        <f t="shared" si="5"/>
        <v>172.00322499999874</v>
      </c>
      <c r="H41" s="4">
        <f t="shared" si="5"/>
        <v>29.987152423822611</v>
      </c>
    </row>
    <row r="42" spans="1:8" x14ac:dyDescent="0.25">
      <c r="A42">
        <v>39</v>
      </c>
      <c r="B42" s="6">
        <v>139.1</v>
      </c>
      <c r="C42" s="53">
        <f t="shared" si="4"/>
        <v>108.49</v>
      </c>
      <c r="D42" s="53">
        <f t="shared" si="0"/>
        <v>12.124999999999943</v>
      </c>
      <c r="E42" s="53">
        <f t="shared" si="1"/>
        <v>-5.8460526315789423</v>
      </c>
      <c r="F42" s="4">
        <f t="shared" si="2"/>
        <v>-70.883388157894345</v>
      </c>
      <c r="G42" s="4">
        <f t="shared" si="5"/>
        <v>147.01562499999864</v>
      </c>
      <c r="H42" s="4">
        <f t="shared" si="5"/>
        <v>34.176331371191075</v>
      </c>
    </row>
    <row r="43" spans="1:8" x14ac:dyDescent="0.25">
      <c r="A43">
        <v>40</v>
      </c>
      <c r="B43" s="6">
        <v>137.5</v>
      </c>
      <c r="C43" s="53">
        <f t="shared" si="4"/>
        <v>108.36</v>
      </c>
      <c r="D43" s="53">
        <f t="shared" si="0"/>
        <v>10.524999999999949</v>
      </c>
      <c r="E43" s="53">
        <f t="shared" si="1"/>
        <v>-5.9760526315789377</v>
      </c>
      <c r="F43" s="4">
        <f t="shared" si="2"/>
        <v>-62.897953947368016</v>
      </c>
      <c r="G43" s="4">
        <f t="shared" si="5"/>
        <v>110.77562499999893</v>
      </c>
      <c r="H43" s="4">
        <f t="shared" si="5"/>
        <v>35.713205055401545</v>
      </c>
    </row>
    <row r="44" spans="1:8" x14ac:dyDescent="0.25">
      <c r="A44">
        <v>41</v>
      </c>
      <c r="B44" s="6">
        <v>136.12</v>
      </c>
      <c r="C44" s="53">
        <f t="shared" si="4"/>
        <v>108.19</v>
      </c>
      <c r="D44" s="53">
        <f t="shared" si="0"/>
        <v>9.1449999999999534</v>
      </c>
      <c r="E44" s="53">
        <f t="shared" si="1"/>
        <v>-6.1460526315789394</v>
      </c>
      <c r="F44" s="4">
        <f t="shared" si="2"/>
        <v>-56.205651315789112</v>
      </c>
      <c r="G44" s="4">
        <f t="shared" si="5"/>
        <v>83.631024999999141</v>
      </c>
      <c r="H44" s="4">
        <f t="shared" si="5"/>
        <v>37.773962950138404</v>
      </c>
    </row>
    <row r="45" spans="1:8" x14ac:dyDescent="0.25">
      <c r="A45">
        <v>42</v>
      </c>
      <c r="B45" s="6">
        <v>135.22</v>
      </c>
      <c r="C45" s="53">
        <f t="shared" si="4"/>
        <v>107.8</v>
      </c>
      <c r="D45" s="53">
        <f t="shared" si="0"/>
        <v>8.2449999999999477</v>
      </c>
      <c r="E45" s="53">
        <f t="shared" si="1"/>
        <v>-6.53605263157894</v>
      </c>
      <c r="F45" s="4">
        <f t="shared" si="2"/>
        <v>-53.889753947368021</v>
      </c>
      <c r="G45" s="4">
        <f t="shared" si="5"/>
        <v>67.980024999999131</v>
      </c>
      <c r="H45" s="4">
        <f t="shared" si="5"/>
        <v>42.719984002769984</v>
      </c>
    </row>
    <row r="46" spans="1:8" x14ac:dyDescent="0.25">
      <c r="A46">
        <v>43</v>
      </c>
      <c r="B46" s="6">
        <v>134.72999999999999</v>
      </c>
      <c r="C46" s="53">
        <f t="shared" si="4"/>
        <v>107.47</v>
      </c>
      <c r="D46" s="53">
        <f t="shared" si="0"/>
        <v>7.7549999999999386</v>
      </c>
      <c r="E46" s="53">
        <f t="shared" si="1"/>
        <v>-6.8660526315789383</v>
      </c>
      <c r="F46" s="4">
        <f t="shared" si="2"/>
        <v>-53.246238157894247</v>
      </c>
      <c r="G46" s="4">
        <f t="shared" si="5"/>
        <v>60.140024999999049</v>
      </c>
      <c r="H46" s="4">
        <f t="shared" si="5"/>
        <v>47.142678739612066</v>
      </c>
    </row>
    <row r="47" spans="1:8" x14ac:dyDescent="0.25">
      <c r="A47">
        <v>44</v>
      </c>
      <c r="B47" s="6">
        <v>134.38999999999999</v>
      </c>
      <c r="C47" s="53">
        <f t="shared" si="4"/>
        <v>107.03</v>
      </c>
      <c r="D47" s="53">
        <f t="shared" si="0"/>
        <v>7.4149999999999352</v>
      </c>
      <c r="E47" s="53">
        <f t="shared" si="1"/>
        <v>-7.306052631578936</v>
      </c>
      <c r="F47" s="4">
        <f t="shared" si="2"/>
        <v>-54.174380263157339</v>
      </c>
      <c r="G47" s="4">
        <f t="shared" si="5"/>
        <v>54.98222499999904</v>
      </c>
      <c r="H47" s="4">
        <f t="shared" si="5"/>
        <v>53.378405055401494</v>
      </c>
    </row>
    <row r="48" spans="1:8" x14ac:dyDescent="0.25">
      <c r="A48">
        <v>45</v>
      </c>
      <c r="B48" s="6">
        <v>134.51</v>
      </c>
      <c r="C48" s="53">
        <f t="shared" si="4"/>
        <v>106.61</v>
      </c>
      <c r="D48" s="53">
        <f t="shared" si="0"/>
        <v>7.5349999999999397</v>
      </c>
      <c r="E48" s="53">
        <f t="shared" si="1"/>
        <v>-7.7260526315789377</v>
      </c>
      <c r="F48" s="4">
        <f t="shared" si="2"/>
        <v>-58.215806578946832</v>
      </c>
      <c r="G48" s="4">
        <f t="shared" si="5"/>
        <v>56.776224999999094</v>
      </c>
      <c r="H48" s="4">
        <f t="shared" si="5"/>
        <v>59.691889265927827</v>
      </c>
    </row>
    <row r="49" spans="1:8" x14ac:dyDescent="0.25">
      <c r="A49">
        <v>46</v>
      </c>
      <c r="B49" s="6">
        <v>134.46</v>
      </c>
      <c r="C49" s="53">
        <f t="shared" si="4"/>
        <v>106.57</v>
      </c>
      <c r="D49" s="53">
        <f t="shared" si="0"/>
        <v>7.4849999999999568</v>
      </c>
      <c r="E49" s="53">
        <f t="shared" si="1"/>
        <v>-7.766052631578944</v>
      </c>
      <c r="F49" s="4">
        <f t="shared" si="2"/>
        <v>-58.128903947368059</v>
      </c>
      <c r="G49" s="4">
        <f t="shared" si="5"/>
        <v>56.025224999999352</v>
      </c>
      <c r="H49" s="4">
        <f t="shared" si="5"/>
        <v>60.311573476454242</v>
      </c>
    </row>
    <row r="50" spans="1:8" x14ac:dyDescent="0.25">
      <c r="A50">
        <v>47</v>
      </c>
      <c r="B50" s="6">
        <v>134.27000000000001</v>
      </c>
      <c r="C50" s="53">
        <f t="shared" si="4"/>
        <v>106.49</v>
      </c>
      <c r="D50" s="53">
        <f t="shared" si="0"/>
        <v>7.2949999999999591</v>
      </c>
      <c r="E50" s="53">
        <f t="shared" si="1"/>
        <v>-7.8460526315789423</v>
      </c>
      <c r="F50" s="4">
        <f t="shared" si="2"/>
        <v>-57.236953947368065</v>
      </c>
      <c r="G50" s="4">
        <f t="shared" si="5"/>
        <v>53.217024999999403</v>
      </c>
      <c r="H50" s="4">
        <f t="shared" si="5"/>
        <v>61.560541897506845</v>
      </c>
    </row>
    <row r="51" spans="1:8" x14ac:dyDescent="0.25">
      <c r="A51">
        <v>48</v>
      </c>
      <c r="B51" s="6">
        <v>133.72999999999999</v>
      </c>
      <c r="C51" s="53">
        <f t="shared" si="4"/>
        <v>107.04</v>
      </c>
      <c r="D51" s="53">
        <f t="shared" si="0"/>
        <v>6.7549999999999386</v>
      </c>
      <c r="E51" s="53">
        <f t="shared" si="1"/>
        <v>-7.2960526315789309</v>
      </c>
      <c r="F51" s="4">
        <f t="shared" si="2"/>
        <v>-49.284835526315227</v>
      </c>
      <c r="G51" s="4">
        <f t="shared" si="5"/>
        <v>45.630024999999172</v>
      </c>
      <c r="H51" s="4">
        <f t="shared" si="5"/>
        <v>53.232384002769841</v>
      </c>
    </row>
    <row r="52" spans="1:8" x14ac:dyDescent="0.25">
      <c r="A52">
        <v>49</v>
      </c>
      <c r="B52" s="6">
        <v>132.01</v>
      </c>
      <c r="C52" s="53">
        <f t="shared" si="4"/>
        <v>111.35</v>
      </c>
      <c r="D52" s="53">
        <f t="shared" si="0"/>
        <v>5.0349999999999397</v>
      </c>
      <c r="E52" s="53">
        <f t="shared" si="1"/>
        <v>-2.9860526315789429</v>
      </c>
      <c r="F52" s="4">
        <f t="shared" si="2"/>
        <v>-15.034774999999797</v>
      </c>
      <c r="G52" s="4">
        <f t="shared" si="5"/>
        <v>25.351224999999392</v>
      </c>
      <c r="H52" s="4">
        <f t="shared" si="5"/>
        <v>8.9165103185595296</v>
      </c>
    </row>
    <row r="53" spans="1:8" x14ac:dyDescent="0.25">
      <c r="A53">
        <v>50</v>
      </c>
      <c r="B53" s="6">
        <v>130.59</v>
      </c>
      <c r="C53" s="53">
        <f t="shared" si="4"/>
        <v>117.54</v>
      </c>
      <c r="D53" s="53">
        <f t="shared" si="0"/>
        <v>3.6149999999999523</v>
      </c>
      <c r="E53" s="53">
        <f t="shared" si="1"/>
        <v>3.2039473684210691</v>
      </c>
      <c r="F53" s="4">
        <f t="shared" si="2"/>
        <v>11.582269736842012</v>
      </c>
      <c r="G53" s="4">
        <f t="shared" si="5"/>
        <v>13.068224999999655</v>
      </c>
      <c r="H53" s="4">
        <f t="shared" si="5"/>
        <v>10.265278739612294</v>
      </c>
    </row>
    <row r="54" spans="1:8" x14ac:dyDescent="0.25">
      <c r="A54">
        <v>51</v>
      </c>
      <c r="B54" s="6">
        <v>130.28</v>
      </c>
      <c r="C54" s="53">
        <f t="shared" si="4"/>
        <v>122.58</v>
      </c>
      <c r="D54" s="53">
        <f t="shared" si="0"/>
        <v>3.30499999999995</v>
      </c>
      <c r="E54" s="53">
        <f t="shared" si="1"/>
        <v>8.2439473684210611</v>
      </c>
      <c r="F54" s="4">
        <f t="shared" si="2"/>
        <v>27.246246052631193</v>
      </c>
      <c r="G54" s="4">
        <f t="shared" si="5"/>
        <v>10.923024999999669</v>
      </c>
      <c r="H54" s="4">
        <f t="shared" si="5"/>
        <v>67.962668213296539</v>
      </c>
    </row>
    <row r="55" spans="1:8" x14ac:dyDescent="0.25">
      <c r="A55">
        <v>52</v>
      </c>
      <c r="B55" s="6">
        <v>129.16</v>
      </c>
      <c r="C55" s="53">
        <f t="shared" si="4"/>
        <v>128.16</v>
      </c>
      <c r="D55" s="53">
        <f t="shared" si="0"/>
        <v>2.1849999999999454</v>
      </c>
      <c r="E55" s="53">
        <f t="shared" si="1"/>
        <v>13.823947368421059</v>
      </c>
      <c r="F55" s="4">
        <f t="shared" si="2"/>
        <v>30.205324999999259</v>
      </c>
      <c r="G55" s="4">
        <f t="shared" si="5"/>
        <v>4.7742249999997615</v>
      </c>
      <c r="H55" s="4">
        <f t="shared" si="5"/>
        <v>191.10152084487552</v>
      </c>
    </row>
    <row r="56" spans="1:8" x14ac:dyDescent="0.25">
      <c r="A56">
        <v>53</v>
      </c>
      <c r="B56" s="6">
        <v>128.94</v>
      </c>
      <c r="C56" s="53">
        <f t="shared" si="4"/>
        <v>132.86000000000001</v>
      </c>
      <c r="D56" s="53">
        <f t="shared" si="0"/>
        <v>1.9649999999999466</v>
      </c>
      <c r="E56" s="53">
        <f t="shared" si="1"/>
        <v>18.523947368421076</v>
      </c>
      <c r="F56" s="4">
        <f t="shared" si="2"/>
        <v>36.399556578946424</v>
      </c>
      <c r="G56" s="4">
        <f t="shared" si="5"/>
        <v>3.8612249999997901</v>
      </c>
      <c r="H56" s="4">
        <f t="shared" si="5"/>
        <v>343.13662610803414</v>
      </c>
    </row>
    <row r="57" spans="1:8" x14ac:dyDescent="0.25">
      <c r="A57">
        <v>54</v>
      </c>
      <c r="B57" s="6">
        <v>129.30000000000001</v>
      </c>
      <c r="C57" s="53">
        <f t="shared" si="4"/>
        <v>134.91999999999999</v>
      </c>
      <c r="D57" s="53">
        <f t="shared" si="0"/>
        <v>2.3249999999999602</v>
      </c>
      <c r="E57" s="53">
        <f t="shared" si="1"/>
        <v>20.58394736842105</v>
      </c>
      <c r="F57" s="4">
        <f t="shared" si="2"/>
        <v>47.85767763157812</v>
      </c>
      <c r="G57" s="4">
        <f t="shared" si="5"/>
        <v>5.4056249999998149</v>
      </c>
      <c r="H57" s="4">
        <f t="shared" si="5"/>
        <v>423.6988892659279</v>
      </c>
    </row>
    <row r="58" spans="1:8" x14ac:dyDescent="0.25">
      <c r="A58">
        <v>55</v>
      </c>
      <c r="B58" s="6">
        <v>131.22</v>
      </c>
      <c r="C58" s="53">
        <f t="shared" si="4"/>
        <v>135.69999999999999</v>
      </c>
      <c r="D58" s="53">
        <f t="shared" si="0"/>
        <v>4.2449999999999477</v>
      </c>
      <c r="E58" s="53">
        <f t="shared" si="1"/>
        <v>21.363947368421051</v>
      </c>
      <c r="F58" s="4">
        <f t="shared" si="2"/>
        <v>90.689956578946251</v>
      </c>
      <c r="G58" s="4">
        <f t="shared" si="5"/>
        <v>18.020024999999556</v>
      </c>
      <c r="H58" s="4">
        <f t="shared" si="5"/>
        <v>456.41824716066475</v>
      </c>
    </row>
    <row r="59" spans="1:8" x14ac:dyDescent="0.25">
      <c r="A59">
        <v>56</v>
      </c>
      <c r="B59" s="6">
        <v>132.52000000000001</v>
      </c>
      <c r="C59" s="53">
        <f t="shared" si="4"/>
        <v>136.13999999999999</v>
      </c>
      <c r="D59" s="53">
        <f t="shared" si="0"/>
        <v>5.5449999999999591</v>
      </c>
      <c r="E59" s="53">
        <f t="shared" si="1"/>
        <v>21.803947368421049</v>
      </c>
      <c r="F59" s="4">
        <f t="shared" si="2"/>
        <v>120.90288815789383</v>
      </c>
      <c r="G59" s="4">
        <f t="shared" si="5"/>
        <v>30.747024999999546</v>
      </c>
      <c r="H59" s="4">
        <f t="shared" si="5"/>
        <v>475.41212084487518</v>
      </c>
    </row>
    <row r="60" spans="1:8" x14ac:dyDescent="0.25">
      <c r="A60">
        <v>57</v>
      </c>
      <c r="B60" s="6">
        <v>134.25</v>
      </c>
      <c r="C60" s="53">
        <f t="shared" si="4"/>
        <v>140.15</v>
      </c>
      <c r="D60" s="53">
        <f t="shared" si="0"/>
        <v>7.2749999999999488</v>
      </c>
      <c r="E60" s="53">
        <f t="shared" si="1"/>
        <v>25.813947368421069</v>
      </c>
      <c r="F60" s="4">
        <f t="shared" si="2"/>
        <v>187.79646710526194</v>
      </c>
      <c r="G60" s="4">
        <f t="shared" si="5"/>
        <v>52.925624999999258</v>
      </c>
      <c r="H60" s="4">
        <f t="shared" si="5"/>
        <v>666.35987873961301</v>
      </c>
    </row>
    <row r="61" spans="1:8" x14ac:dyDescent="0.25">
      <c r="A61">
        <v>58</v>
      </c>
      <c r="B61" s="6">
        <v>136.06</v>
      </c>
      <c r="C61" s="53">
        <f t="shared" si="4"/>
        <v>140.09</v>
      </c>
      <c r="D61" s="53">
        <f t="shared" si="0"/>
        <v>9.0849999999999511</v>
      </c>
      <c r="E61" s="53">
        <f t="shared" si="1"/>
        <v>25.753947368421066</v>
      </c>
      <c r="F61" s="4">
        <f t="shared" si="2"/>
        <v>233.97461184210414</v>
      </c>
      <c r="G61" s="4">
        <f t="shared" si="5"/>
        <v>82.537224999999111</v>
      </c>
      <c r="H61" s="4">
        <f t="shared" si="5"/>
        <v>663.26580505540232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4344.7699999999995</v>
      </c>
      <c r="D62" s="39">
        <f t="shared" si="6"/>
        <v>-1.9895196601282805E-12</v>
      </c>
      <c r="E62" s="39">
        <f t="shared" si="6"/>
        <v>3.4106051316484809E-13</v>
      </c>
      <c r="F62" s="39">
        <f t="shared" si="6"/>
        <v>1513.6116500000014</v>
      </c>
      <c r="G62" s="39">
        <f t="shared" si="6"/>
        <v>5088.0711499999998</v>
      </c>
      <c r="H62" s="39">
        <f t="shared" si="6"/>
        <v>4787.2021078947364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114.33605263157894</v>
      </c>
    </row>
    <row r="65" spans="1:2" ht="18" x14ac:dyDescent="0.35">
      <c r="A65" t="s">
        <v>248</v>
      </c>
      <c r="B65" s="39">
        <f>SUM(B24:B61)/38</f>
        <v>126.97500000000005</v>
      </c>
    </row>
    <row r="66" spans="1:2" ht="18" x14ac:dyDescent="0.35">
      <c r="A66" t="s">
        <v>249</v>
      </c>
      <c r="B66">
        <f>SUM(C24:C61)/38</f>
        <v>114.33605263157894</v>
      </c>
    </row>
    <row r="68" spans="1:2" ht="18" x14ac:dyDescent="0.35">
      <c r="A68" t="s">
        <v>250</v>
      </c>
      <c r="B68">
        <f>F62/SQRT(G62*H62)</f>
        <v>0.30668814758644003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5" workbookViewId="0">
      <selection activeCell="B71" sqref="B71"/>
    </sheetView>
  </sheetViews>
  <sheetFormatPr defaultRowHeight="15" x14ac:dyDescent="0.25"/>
  <cols>
    <col min="6" max="6" width="18.285156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251</v>
      </c>
      <c r="D3" s="45" t="s">
        <v>252</v>
      </c>
      <c r="E3" s="45" t="s">
        <v>253</v>
      </c>
      <c r="F3" s="46" t="s">
        <v>254</v>
      </c>
      <c r="G3" s="45" t="s">
        <v>263</v>
      </c>
      <c r="H3" s="45" t="s">
        <v>255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>
        <v>22</v>
      </c>
      <c r="B25" s="6">
        <v>107.8</v>
      </c>
      <c r="C25" s="53">
        <f>B4</f>
        <v>102.32</v>
      </c>
      <c r="D25" s="53">
        <f t="shared" ref="D25:D61" si="0">B25-$B$65</f>
        <v>-19.682702702702741</v>
      </c>
      <c r="E25" s="53">
        <f t="shared" ref="E25:E61" si="1">C25-$B$66</f>
        <v>-11.319999999999993</v>
      </c>
      <c r="F25" s="4">
        <f t="shared" ref="F25:F61" si="2">D25*E25</f>
        <v>222.80819459459491</v>
      </c>
      <c r="G25" s="4">
        <f t="shared" ref="G25:H39" si="3">D25*D25</f>
        <v>387.40878568298177</v>
      </c>
      <c r="H25" s="4">
        <f t="shared" si="3"/>
        <v>128.14239999999984</v>
      </c>
    </row>
    <row r="26" spans="1:8" x14ac:dyDescent="0.25">
      <c r="A26">
        <v>23</v>
      </c>
      <c r="B26" s="6">
        <v>107.47</v>
      </c>
      <c r="C26" s="53">
        <f t="shared" ref="C26:C61" si="4">B5</f>
        <v>102.21</v>
      </c>
      <c r="D26" s="53">
        <f t="shared" si="0"/>
        <v>-20.01270270270274</v>
      </c>
      <c r="E26" s="53">
        <f t="shared" si="1"/>
        <v>-11.429999999999993</v>
      </c>
      <c r="F26" s="4">
        <f t="shared" si="2"/>
        <v>228.74519189189218</v>
      </c>
      <c r="G26" s="4">
        <f t="shared" si="3"/>
        <v>400.50826946676551</v>
      </c>
      <c r="H26" s="4">
        <f t="shared" si="3"/>
        <v>130.64489999999984</v>
      </c>
    </row>
    <row r="27" spans="1:8" x14ac:dyDescent="0.25">
      <c r="A27">
        <v>24</v>
      </c>
      <c r="B27" s="6">
        <v>107.03</v>
      </c>
      <c r="C27" s="53">
        <f t="shared" si="4"/>
        <v>102.16</v>
      </c>
      <c r="D27" s="53">
        <f t="shared" si="0"/>
        <v>-20.452702702702737</v>
      </c>
      <c r="E27" s="53">
        <f t="shared" si="1"/>
        <v>-11.47999999999999</v>
      </c>
      <c r="F27" s="4">
        <f t="shared" si="2"/>
        <v>234.79702702702721</v>
      </c>
      <c r="G27" s="4">
        <f t="shared" si="3"/>
        <v>418.31304784514384</v>
      </c>
      <c r="H27" s="4">
        <f t="shared" si="3"/>
        <v>131.79039999999978</v>
      </c>
    </row>
    <row r="28" spans="1:8" x14ac:dyDescent="0.25">
      <c r="A28">
        <v>25</v>
      </c>
      <c r="B28" s="6">
        <v>106.61</v>
      </c>
      <c r="C28" s="53">
        <f t="shared" si="4"/>
        <v>102.06</v>
      </c>
      <c r="D28" s="53">
        <f t="shared" si="0"/>
        <v>-20.872702702702739</v>
      </c>
      <c r="E28" s="53">
        <f t="shared" si="1"/>
        <v>-11.579999999999984</v>
      </c>
      <c r="F28" s="4">
        <f t="shared" si="2"/>
        <v>241.70589729729738</v>
      </c>
      <c r="G28" s="4">
        <f t="shared" si="3"/>
        <v>435.66971811541424</v>
      </c>
      <c r="H28" s="4">
        <f t="shared" si="3"/>
        <v>134.09639999999962</v>
      </c>
    </row>
    <row r="29" spans="1:8" x14ac:dyDescent="0.25">
      <c r="A29">
        <v>26</v>
      </c>
      <c r="B29" s="6">
        <v>106.57</v>
      </c>
      <c r="C29" s="53">
        <f t="shared" si="4"/>
        <v>102.55</v>
      </c>
      <c r="D29" s="53">
        <f t="shared" si="0"/>
        <v>-20.912702702702745</v>
      </c>
      <c r="E29" s="53">
        <f t="shared" si="1"/>
        <v>-11.089999999999989</v>
      </c>
      <c r="F29" s="4">
        <f t="shared" si="2"/>
        <v>231.9218729729732</v>
      </c>
      <c r="G29" s="4">
        <f t="shared" si="3"/>
        <v>437.34113433163071</v>
      </c>
      <c r="H29" s="4">
        <f t="shared" si="3"/>
        <v>122.98809999999976</v>
      </c>
    </row>
    <row r="30" spans="1:8" x14ac:dyDescent="0.25">
      <c r="A30">
        <v>27</v>
      </c>
      <c r="B30" s="6">
        <v>106.49</v>
      </c>
      <c r="C30" s="53">
        <f t="shared" si="4"/>
        <v>104.35</v>
      </c>
      <c r="D30" s="53">
        <f t="shared" si="0"/>
        <v>-20.992702702702744</v>
      </c>
      <c r="E30" s="53">
        <f t="shared" si="1"/>
        <v>-9.289999999999992</v>
      </c>
      <c r="F30" s="4">
        <f t="shared" si="2"/>
        <v>195.02220810810832</v>
      </c>
      <c r="G30" s="4">
        <f t="shared" si="3"/>
        <v>440.69356676406306</v>
      </c>
      <c r="H30" s="4">
        <f t="shared" si="3"/>
        <v>86.304099999999849</v>
      </c>
    </row>
    <row r="31" spans="1:8" x14ac:dyDescent="0.25">
      <c r="A31">
        <v>28</v>
      </c>
      <c r="B31" s="6">
        <v>107.04</v>
      </c>
      <c r="C31" s="53">
        <f t="shared" si="4"/>
        <v>107.57</v>
      </c>
      <c r="D31" s="53">
        <f t="shared" si="0"/>
        <v>-20.442702702702732</v>
      </c>
      <c r="E31" s="53">
        <f t="shared" si="1"/>
        <v>-6.0699999999999932</v>
      </c>
      <c r="F31" s="4">
        <f t="shared" si="2"/>
        <v>124.08720540540544</v>
      </c>
      <c r="G31" s="4">
        <f t="shared" si="3"/>
        <v>417.90409379108957</v>
      </c>
      <c r="H31" s="4">
        <f t="shared" si="3"/>
        <v>36.844899999999917</v>
      </c>
    </row>
    <row r="32" spans="1:8" x14ac:dyDescent="0.25">
      <c r="A32">
        <v>29</v>
      </c>
      <c r="B32" s="6">
        <v>111.35</v>
      </c>
      <c r="C32" s="53">
        <f t="shared" si="4"/>
        <v>111.96</v>
      </c>
      <c r="D32" s="53">
        <f t="shared" si="0"/>
        <v>-16.132702702702744</v>
      </c>
      <c r="E32" s="53">
        <f t="shared" si="1"/>
        <v>-1.6799999999999926</v>
      </c>
      <c r="F32" s="4">
        <f t="shared" si="2"/>
        <v>27.102940540540491</v>
      </c>
      <c r="G32" s="4">
        <f t="shared" si="3"/>
        <v>260.26409649379241</v>
      </c>
      <c r="H32" s="4">
        <f t="shared" si="3"/>
        <v>2.8223999999999752</v>
      </c>
    </row>
    <row r="33" spans="1:8" x14ac:dyDescent="0.25">
      <c r="A33">
        <v>30</v>
      </c>
      <c r="B33" s="6">
        <v>117.54</v>
      </c>
      <c r="C33" s="53">
        <f t="shared" si="4"/>
        <v>115.27</v>
      </c>
      <c r="D33" s="53">
        <f t="shared" si="0"/>
        <v>-9.9427027027027322</v>
      </c>
      <c r="E33" s="53">
        <f t="shared" si="1"/>
        <v>1.6300000000000097</v>
      </c>
      <c r="F33" s="4">
        <f t="shared" si="2"/>
        <v>-16.206605405405551</v>
      </c>
      <c r="G33" s="4">
        <f t="shared" si="3"/>
        <v>98.857337034332218</v>
      </c>
      <c r="H33" s="4">
        <f t="shared" si="3"/>
        <v>2.6569000000000313</v>
      </c>
    </row>
    <row r="34" spans="1:8" x14ac:dyDescent="0.25">
      <c r="A34">
        <v>31</v>
      </c>
      <c r="B34" s="6">
        <v>122.58</v>
      </c>
      <c r="C34" s="53">
        <f t="shared" si="4"/>
        <v>117.17</v>
      </c>
      <c r="D34" s="53">
        <f t="shared" si="0"/>
        <v>-4.9027027027027401</v>
      </c>
      <c r="E34" s="53">
        <f t="shared" si="1"/>
        <v>3.5300000000000153</v>
      </c>
      <c r="F34" s="4">
        <f t="shared" si="2"/>
        <v>-17.306540540540748</v>
      </c>
      <c r="G34" s="4">
        <f t="shared" si="3"/>
        <v>24.036493791088752</v>
      </c>
      <c r="H34" s="4">
        <f t="shared" si="3"/>
        <v>12.460900000000109</v>
      </c>
    </row>
    <row r="35" spans="1:8" x14ac:dyDescent="0.25">
      <c r="A35">
        <v>32</v>
      </c>
      <c r="B35" s="6">
        <v>128.16</v>
      </c>
      <c r="C35" s="53">
        <f t="shared" si="4"/>
        <v>117.61</v>
      </c>
      <c r="D35" s="53">
        <f t="shared" si="0"/>
        <v>0.67729729729725818</v>
      </c>
      <c r="E35" s="53">
        <f t="shared" si="1"/>
        <v>3.9700000000000131</v>
      </c>
      <c r="F35" s="4">
        <f t="shared" si="2"/>
        <v>2.6888702702701237</v>
      </c>
      <c r="G35" s="4">
        <f t="shared" si="3"/>
        <v>0.45873162892617053</v>
      </c>
      <c r="H35" s="4">
        <f t="shared" si="3"/>
        <v>15.760900000000104</v>
      </c>
    </row>
    <row r="36" spans="1:8" x14ac:dyDescent="0.25">
      <c r="A36">
        <v>33</v>
      </c>
      <c r="B36" s="6">
        <v>132.86000000000001</v>
      </c>
      <c r="C36" s="53">
        <f t="shared" si="4"/>
        <v>117.26</v>
      </c>
      <c r="D36" s="53">
        <f t="shared" si="0"/>
        <v>5.3772972972972752</v>
      </c>
      <c r="E36" s="53">
        <f t="shared" si="1"/>
        <v>3.6200000000000188</v>
      </c>
      <c r="F36" s="4">
        <f t="shared" si="2"/>
        <v>19.465816216216236</v>
      </c>
      <c r="G36" s="4">
        <f t="shared" si="3"/>
        <v>28.91532622352058</v>
      </c>
      <c r="H36" s="4">
        <f t="shared" si="3"/>
        <v>13.104400000000135</v>
      </c>
    </row>
    <row r="37" spans="1:8" x14ac:dyDescent="0.25">
      <c r="A37">
        <v>34</v>
      </c>
      <c r="B37" s="6">
        <v>134.91999999999999</v>
      </c>
      <c r="C37" s="53">
        <f t="shared" si="4"/>
        <v>115.88</v>
      </c>
      <c r="D37" s="53">
        <f t="shared" si="0"/>
        <v>7.4372972972972491</v>
      </c>
      <c r="E37" s="53">
        <f t="shared" si="1"/>
        <v>2.2400000000000091</v>
      </c>
      <c r="F37" s="4">
        <f t="shared" si="2"/>
        <v>16.659545945945904</v>
      </c>
      <c r="G37" s="4">
        <f t="shared" si="3"/>
        <v>55.313391088384968</v>
      </c>
      <c r="H37" s="4">
        <f t="shared" si="3"/>
        <v>5.0176000000000407</v>
      </c>
    </row>
    <row r="38" spans="1:8" x14ac:dyDescent="0.25">
      <c r="A38">
        <v>35</v>
      </c>
      <c r="B38" s="6">
        <v>135.69999999999999</v>
      </c>
      <c r="C38" s="53">
        <f t="shared" si="4"/>
        <v>113.35</v>
      </c>
      <c r="D38" s="53">
        <f t="shared" si="0"/>
        <v>8.2172972972972502</v>
      </c>
      <c r="E38" s="53">
        <f t="shared" si="1"/>
        <v>-0.28999999999999204</v>
      </c>
      <c r="F38" s="4">
        <f t="shared" si="2"/>
        <v>-2.383016216216137</v>
      </c>
      <c r="G38" s="4">
        <f t="shared" si="3"/>
        <v>67.523974872168694</v>
      </c>
      <c r="H38" s="4">
        <f t="shared" si="3"/>
        <v>8.4099999999995387E-2</v>
      </c>
    </row>
    <row r="39" spans="1:8" x14ac:dyDescent="0.25">
      <c r="A39">
        <v>36</v>
      </c>
      <c r="B39" s="6">
        <v>136.13999999999999</v>
      </c>
      <c r="C39" s="53">
        <f t="shared" si="4"/>
        <v>111.39</v>
      </c>
      <c r="D39" s="53">
        <f t="shared" si="0"/>
        <v>8.657297297297248</v>
      </c>
      <c r="E39" s="53">
        <f t="shared" si="1"/>
        <v>-2.2499999999999858</v>
      </c>
      <c r="F39" s="4">
        <f t="shared" si="2"/>
        <v>-19.478918918918684</v>
      </c>
      <c r="G39" s="4">
        <f t="shared" si="3"/>
        <v>74.94879649379024</v>
      </c>
      <c r="H39" s="4">
        <f t="shared" si="3"/>
        <v>5.0624999999999361</v>
      </c>
    </row>
    <row r="40" spans="1:8" x14ac:dyDescent="0.25">
      <c r="A40">
        <v>37</v>
      </c>
      <c r="B40" s="6">
        <v>140.15</v>
      </c>
      <c r="C40" s="53">
        <f t="shared" si="4"/>
        <v>109.76</v>
      </c>
      <c r="D40" s="53">
        <f t="shared" si="0"/>
        <v>12.667297297297267</v>
      </c>
      <c r="E40" s="53">
        <f t="shared" si="1"/>
        <v>-3.8799999999999812</v>
      </c>
      <c r="F40" s="4">
        <f t="shared" si="2"/>
        <v>-49.149113513513157</v>
      </c>
      <c r="G40" s="4">
        <f t="shared" ref="G40:H61" si="5">D40*D40</f>
        <v>160.46042081811464</v>
      </c>
      <c r="H40" s="4">
        <f t="shared" si="5"/>
        <v>15.054399999999854</v>
      </c>
    </row>
    <row r="41" spans="1:8" x14ac:dyDescent="0.25">
      <c r="A41">
        <v>38</v>
      </c>
      <c r="B41" s="6">
        <v>140.09</v>
      </c>
      <c r="C41" s="53">
        <f t="shared" si="4"/>
        <v>109.5</v>
      </c>
      <c r="D41" s="53">
        <f t="shared" si="0"/>
        <v>12.607297297297265</v>
      </c>
      <c r="E41" s="53">
        <f t="shared" si="1"/>
        <v>-4.1399999999999864</v>
      </c>
      <c r="F41" s="4">
        <f t="shared" si="2"/>
        <v>-52.194210810810503</v>
      </c>
      <c r="G41" s="4">
        <f t="shared" si="5"/>
        <v>158.94394514243893</v>
      </c>
      <c r="H41" s="4">
        <f t="shared" si="5"/>
        <v>17.139599999999888</v>
      </c>
    </row>
    <row r="42" spans="1:8" x14ac:dyDescent="0.25">
      <c r="A42">
        <v>39</v>
      </c>
      <c r="B42" s="6">
        <v>139.1</v>
      </c>
      <c r="C42" s="53">
        <f t="shared" si="4"/>
        <v>108.86</v>
      </c>
      <c r="D42" s="53">
        <f t="shared" si="0"/>
        <v>11.617297297297256</v>
      </c>
      <c r="E42" s="53">
        <f t="shared" si="1"/>
        <v>-4.7799999999999869</v>
      </c>
      <c r="F42" s="4">
        <f t="shared" si="2"/>
        <v>-55.530681081080729</v>
      </c>
      <c r="G42" s="4">
        <f t="shared" si="5"/>
        <v>134.96159649379013</v>
      </c>
      <c r="H42" s="4">
        <f t="shared" si="5"/>
        <v>22.848399999999874</v>
      </c>
    </row>
    <row r="43" spans="1:8" x14ac:dyDescent="0.25">
      <c r="A43">
        <v>40</v>
      </c>
      <c r="B43" s="6">
        <v>137.5</v>
      </c>
      <c r="C43" s="53">
        <f t="shared" si="4"/>
        <v>108.49</v>
      </c>
      <c r="D43" s="53">
        <f t="shared" si="0"/>
        <v>10.017297297297262</v>
      </c>
      <c r="E43" s="53">
        <f t="shared" si="1"/>
        <v>-5.1499999999999915</v>
      </c>
      <c r="F43" s="4">
        <f t="shared" si="2"/>
        <v>-51.589081081080813</v>
      </c>
      <c r="G43" s="4">
        <f t="shared" si="5"/>
        <v>100.34624514243902</v>
      </c>
      <c r="H43" s="4">
        <f t="shared" si="5"/>
        <v>26.522499999999912</v>
      </c>
    </row>
    <row r="44" spans="1:8" x14ac:dyDescent="0.25">
      <c r="A44">
        <v>41</v>
      </c>
      <c r="B44" s="6">
        <v>136.12</v>
      </c>
      <c r="C44" s="53">
        <f t="shared" si="4"/>
        <v>108.36</v>
      </c>
      <c r="D44" s="53">
        <f t="shared" si="0"/>
        <v>8.6372972972972661</v>
      </c>
      <c r="E44" s="53">
        <f t="shared" si="1"/>
        <v>-5.2799999999999869</v>
      </c>
      <c r="F44" s="4">
        <f t="shared" si="2"/>
        <v>-45.604929729729456</v>
      </c>
      <c r="G44" s="4">
        <f t="shared" si="5"/>
        <v>74.602904601898658</v>
      </c>
      <c r="H44" s="4">
        <f t="shared" si="5"/>
        <v>27.878399999999861</v>
      </c>
    </row>
    <row r="45" spans="1:8" x14ac:dyDescent="0.25">
      <c r="A45">
        <v>42</v>
      </c>
      <c r="B45" s="6">
        <v>135.22</v>
      </c>
      <c r="C45" s="53">
        <f t="shared" si="4"/>
        <v>108.19</v>
      </c>
      <c r="D45" s="53">
        <f t="shared" si="0"/>
        <v>7.7372972972972605</v>
      </c>
      <c r="E45" s="53">
        <f t="shared" si="1"/>
        <v>-5.4499999999999886</v>
      </c>
      <c r="F45" s="4">
        <f t="shared" si="2"/>
        <v>-42.168270270269979</v>
      </c>
      <c r="G45" s="4">
        <f t="shared" si="5"/>
        <v>59.865769466763489</v>
      </c>
      <c r="H45" s="4">
        <f t="shared" si="5"/>
        <v>29.702499999999876</v>
      </c>
    </row>
    <row r="46" spans="1:8" x14ac:dyDescent="0.25">
      <c r="A46">
        <v>43</v>
      </c>
      <c r="B46" s="6">
        <v>134.72999999999999</v>
      </c>
      <c r="C46" s="53">
        <f t="shared" si="4"/>
        <v>107.8</v>
      </c>
      <c r="D46" s="53">
        <f t="shared" si="0"/>
        <v>7.2472972972972514</v>
      </c>
      <c r="E46" s="53">
        <f t="shared" si="1"/>
        <v>-5.8399999999999892</v>
      </c>
      <c r="F46" s="4">
        <f t="shared" si="2"/>
        <v>-42.324216216215866</v>
      </c>
      <c r="G46" s="4">
        <f t="shared" si="5"/>
        <v>52.523318115412046</v>
      </c>
      <c r="H46" s="4">
        <f t="shared" si="5"/>
        <v>34.105599999999875</v>
      </c>
    </row>
    <row r="47" spans="1:8" x14ac:dyDescent="0.25">
      <c r="A47">
        <v>44</v>
      </c>
      <c r="B47" s="6">
        <v>134.38999999999999</v>
      </c>
      <c r="C47" s="53">
        <f t="shared" si="4"/>
        <v>107.47</v>
      </c>
      <c r="D47" s="53">
        <f t="shared" si="0"/>
        <v>6.907297297297248</v>
      </c>
      <c r="E47" s="53">
        <f t="shared" si="1"/>
        <v>-6.1699999999999875</v>
      </c>
      <c r="F47" s="4">
        <f t="shared" si="2"/>
        <v>-42.618024324323933</v>
      </c>
      <c r="G47" s="4">
        <f t="shared" si="5"/>
        <v>47.710755953249866</v>
      </c>
      <c r="H47" s="4">
        <f t="shared" si="5"/>
        <v>38.068899999999843</v>
      </c>
    </row>
    <row r="48" spans="1:8" x14ac:dyDescent="0.25">
      <c r="A48">
        <v>45</v>
      </c>
      <c r="B48" s="6">
        <v>134.51</v>
      </c>
      <c r="C48" s="53">
        <f t="shared" si="4"/>
        <v>107.03</v>
      </c>
      <c r="D48" s="53">
        <f t="shared" si="0"/>
        <v>7.0272972972972525</v>
      </c>
      <c r="E48" s="53">
        <f t="shared" si="1"/>
        <v>-6.6099999999999852</v>
      </c>
      <c r="F48" s="4">
        <f t="shared" si="2"/>
        <v>-46.450435135134732</v>
      </c>
      <c r="G48" s="4">
        <f t="shared" si="5"/>
        <v>49.382907304601268</v>
      </c>
      <c r="H48" s="4">
        <f t="shared" si="5"/>
        <v>43.692099999999805</v>
      </c>
    </row>
    <row r="49" spans="1:8" x14ac:dyDescent="0.25">
      <c r="A49">
        <v>46</v>
      </c>
      <c r="B49" s="6">
        <v>134.46</v>
      </c>
      <c r="C49" s="53">
        <f t="shared" si="4"/>
        <v>106.61</v>
      </c>
      <c r="D49" s="53">
        <f t="shared" si="0"/>
        <v>6.9772972972972696</v>
      </c>
      <c r="E49" s="53">
        <f t="shared" si="1"/>
        <v>-7.0299999999999869</v>
      </c>
      <c r="F49" s="4">
        <f t="shared" si="2"/>
        <v>-49.050399999999712</v>
      </c>
      <c r="G49" s="4">
        <f t="shared" si="5"/>
        <v>48.682677574871782</v>
      </c>
      <c r="H49" s="4">
        <f t="shared" si="5"/>
        <v>49.420899999999818</v>
      </c>
    </row>
    <row r="50" spans="1:8" x14ac:dyDescent="0.25">
      <c r="A50">
        <v>47</v>
      </c>
      <c r="B50" s="6">
        <v>134.27000000000001</v>
      </c>
      <c r="C50" s="53">
        <f t="shared" si="4"/>
        <v>106.57</v>
      </c>
      <c r="D50" s="53">
        <f t="shared" si="0"/>
        <v>6.7872972972972718</v>
      </c>
      <c r="E50" s="53">
        <f t="shared" si="1"/>
        <v>-7.0699999999999932</v>
      </c>
      <c r="F50" s="4">
        <f t="shared" si="2"/>
        <v>-47.986191891891664</v>
      </c>
      <c r="G50" s="4">
        <f t="shared" si="5"/>
        <v>46.067404601898851</v>
      </c>
      <c r="H50" s="4">
        <f t="shared" si="5"/>
        <v>49.984899999999904</v>
      </c>
    </row>
    <row r="51" spans="1:8" x14ac:dyDescent="0.25">
      <c r="A51">
        <v>48</v>
      </c>
      <c r="B51" s="6">
        <v>133.72999999999999</v>
      </c>
      <c r="C51" s="53">
        <f t="shared" si="4"/>
        <v>106.49</v>
      </c>
      <c r="D51" s="53">
        <f t="shared" si="0"/>
        <v>6.2472972972972514</v>
      </c>
      <c r="E51" s="53">
        <f t="shared" si="1"/>
        <v>-7.1499999999999915</v>
      </c>
      <c r="F51" s="4">
        <f t="shared" si="2"/>
        <v>-44.668175675675293</v>
      </c>
      <c r="G51" s="4">
        <f t="shared" si="5"/>
        <v>39.028723520817543</v>
      </c>
      <c r="H51" s="4">
        <f t="shared" si="5"/>
        <v>51.122499999999881</v>
      </c>
    </row>
    <row r="52" spans="1:8" x14ac:dyDescent="0.25">
      <c r="A52">
        <v>49</v>
      </c>
      <c r="B52" s="6">
        <v>132.01</v>
      </c>
      <c r="C52" s="53">
        <f t="shared" si="4"/>
        <v>107.04</v>
      </c>
      <c r="D52" s="53">
        <f t="shared" si="0"/>
        <v>4.5272972972972525</v>
      </c>
      <c r="E52" s="53">
        <f t="shared" si="1"/>
        <v>-6.5999999999999801</v>
      </c>
      <c r="F52" s="4">
        <f t="shared" si="2"/>
        <v>-29.880162162161778</v>
      </c>
      <c r="G52" s="4">
        <f t="shared" si="5"/>
        <v>20.496420818115006</v>
      </c>
      <c r="H52" s="4">
        <f t="shared" si="5"/>
        <v>43.559999999999739</v>
      </c>
    </row>
    <row r="53" spans="1:8" x14ac:dyDescent="0.25">
      <c r="A53">
        <v>50</v>
      </c>
      <c r="B53" s="6">
        <v>130.59</v>
      </c>
      <c r="C53" s="53">
        <f t="shared" si="4"/>
        <v>111.35</v>
      </c>
      <c r="D53" s="53">
        <f t="shared" si="0"/>
        <v>3.107297297297265</v>
      </c>
      <c r="E53" s="53">
        <f t="shared" si="1"/>
        <v>-2.289999999999992</v>
      </c>
      <c r="F53" s="4">
        <f t="shared" si="2"/>
        <v>-7.1157108108107119</v>
      </c>
      <c r="G53" s="4">
        <f t="shared" si="5"/>
        <v>9.6552964937908872</v>
      </c>
      <c r="H53" s="4">
        <f t="shared" si="5"/>
        <v>5.2440999999999631</v>
      </c>
    </row>
    <row r="54" spans="1:8" x14ac:dyDescent="0.25">
      <c r="A54">
        <v>51</v>
      </c>
      <c r="B54" s="6">
        <v>130.28</v>
      </c>
      <c r="C54" s="53">
        <f t="shared" si="4"/>
        <v>117.54</v>
      </c>
      <c r="D54" s="53">
        <f t="shared" si="0"/>
        <v>2.7972972972972627</v>
      </c>
      <c r="E54" s="53">
        <f t="shared" si="1"/>
        <v>3.9000000000000199</v>
      </c>
      <c r="F54" s="4">
        <f t="shared" si="2"/>
        <v>10.909459459459381</v>
      </c>
      <c r="G54" s="4">
        <f t="shared" si="5"/>
        <v>7.8248721694665706</v>
      </c>
      <c r="H54" s="4">
        <f t="shared" si="5"/>
        <v>15.210000000000155</v>
      </c>
    </row>
    <row r="55" spans="1:8" x14ac:dyDescent="0.25">
      <c r="A55">
        <v>52</v>
      </c>
      <c r="B55" s="6">
        <v>129.16</v>
      </c>
      <c r="C55" s="53">
        <f t="shared" si="4"/>
        <v>122.58</v>
      </c>
      <c r="D55" s="53">
        <f t="shared" si="0"/>
        <v>1.6772972972972582</v>
      </c>
      <c r="E55" s="53">
        <f t="shared" si="1"/>
        <v>8.9400000000000119</v>
      </c>
      <c r="F55" s="4">
        <f t="shared" si="2"/>
        <v>14.995037837837508</v>
      </c>
      <c r="G55" s="4">
        <f t="shared" si="5"/>
        <v>2.8133262235206868</v>
      </c>
      <c r="H55" s="4">
        <f t="shared" si="5"/>
        <v>79.923600000000206</v>
      </c>
    </row>
    <row r="56" spans="1:8" x14ac:dyDescent="0.25">
      <c r="A56">
        <v>53</v>
      </c>
      <c r="B56" s="6">
        <v>128.94</v>
      </c>
      <c r="C56" s="53">
        <f t="shared" si="4"/>
        <v>128.16</v>
      </c>
      <c r="D56" s="53">
        <f t="shared" si="0"/>
        <v>1.4572972972972593</v>
      </c>
      <c r="E56" s="53">
        <f t="shared" si="1"/>
        <v>14.52000000000001</v>
      </c>
      <c r="F56" s="4">
        <f t="shared" si="2"/>
        <v>21.15995675675622</v>
      </c>
      <c r="G56" s="4">
        <f t="shared" si="5"/>
        <v>2.1237154127098967</v>
      </c>
      <c r="H56" s="4">
        <f t="shared" si="5"/>
        <v>210.83040000000031</v>
      </c>
    </row>
    <row r="57" spans="1:8" x14ac:dyDescent="0.25">
      <c r="A57">
        <v>54</v>
      </c>
      <c r="B57" s="6">
        <v>129.30000000000001</v>
      </c>
      <c r="C57" s="53">
        <f t="shared" si="4"/>
        <v>132.86000000000001</v>
      </c>
      <c r="D57" s="53">
        <f t="shared" si="0"/>
        <v>1.817297297297273</v>
      </c>
      <c r="E57" s="53">
        <f t="shared" si="1"/>
        <v>19.220000000000027</v>
      </c>
      <c r="F57" s="4">
        <f t="shared" si="2"/>
        <v>34.928454054053638</v>
      </c>
      <c r="G57" s="4">
        <f t="shared" si="5"/>
        <v>3.3025694667639729</v>
      </c>
      <c r="H57" s="4">
        <f t="shared" si="5"/>
        <v>369.40840000000105</v>
      </c>
    </row>
    <row r="58" spans="1:8" x14ac:dyDescent="0.25">
      <c r="A58">
        <v>55</v>
      </c>
      <c r="B58" s="6">
        <v>131.22</v>
      </c>
      <c r="C58" s="53">
        <f t="shared" si="4"/>
        <v>134.91999999999999</v>
      </c>
      <c r="D58" s="53">
        <f t="shared" si="0"/>
        <v>3.7372972972972605</v>
      </c>
      <c r="E58" s="53">
        <f t="shared" si="1"/>
        <v>21.28</v>
      </c>
      <c r="F58" s="4">
        <f t="shared" si="2"/>
        <v>79.529686486485701</v>
      </c>
      <c r="G58" s="4">
        <f t="shared" si="5"/>
        <v>13.967391088385408</v>
      </c>
      <c r="H58" s="4">
        <f t="shared" si="5"/>
        <v>452.83840000000004</v>
      </c>
    </row>
    <row r="59" spans="1:8" x14ac:dyDescent="0.25">
      <c r="A59">
        <v>56</v>
      </c>
      <c r="B59" s="6">
        <v>132.52000000000001</v>
      </c>
      <c r="C59" s="53">
        <f t="shared" si="4"/>
        <v>135.69999999999999</v>
      </c>
      <c r="D59" s="53">
        <f t="shared" si="0"/>
        <v>5.0372972972972718</v>
      </c>
      <c r="E59" s="53">
        <f t="shared" si="1"/>
        <v>22.060000000000002</v>
      </c>
      <c r="F59" s="4">
        <f t="shared" si="2"/>
        <v>111.12277837837783</v>
      </c>
      <c r="G59" s="4">
        <f t="shared" si="5"/>
        <v>25.374364061358399</v>
      </c>
      <c r="H59" s="4">
        <f t="shared" si="5"/>
        <v>486.64360000000011</v>
      </c>
    </row>
    <row r="60" spans="1:8" x14ac:dyDescent="0.25">
      <c r="A60">
        <v>57</v>
      </c>
      <c r="B60" s="6">
        <v>134.25</v>
      </c>
      <c r="C60" s="53">
        <f t="shared" si="4"/>
        <v>136.13999999999999</v>
      </c>
      <c r="D60" s="53">
        <f t="shared" si="0"/>
        <v>6.7672972972972616</v>
      </c>
      <c r="E60" s="53">
        <f t="shared" si="1"/>
        <v>22.5</v>
      </c>
      <c r="F60" s="4">
        <f t="shared" si="2"/>
        <v>152.26418918918839</v>
      </c>
      <c r="G60" s="4">
        <f t="shared" si="5"/>
        <v>45.796312710006823</v>
      </c>
      <c r="H60" s="4">
        <f t="shared" si="5"/>
        <v>506.25</v>
      </c>
    </row>
    <row r="61" spans="1:8" x14ac:dyDescent="0.25">
      <c r="A61">
        <v>58</v>
      </c>
      <c r="B61" s="6">
        <v>136.06</v>
      </c>
      <c r="C61" s="53">
        <f t="shared" si="4"/>
        <v>140.15</v>
      </c>
      <c r="D61" s="53">
        <f t="shared" si="0"/>
        <v>8.5772972972972639</v>
      </c>
      <c r="E61" s="53">
        <f t="shared" si="1"/>
        <v>26.510000000000019</v>
      </c>
      <c r="F61" s="4">
        <f t="shared" si="2"/>
        <v>227.38415135135062</v>
      </c>
      <c r="G61" s="4">
        <f t="shared" si="5"/>
        <v>73.570028926222946</v>
      </c>
      <c r="H61" s="4">
        <f t="shared" si="5"/>
        <v>702.78010000000097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4204.6799999999994</v>
      </c>
      <c r="D62" s="39">
        <f t="shared" si="6"/>
        <v>-1.3926637620897964E-12</v>
      </c>
      <c r="E62" s="39">
        <f t="shared" si="6"/>
        <v>4.4053649617126212E-13</v>
      </c>
      <c r="F62" s="39">
        <f t="shared" si="6"/>
        <v>1535.5938000000006</v>
      </c>
      <c r="G62" s="39">
        <f t="shared" si="6"/>
        <v>4725.657729729729</v>
      </c>
      <c r="H62" s="39">
        <f t="shared" si="6"/>
        <v>4106.0101999999997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113.63999999999999</v>
      </c>
    </row>
    <row r="65" spans="1:2" ht="18" x14ac:dyDescent="0.35">
      <c r="A65" t="s">
        <v>256</v>
      </c>
      <c r="B65" s="39">
        <f>SUM(B25:B61)/37</f>
        <v>127.48270270270274</v>
      </c>
    </row>
    <row r="66" spans="1:2" ht="18" x14ac:dyDescent="0.35">
      <c r="A66" t="s">
        <v>257</v>
      </c>
      <c r="B66">
        <f>SUM(C25:C61)/37</f>
        <v>113.63999999999999</v>
      </c>
    </row>
    <row r="68" spans="1:2" ht="18" x14ac:dyDescent="0.35">
      <c r="A68" t="s">
        <v>258</v>
      </c>
      <c r="B68">
        <f>F62/SQRT(G62*H62)</f>
        <v>0.34860627990520621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B71" sqref="B71"/>
    </sheetView>
  </sheetViews>
  <sheetFormatPr defaultRowHeight="15" x14ac:dyDescent="0.25"/>
  <cols>
    <col min="6" max="6" width="17.710937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259</v>
      </c>
      <c r="D3" s="45" t="s">
        <v>260</v>
      </c>
      <c r="E3" s="45" t="s">
        <v>261</v>
      </c>
      <c r="F3" s="46" t="s">
        <v>262</v>
      </c>
      <c r="G3" s="45" t="s">
        <v>264</v>
      </c>
      <c r="H3" s="45" t="s">
        <v>265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>
        <v>22</v>
      </c>
      <c r="B25" s="6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>
        <v>23</v>
      </c>
      <c r="B26" s="6">
        <v>107.47</v>
      </c>
      <c r="C26" s="53">
        <f>B4</f>
        <v>102.32</v>
      </c>
      <c r="D26" s="53">
        <f t="shared" ref="D26:D61" si="0">B26-$B$65</f>
        <v>-20.559444444444495</v>
      </c>
      <c r="E26" s="53">
        <f t="shared" ref="E26:E61" si="1">C26-$B$66</f>
        <v>-10.583611111111111</v>
      </c>
      <c r="F26" s="4">
        <f t="shared" ref="F26:F61" si="2">D26*E26</f>
        <v>217.59316466049435</v>
      </c>
      <c r="G26" s="4">
        <f t="shared" ref="G26:H40" si="3">D26*D26</f>
        <v>422.69075586419962</v>
      </c>
      <c r="H26" s="4">
        <f t="shared" si="3"/>
        <v>112.01282415123457</v>
      </c>
    </row>
    <row r="27" spans="1:8" x14ac:dyDescent="0.25">
      <c r="A27">
        <v>24</v>
      </c>
      <c r="B27" s="6">
        <v>107.03</v>
      </c>
      <c r="C27" s="53">
        <f t="shared" ref="C27:C61" si="4">B5</f>
        <v>102.21</v>
      </c>
      <c r="D27" s="53">
        <f t="shared" si="0"/>
        <v>-20.999444444444492</v>
      </c>
      <c r="E27" s="53">
        <f t="shared" si="1"/>
        <v>-10.69361111111111</v>
      </c>
      <c r="F27" s="4">
        <f t="shared" si="2"/>
        <v>224.5598924382721</v>
      </c>
      <c r="G27" s="4">
        <f t="shared" si="3"/>
        <v>440.97666697531065</v>
      </c>
      <c r="H27" s="4">
        <f t="shared" si="3"/>
        <v>114.353318595679</v>
      </c>
    </row>
    <row r="28" spans="1:8" x14ac:dyDescent="0.25">
      <c r="A28">
        <v>25</v>
      </c>
      <c r="B28" s="6">
        <v>106.61</v>
      </c>
      <c r="C28" s="53">
        <f t="shared" si="4"/>
        <v>102.16</v>
      </c>
      <c r="D28" s="53">
        <f t="shared" si="0"/>
        <v>-21.419444444444494</v>
      </c>
      <c r="E28" s="53">
        <f t="shared" si="1"/>
        <v>-10.743611111111107</v>
      </c>
      <c r="F28" s="4">
        <f t="shared" si="2"/>
        <v>230.12218132716094</v>
      </c>
      <c r="G28" s="4">
        <f t="shared" si="3"/>
        <v>458.79260030864413</v>
      </c>
      <c r="H28" s="4">
        <f t="shared" si="3"/>
        <v>115.42517970679005</v>
      </c>
    </row>
    <row r="29" spans="1:8" x14ac:dyDescent="0.25">
      <c r="A29">
        <v>26</v>
      </c>
      <c r="B29" s="6">
        <v>106.57</v>
      </c>
      <c r="C29" s="53">
        <f t="shared" si="4"/>
        <v>102.06</v>
      </c>
      <c r="D29" s="53">
        <f t="shared" si="0"/>
        <v>-21.4594444444445</v>
      </c>
      <c r="E29" s="53">
        <f t="shared" si="1"/>
        <v>-10.843611111111102</v>
      </c>
      <c r="F29" s="4">
        <f t="shared" si="2"/>
        <v>232.69787021604978</v>
      </c>
      <c r="G29" s="4">
        <f t="shared" si="3"/>
        <v>460.50775586419991</v>
      </c>
      <c r="H29" s="4">
        <f t="shared" si="3"/>
        <v>117.58390192901214</v>
      </c>
    </row>
    <row r="30" spans="1:8" x14ac:dyDescent="0.25">
      <c r="A30">
        <v>27</v>
      </c>
      <c r="B30" s="6">
        <v>106.49</v>
      </c>
      <c r="C30" s="53">
        <f t="shared" si="4"/>
        <v>102.55</v>
      </c>
      <c r="D30" s="53">
        <f t="shared" si="0"/>
        <v>-21.539444444444499</v>
      </c>
      <c r="E30" s="53">
        <f t="shared" si="1"/>
        <v>-10.353611111111107</v>
      </c>
      <c r="F30" s="4">
        <f t="shared" si="2"/>
        <v>223.01103132716096</v>
      </c>
      <c r="G30" s="4">
        <f t="shared" si="3"/>
        <v>463.94766697531099</v>
      </c>
      <c r="H30" s="4">
        <f t="shared" si="3"/>
        <v>107.19726304012337</v>
      </c>
    </row>
    <row r="31" spans="1:8" x14ac:dyDescent="0.25">
      <c r="A31">
        <v>28</v>
      </c>
      <c r="B31" s="6">
        <v>107.04</v>
      </c>
      <c r="C31" s="53">
        <f t="shared" si="4"/>
        <v>104.35</v>
      </c>
      <c r="D31" s="53">
        <f t="shared" si="0"/>
        <v>-20.989444444444487</v>
      </c>
      <c r="E31" s="53">
        <f t="shared" si="1"/>
        <v>-8.5536111111111097</v>
      </c>
      <c r="F31" s="4">
        <f t="shared" si="2"/>
        <v>179.53554521604971</v>
      </c>
      <c r="G31" s="4">
        <f t="shared" si="3"/>
        <v>440.55677808642156</v>
      </c>
      <c r="H31" s="4">
        <f t="shared" si="3"/>
        <v>73.16426304012343</v>
      </c>
    </row>
    <row r="32" spans="1:8" x14ac:dyDescent="0.25">
      <c r="A32">
        <v>29</v>
      </c>
      <c r="B32" s="6">
        <v>111.35</v>
      </c>
      <c r="C32" s="53">
        <f t="shared" si="4"/>
        <v>107.57</v>
      </c>
      <c r="D32" s="53">
        <f t="shared" si="0"/>
        <v>-16.679444444444499</v>
      </c>
      <c r="E32" s="53">
        <f t="shared" si="1"/>
        <v>-5.3336111111111109</v>
      </c>
      <c r="F32" s="4">
        <f t="shared" si="2"/>
        <v>88.961670216049669</v>
      </c>
      <c r="G32" s="4">
        <f t="shared" si="3"/>
        <v>278.20386697531046</v>
      </c>
      <c r="H32" s="4">
        <f t="shared" si="3"/>
        <v>28.447407484567897</v>
      </c>
    </row>
    <row r="33" spans="1:8" x14ac:dyDescent="0.25">
      <c r="A33">
        <v>30</v>
      </c>
      <c r="B33" s="6">
        <v>117.54</v>
      </c>
      <c r="C33" s="53">
        <f t="shared" si="4"/>
        <v>111.96</v>
      </c>
      <c r="D33" s="53">
        <f t="shared" si="0"/>
        <v>-10.489444444444487</v>
      </c>
      <c r="E33" s="53">
        <f t="shared" si="1"/>
        <v>-0.94361111111111029</v>
      </c>
      <c r="F33" s="4">
        <f t="shared" si="2"/>
        <v>9.8979563271605251</v>
      </c>
      <c r="G33" s="4">
        <f t="shared" si="3"/>
        <v>110.02844475308731</v>
      </c>
      <c r="H33" s="4">
        <f t="shared" si="3"/>
        <v>0.89040192901234416</v>
      </c>
    </row>
    <row r="34" spans="1:8" x14ac:dyDescent="0.25">
      <c r="A34">
        <v>31</v>
      </c>
      <c r="B34" s="6">
        <v>122.58</v>
      </c>
      <c r="C34" s="53">
        <f t="shared" si="4"/>
        <v>115.27</v>
      </c>
      <c r="D34" s="53">
        <f t="shared" si="0"/>
        <v>-5.4494444444444952</v>
      </c>
      <c r="E34" s="53">
        <f t="shared" si="1"/>
        <v>2.366388888888892</v>
      </c>
      <c r="F34" s="4">
        <f t="shared" si="2"/>
        <v>-12.895504783950754</v>
      </c>
      <c r="G34" s="4">
        <f t="shared" si="3"/>
        <v>29.696444753086972</v>
      </c>
      <c r="H34" s="4">
        <f t="shared" si="3"/>
        <v>5.5997963734568046</v>
      </c>
    </row>
    <row r="35" spans="1:8" x14ac:dyDescent="0.25">
      <c r="A35">
        <v>32</v>
      </c>
      <c r="B35" s="6">
        <v>128.16</v>
      </c>
      <c r="C35" s="53">
        <f t="shared" si="4"/>
        <v>117.17</v>
      </c>
      <c r="D35" s="53">
        <f t="shared" si="0"/>
        <v>0.13055555555550313</v>
      </c>
      <c r="E35" s="53">
        <f t="shared" si="1"/>
        <v>4.2663888888888977</v>
      </c>
      <c r="F35" s="4">
        <f t="shared" si="2"/>
        <v>0.55700077160471573</v>
      </c>
      <c r="G35" s="4">
        <f t="shared" si="3"/>
        <v>1.7044753086406066E-2</v>
      </c>
      <c r="H35" s="4">
        <f t="shared" si="3"/>
        <v>18.202074151234644</v>
      </c>
    </row>
    <row r="36" spans="1:8" x14ac:dyDescent="0.25">
      <c r="A36">
        <v>33</v>
      </c>
      <c r="B36" s="6">
        <v>132.86000000000001</v>
      </c>
      <c r="C36" s="53">
        <f t="shared" si="4"/>
        <v>117.61</v>
      </c>
      <c r="D36" s="53">
        <f t="shared" si="0"/>
        <v>4.8305555555555202</v>
      </c>
      <c r="E36" s="53">
        <f t="shared" si="1"/>
        <v>4.7063888888888954</v>
      </c>
      <c r="F36" s="4">
        <f t="shared" si="2"/>
        <v>22.734472993827026</v>
      </c>
      <c r="G36" s="4">
        <f t="shared" si="3"/>
        <v>23.334266975308299</v>
      </c>
      <c r="H36" s="4">
        <f t="shared" si="3"/>
        <v>22.150096373456851</v>
      </c>
    </row>
    <row r="37" spans="1:8" x14ac:dyDescent="0.25">
      <c r="A37">
        <v>34</v>
      </c>
      <c r="B37" s="6">
        <v>134.91999999999999</v>
      </c>
      <c r="C37" s="53">
        <f t="shared" si="4"/>
        <v>117.26</v>
      </c>
      <c r="D37" s="53">
        <f t="shared" si="0"/>
        <v>6.890555555555494</v>
      </c>
      <c r="E37" s="53">
        <f t="shared" si="1"/>
        <v>4.3563888888889011</v>
      </c>
      <c r="F37" s="4">
        <f t="shared" si="2"/>
        <v>30.017939660493642</v>
      </c>
      <c r="G37" s="4">
        <f t="shared" si="3"/>
        <v>47.479755864196683</v>
      </c>
      <c r="H37" s="4">
        <f t="shared" si="3"/>
        <v>18.978124151234674</v>
      </c>
    </row>
    <row r="38" spans="1:8" x14ac:dyDescent="0.25">
      <c r="A38">
        <v>35</v>
      </c>
      <c r="B38" s="6">
        <v>135.69999999999999</v>
      </c>
      <c r="C38" s="53">
        <f t="shared" si="4"/>
        <v>115.88</v>
      </c>
      <c r="D38" s="53">
        <f t="shared" si="0"/>
        <v>7.6705555555554952</v>
      </c>
      <c r="E38" s="53">
        <f t="shared" si="1"/>
        <v>2.9763888888888914</v>
      </c>
      <c r="F38" s="4">
        <f t="shared" si="2"/>
        <v>22.830556327160334</v>
      </c>
      <c r="G38" s="4">
        <f t="shared" si="3"/>
        <v>58.837422530863272</v>
      </c>
      <c r="H38" s="4">
        <f t="shared" si="3"/>
        <v>8.8588908179012495</v>
      </c>
    </row>
    <row r="39" spans="1:8" x14ac:dyDescent="0.25">
      <c r="A39">
        <v>36</v>
      </c>
      <c r="B39" s="6">
        <v>136.13999999999999</v>
      </c>
      <c r="C39" s="53">
        <f t="shared" si="4"/>
        <v>113.35</v>
      </c>
      <c r="D39" s="53">
        <f t="shared" si="0"/>
        <v>8.1105555555554929</v>
      </c>
      <c r="E39" s="53">
        <f t="shared" si="1"/>
        <v>0.44638888888889028</v>
      </c>
      <c r="F39" s="4">
        <f t="shared" si="2"/>
        <v>3.6204618827160329</v>
      </c>
      <c r="G39" s="4">
        <f t="shared" si="3"/>
        <v>65.781111419752065</v>
      </c>
      <c r="H39" s="4">
        <f t="shared" si="3"/>
        <v>0.19926304012345802</v>
      </c>
    </row>
    <row r="40" spans="1:8" x14ac:dyDescent="0.25">
      <c r="A40">
        <v>37</v>
      </c>
      <c r="B40" s="6">
        <v>140.15</v>
      </c>
      <c r="C40" s="53">
        <f t="shared" si="4"/>
        <v>111.39</v>
      </c>
      <c r="D40" s="53">
        <f t="shared" si="0"/>
        <v>12.120555555555512</v>
      </c>
      <c r="E40" s="53">
        <f t="shared" si="1"/>
        <v>-1.5136111111111035</v>
      </c>
      <c r="F40" s="4">
        <f t="shared" si="2"/>
        <v>-18.345807561728236</v>
      </c>
      <c r="G40" s="4">
        <f t="shared" si="3"/>
        <v>146.9078669753076</v>
      </c>
      <c r="H40" s="4">
        <f t="shared" si="3"/>
        <v>2.291018595678989</v>
      </c>
    </row>
    <row r="41" spans="1:8" x14ac:dyDescent="0.25">
      <c r="A41">
        <v>38</v>
      </c>
      <c r="B41" s="6">
        <v>140.09</v>
      </c>
      <c r="C41" s="53">
        <f t="shared" si="4"/>
        <v>109.76</v>
      </c>
      <c r="D41" s="53">
        <f t="shared" si="0"/>
        <v>12.06055555555551</v>
      </c>
      <c r="E41" s="53">
        <f t="shared" si="1"/>
        <v>-3.1436111111110989</v>
      </c>
      <c r="F41" s="4">
        <f t="shared" si="2"/>
        <v>-37.913696450616996</v>
      </c>
      <c r="G41" s="4">
        <f t="shared" ref="G41:H61" si="5">D41*D41</f>
        <v>145.45700030864089</v>
      </c>
      <c r="H41" s="4">
        <f t="shared" si="5"/>
        <v>9.8822908179011577</v>
      </c>
    </row>
    <row r="42" spans="1:8" x14ac:dyDescent="0.25">
      <c r="A42">
        <v>39</v>
      </c>
      <c r="B42" s="6">
        <v>139.1</v>
      </c>
      <c r="C42" s="53">
        <f t="shared" si="4"/>
        <v>109.5</v>
      </c>
      <c r="D42" s="53">
        <f t="shared" si="0"/>
        <v>11.070555555555501</v>
      </c>
      <c r="E42" s="53">
        <f t="shared" si="1"/>
        <v>-3.403611111111104</v>
      </c>
      <c r="F42" s="4">
        <f t="shared" si="2"/>
        <v>-37.679865895061461</v>
      </c>
      <c r="G42" s="4">
        <f t="shared" si="5"/>
        <v>122.55720030864076</v>
      </c>
      <c r="H42" s="4">
        <f t="shared" si="5"/>
        <v>11.584568595678965</v>
      </c>
    </row>
    <row r="43" spans="1:8" x14ac:dyDescent="0.25">
      <c r="A43">
        <v>40</v>
      </c>
      <c r="B43" s="6">
        <v>137.5</v>
      </c>
      <c r="C43" s="53">
        <f t="shared" si="4"/>
        <v>108.86</v>
      </c>
      <c r="D43" s="53">
        <f t="shared" si="0"/>
        <v>9.4705555555555065</v>
      </c>
      <c r="E43" s="53">
        <f t="shared" si="1"/>
        <v>-4.0436111111111046</v>
      </c>
      <c r="F43" s="4">
        <f t="shared" si="2"/>
        <v>-38.295243672839248</v>
      </c>
      <c r="G43" s="4">
        <f t="shared" si="5"/>
        <v>89.691422530863264</v>
      </c>
      <c r="H43" s="4">
        <f t="shared" si="5"/>
        <v>16.350790817901181</v>
      </c>
    </row>
    <row r="44" spans="1:8" x14ac:dyDescent="0.25">
      <c r="A44">
        <v>41</v>
      </c>
      <c r="B44" s="6">
        <v>136.12</v>
      </c>
      <c r="C44" s="53">
        <f t="shared" si="4"/>
        <v>108.49</v>
      </c>
      <c r="D44" s="53">
        <f t="shared" si="0"/>
        <v>8.0905555555555111</v>
      </c>
      <c r="E44" s="53">
        <f t="shared" si="1"/>
        <v>-4.4136111111111092</v>
      </c>
      <c r="F44" s="4">
        <f t="shared" si="2"/>
        <v>-35.708565895061518</v>
      </c>
      <c r="G44" s="4">
        <f t="shared" si="5"/>
        <v>65.457089197530138</v>
      </c>
      <c r="H44" s="4">
        <f t="shared" si="5"/>
        <v>19.47996304012344</v>
      </c>
    </row>
    <row r="45" spans="1:8" x14ac:dyDescent="0.25">
      <c r="A45">
        <v>42</v>
      </c>
      <c r="B45" s="6">
        <v>135.22</v>
      </c>
      <c r="C45" s="53">
        <f t="shared" si="4"/>
        <v>108.36</v>
      </c>
      <c r="D45" s="53">
        <f t="shared" si="0"/>
        <v>7.1905555555555054</v>
      </c>
      <c r="E45" s="53">
        <f t="shared" si="1"/>
        <v>-4.5436111111111046</v>
      </c>
      <c r="F45" s="4">
        <f t="shared" si="2"/>
        <v>-32.671088117283674</v>
      </c>
      <c r="G45" s="4">
        <f t="shared" si="5"/>
        <v>51.704089197530145</v>
      </c>
      <c r="H45" s="4">
        <f t="shared" si="5"/>
        <v>20.644401929012286</v>
      </c>
    </row>
    <row r="46" spans="1:8" x14ac:dyDescent="0.25">
      <c r="A46">
        <v>43</v>
      </c>
      <c r="B46" s="6">
        <v>134.72999999999999</v>
      </c>
      <c r="C46" s="53">
        <f t="shared" si="4"/>
        <v>108.19</v>
      </c>
      <c r="D46" s="53">
        <f t="shared" si="0"/>
        <v>6.7005555555554963</v>
      </c>
      <c r="E46" s="53">
        <f t="shared" si="1"/>
        <v>-4.7136111111111063</v>
      </c>
      <c r="F46" s="4">
        <f t="shared" si="2"/>
        <v>-31.58381311728364</v>
      </c>
      <c r="G46" s="4">
        <f t="shared" si="5"/>
        <v>44.897444753085622</v>
      </c>
      <c r="H46" s="4">
        <f t="shared" si="5"/>
        <v>22.218129706790076</v>
      </c>
    </row>
    <row r="47" spans="1:8" x14ac:dyDescent="0.25">
      <c r="A47">
        <v>44</v>
      </c>
      <c r="B47" s="6">
        <v>134.38999999999999</v>
      </c>
      <c r="C47" s="53">
        <f t="shared" si="4"/>
        <v>107.8</v>
      </c>
      <c r="D47" s="53">
        <f t="shared" si="0"/>
        <v>6.3605555555554929</v>
      </c>
      <c r="E47" s="53">
        <f t="shared" si="1"/>
        <v>-5.1036111111111069</v>
      </c>
      <c r="F47" s="4">
        <f t="shared" si="2"/>
        <v>-32.461802006172491</v>
      </c>
      <c r="G47" s="4">
        <f t="shared" si="5"/>
        <v>40.456666975307847</v>
      </c>
      <c r="H47" s="4">
        <f t="shared" si="5"/>
        <v>26.046846373456749</v>
      </c>
    </row>
    <row r="48" spans="1:8" x14ac:dyDescent="0.25">
      <c r="A48">
        <v>45</v>
      </c>
      <c r="B48" s="6">
        <v>134.51</v>
      </c>
      <c r="C48" s="53">
        <f t="shared" si="4"/>
        <v>107.47</v>
      </c>
      <c r="D48" s="53">
        <f t="shared" si="0"/>
        <v>6.4805555555554974</v>
      </c>
      <c r="E48" s="53">
        <f t="shared" si="1"/>
        <v>-5.4336111111111052</v>
      </c>
      <c r="F48" s="4">
        <f t="shared" si="2"/>
        <v>-35.212818672839155</v>
      </c>
      <c r="G48" s="4">
        <f t="shared" si="5"/>
        <v>41.997600308641225</v>
      </c>
      <c r="H48" s="4">
        <f t="shared" si="5"/>
        <v>29.52412970679006</v>
      </c>
    </row>
    <row r="49" spans="1:8" x14ac:dyDescent="0.25">
      <c r="A49">
        <v>46</v>
      </c>
      <c r="B49" s="6">
        <v>134.46</v>
      </c>
      <c r="C49" s="53">
        <f t="shared" si="4"/>
        <v>107.03</v>
      </c>
      <c r="D49" s="53">
        <f t="shared" si="0"/>
        <v>6.4305555555555145</v>
      </c>
      <c r="E49" s="53">
        <f t="shared" si="1"/>
        <v>-5.8736111111111029</v>
      </c>
      <c r="F49" s="4">
        <f t="shared" si="2"/>
        <v>-37.770582561728098</v>
      </c>
      <c r="G49" s="4">
        <f t="shared" si="5"/>
        <v>41.352044753085892</v>
      </c>
      <c r="H49" s="4">
        <f t="shared" si="5"/>
        <v>34.499307484567808</v>
      </c>
    </row>
    <row r="50" spans="1:8" x14ac:dyDescent="0.25">
      <c r="A50">
        <v>47</v>
      </c>
      <c r="B50" s="6">
        <v>134.27000000000001</v>
      </c>
      <c r="C50" s="53">
        <f t="shared" si="4"/>
        <v>106.61</v>
      </c>
      <c r="D50" s="53">
        <f t="shared" si="0"/>
        <v>6.2405555555555168</v>
      </c>
      <c r="E50" s="53">
        <f t="shared" si="1"/>
        <v>-6.2936111111111046</v>
      </c>
      <c r="F50" s="4">
        <f t="shared" si="2"/>
        <v>-39.275629783950336</v>
      </c>
      <c r="G50" s="4">
        <f t="shared" si="5"/>
        <v>38.944533641974822</v>
      </c>
      <c r="H50" s="4">
        <f t="shared" si="5"/>
        <v>39.609540817901156</v>
      </c>
    </row>
    <row r="51" spans="1:8" x14ac:dyDescent="0.25">
      <c r="A51">
        <v>48</v>
      </c>
      <c r="B51" s="6">
        <v>133.72999999999999</v>
      </c>
      <c r="C51" s="53">
        <f t="shared" si="4"/>
        <v>106.57</v>
      </c>
      <c r="D51" s="53">
        <f t="shared" si="0"/>
        <v>5.7005555555554963</v>
      </c>
      <c r="E51" s="53">
        <f t="shared" si="1"/>
        <v>-6.3336111111111109</v>
      </c>
      <c r="F51" s="4">
        <f t="shared" si="2"/>
        <v>-36.105102006172466</v>
      </c>
      <c r="G51" s="4">
        <f t="shared" si="5"/>
        <v>32.49633364197463</v>
      </c>
      <c r="H51" s="4">
        <f t="shared" si="5"/>
        <v>40.114629706790119</v>
      </c>
    </row>
    <row r="52" spans="1:8" x14ac:dyDescent="0.25">
      <c r="A52">
        <v>49</v>
      </c>
      <c r="B52" s="6">
        <v>132.01</v>
      </c>
      <c r="C52" s="53">
        <f t="shared" si="4"/>
        <v>106.49</v>
      </c>
      <c r="D52" s="53">
        <f t="shared" si="0"/>
        <v>3.9805555555554974</v>
      </c>
      <c r="E52" s="53">
        <f t="shared" si="1"/>
        <v>-6.4136111111111092</v>
      </c>
      <c r="F52" s="4">
        <f t="shared" si="2"/>
        <v>-25.529735339505791</v>
      </c>
      <c r="G52" s="4">
        <f t="shared" si="5"/>
        <v>15.844822530863736</v>
      </c>
      <c r="H52" s="4">
        <f t="shared" si="5"/>
        <v>41.134407484567873</v>
      </c>
    </row>
    <row r="53" spans="1:8" x14ac:dyDescent="0.25">
      <c r="A53">
        <v>50</v>
      </c>
      <c r="B53" s="6">
        <v>130.59</v>
      </c>
      <c r="C53" s="53">
        <f t="shared" si="4"/>
        <v>107.04</v>
      </c>
      <c r="D53" s="53">
        <f t="shared" si="0"/>
        <v>2.56055555555551</v>
      </c>
      <c r="E53" s="53">
        <f t="shared" si="1"/>
        <v>-5.8636111111110978</v>
      </c>
      <c r="F53" s="4">
        <f t="shared" si="2"/>
        <v>-15.014102006172537</v>
      </c>
      <c r="G53" s="4">
        <f t="shared" si="5"/>
        <v>6.5564447530861862</v>
      </c>
      <c r="H53" s="4">
        <f t="shared" si="5"/>
        <v>34.381935262345522</v>
      </c>
    </row>
    <row r="54" spans="1:8" x14ac:dyDescent="0.25">
      <c r="A54">
        <v>51</v>
      </c>
      <c r="B54" s="6">
        <v>130.28</v>
      </c>
      <c r="C54" s="53">
        <f t="shared" si="4"/>
        <v>111.35</v>
      </c>
      <c r="D54" s="53">
        <f t="shared" si="0"/>
        <v>2.2505555555555077</v>
      </c>
      <c r="E54" s="53">
        <f t="shared" si="1"/>
        <v>-1.5536111111111097</v>
      </c>
      <c r="F54" s="4">
        <f t="shared" si="2"/>
        <v>-3.4964881172838731</v>
      </c>
      <c r="G54" s="4">
        <f t="shared" si="5"/>
        <v>5.0650003086417597</v>
      </c>
      <c r="H54" s="4">
        <f t="shared" si="5"/>
        <v>2.413707484567897</v>
      </c>
    </row>
    <row r="55" spans="1:8" x14ac:dyDescent="0.25">
      <c r="A55">
        <v>52</v>
      </c>
      <c r="B55" s="6">
        <v>129.16</v>
      </c>
      <c r="C55" s="53">
        <f t="shared" si="4"/>
        <v>117.54</v>
      </c>
      <c r="D55" s="53">
        <f t="shared" si="0"/>
        <v>1.1305555555555031</v>
      </c>
      <c r="E55" s="53">
        <f t="shared" si="1"/>
        <v>4.6363888888889022</v>
      </c>
      <c r="F55" s="4">
        <f t="shared" si="2"/>
        <v>5.2416952160491546</v>
      </c>
      <c r="G55" s="4">
        <f t="shared" si="5"/>
        <v>1.2781558641974122</v>
      </c>
      <c r="H55" s="4">
        <f t="shared" si="5"/>
        <v>21.496101929012468</v>
      </c>
    </row>
    <row r="56" spans="1:8" x14ac:dyDescent="0.25">
      <c r="A56">
        <v>53</v>
      </c>
      <c r="B56" s="6">
        <v>128.94</v>
      </c>
      <c r="C56" s="53">
        <f t="shared" si="4"/>
        <v>122.58</v>
      </c>
      <c r="D56" s="53">
        <f t="shared" si="0"/>
        <v>0.91055555555550427</v>
      </c>
      <c r="E56" s="53">
        <f t="shared" si="1"/>
        <v>9.6763888888888943</v>
      </c>
      <c r="F56" s="4">
        <f t="shared" si="2"/>
        <v>8.810889660493336</v>
      </c>
      <c r="G56" s="4">
        <f t="shared" si="5"/>
        <v>0.82911141975299307</v>
      </c>
      <c r="H56" s="4">
        <f t="shared" si="5"/>
        <v>93.632501929012449</v>
      </c>
    </row>
    <row r="57" spans="1:8" x14ac:dyDescent="0.25">
      <c r="A57">
        <v>54</v>
      </c>
      <c r="B57" s="6">
        <v>129.30000000000001</v>
      </c>
      <c r="C57" s="53">
        <f t="shared" si="4"/>
        <v>128.16</v>
      </c>
      <c r="D57" s="53">
        <f t="shared" si="0"/>
        <v>1.2705555555555179</v>
      </c>
      <c r="E57" s="53">
        <f t="shared" si="1"/>
        <v>15.256388888888893</v>
      </c>
      <c r="F57" s="4">
        <f t="shared" si="2"/>
        <v>19.384089660493256</v>
      </c>
      <c r="G57" s="4">
        <f t="shared" si="5"/>
        <v>1.6143114197529909</v>
      </c>
      <c r="H57" s="4">
        <f t="shared" si="5"/>
        <v>232.75740192901245</v>
      </c>
    </row>
    <row r="58" spans="1:8" x14ac:dyDescent="0.25">
      <c r="A58">
        <v>55</v>
      </c>
      <c r="B58" s="6">
        <v>131.22</v>
      </c>
      <c r="C58" s="53">
        <f t="shared" si="4"/>
        <v>132.86000000000001</v>
      </c>
      <c r="D58" s="53">
        <f t="shared" si="0"/>
        <v>3.1905555555555054</v>
      </c>
      <c r="E58" s="53">
        <f t="shared" si="1"/>
        <v>19.95638888888891</v>
      </c>
      <c r="F58" s="4">
        <f t="shared" si="2"/>
        <v>63.67196743827067</v>
      </c>
      <c r="G58" s="4">
        <f t="shared" si="5"/>
        <v>10.1796447530861</v>
      </c>
      <c r="H58" s="4">
        <f t="shared" si="5"/>
        <v>398.2574574845687</v>
      </c>
    </row>
    <row r="59" spans="1:8" x14ac:dyDescent="0.25">
      <c r="A59">
        <v>56</v>
      </c>
      <c r="B59" s="6">
        <v>132.52000000000001</v>
      </c>
      <c r="C59" s="53">
        <f t="shared" si="4"/>
        <v>134.91999999999999</v>
      </c>
      <c r="D59" s="53">
        <f t="shared" si="0"/>
        <v>4.4905555555555168</v>
      </c>
      <c r="E59" s="53">
        <f t="shared" si="1"/>
        <v>22.016388888888883</v>
      </c>
      <c r="F59" s="4">
        <f t="shared" si="2"/>
        <v>98.865817438270724</v>
      </c>
      <c r="G59" s="4">
        <f t="shared" si="5"/>
        <v>20.165089197530516</v>
      </c>
      <c r="H59" s="4">
        <f t="shared" si="5"/>
        <v>484.72137970678989</v>
      </c>
    </row>
    <row r="60" spans="1:8" x14ac:dyDescent="0.25">
      <c r="A60">
        <v>57</v>
      </c>
      <c r="B60" s="6">
        <v>134.25</v>
      </c>
      <c r="C60" s="53">
        <f t="shared" si="4"/>
        <v>135.69999999999999</v>
      </c>
      <c r="D60" s="53">
        <f t="shared" si="0"/>
        <v>6.2205555555555065</v>
      </c>
      <c r="E60" s="53">
        <f t="shared" si="1"/>
        <v>22.796388888888885</v>
      </c>
      <c r="F60" s="4">
        <f t="shared" si="2"/>
        <v>141.80620354938156</v>
      </c>
      <c r="G60" s="4">
        <f t="shared" si="5"/>
        <v>38.695311419752478</v>
      </c>
      <c r="H60" s="4">
        <f t="shared" si="5"/>
        <v>519.67534637345659</v>
      </c>
    </row>
    <row r="61" spans="1:8" x14ac:dyDescent="0.25">
      <c r="A61">
        <v>58</v>
      </c>
      <c r="B61" s="6">
        <v>136.06</v>
      </c>
      <c r="C61" s="53">
        <f t="shared" si="4"/>
        <v>136.13999999999999</v>
      </c>
      <c r="D61" s="53">
        <f t="shared" si="0"/>
        <v>8.0305555555555088</v>
      </c>
      <c r="E61" s="53">
        <f t="shared" si="1"/>
        <v>23.236388888888882</v>
      </c>
      <c r="F61" s="4">
        <f t="shared" si="2"/>
        <v>186.60111188271492</v>
      </c>
      <c r="G61" s="4">
        <f t="shared" si="5"/>
        <v>64.489822530863449</v>
      </c>
      <c r="H61" s="4">
        <f t="shared" si="5"/>
        <v>539.92976859567875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4064.5299999999997</v>
      </c>
      <c r="D62" s="39">
        <f t="shared" si="6"/>
        <v>-1.7905676941154525E-12</v>
      </c>
      <c r="E62" s="39">
        <f t="shared" si="6"/>
        <v>1.7053025658242404E-13</v>
      </c>
      <c r="F62" s="39">
        <f t="shared" si="6"/>
        <v>1540.5616722222226</v>
      </c>
      <c r="G62" s="39">
        <f t="shared" si="6"/>
        <v>4327.4875888888891</v>
      </c>
      <c r="H62" s="39">
        <f t="shared" si="6"/>
        <v>3383.7084305555554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112.9036111111111</v>
      </c>
    </row>
    <row r="65" spans="1:2" ht="18" x14ac:dyDescent="0.35">
      <c r="A65" t="s">
        <v>278</v>
      </c>
      <c r="B65" s="39">
        <f>SUM(B26:B61)/36</f>
        <v>128.02944444444449</v>
      </c>
    </row>
    <row r="66" spans="1:2" ht="18" x14ac:dyDescent="0.35">
      <c r="A66" t="s">
        <v>279</v>
      </c>
      <c r="B66">
        <f>SUM(C26:C61)/36</f>
        <v>112.9036111111111</v>
      </c>
    </row>
    <row r="68" spans="1:2" ht="18" x14ac:dyDescent="0.35">
      <c r="A68" t="s">
        <v>280</v>
      </c>
      <c r="B68">
        <f>F62/SQRT(G62*H62)</f>
        <v>0.40259159760607838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2" workbookViewId="0">
      <selection activeCell="C70" sqref="C70"/>
    </sheetView>
  </sheetViews>
  <sheetFormatPr defaultRowHeight="15" x14ac:dyDescent="0.25"/>
  <cols>
    <col min="6" max="6" width="16.425781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266</v>
      </c>
      <c r="D3" s="45" t="s">
        <v>267</v>
      </c>
      <c r="E3" s="45" t="s">
        <v>268</v>
      </c>
      <c r="F3" s="46" t="s">
        <v>269</v>
      </c>
      <c r="G3" s="45" t="s">
        <v>270</v>
      </c>
      <c r="H3" s="45" t="s">
        <v>271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>
        <v>22</v>
      </c>
      <c r="B25" s="6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>
        <v>23</v>
      </c>
      <c r="B26" s="6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>
        <v>24</v>
      </c>
      <c r="B27" s="6">
        <v>107.03</v>
      </c>
      <c r="C27" s="53">
        <f>B4</f>
        <v>102.32</v>
      </c>
      <c r="D27" s="53">
        <f t="shared" ref="D27:D61" si="0">B27-$B$65</f>
        <v>-21.586857142857184</v>
      </c>
      <c r="E27" s="53">
        <f t="shared" ref="E27:E61" si="1">C27-$B$66</f>
        <v>-9.9197142857142921</v>
      </c>
      <c r="F27" s="4">
        <f t="shared" ref="F27:F61" si="2">D27*E27</f>
        <v>214.13545518367403</v>
      </c>
      <c r="G27" s="4">
        <f t="shared" ref="G27:H41" si="3">D27*D27</f>
        <v>465.99240130612424</v>
      </c>
      <c r="H27" s="4">
        <f t="shared" si="3"/>
        <v>98.40073151020421</v>
      </c>
    </row>
    <row r="28" spans="1:8" x14ac:dyDescent="0.25">
      <c r="A28">
        <v>25</v>
      </c>
      <c r="B28" s="6">
        <v>106.61</v>
      </c>
      <c r="C28" s="53">
        <f t="shared" ref="C28:C61" si="4">B5</f>
        <v>102.21</v>
      </c>
      <c r="D28" s="53">
        <f t="shared" si="0"/>
        <v>-22.006857142857186</v>
      </c>
      <c r="E28" s="53">
        <f t="shared" si="1"/>
        <v>-10.029714285714292</v>
      </c>
      <c r="F28" s="4">
        <f t="shared" si="2"/>
        <v>220.72248946938831</v>
      </c>
      <c r="G28" s="4">
        <f t="shared" si="3"/>
        <v>484.30176130612432</v>
      </c>
      <c r="H28" s="4">
        <f t="shared" si="3"/>
        <v>100.59516865306134</v>
      </c>
    </row>
    <row r="29" spans="1:8" x14ac:dyDescent="0.25">
      <c r="A29">
        <v>26</v>
      </c>
      <c r="B29" s="6">
        <v>106.57</v>
      </c>
      <c r="C29" s="53">
        <f t="shared" si="4"/>
        <v>102.16</v>
      </c>
      <c r="D29" s="53">
        <f t="shared" si="0"/>
        <v>-22.046857142857192</v>
      </c>
      <c r="E29" s="53">
        <f t="shared" si="1"/>
        <v>-10.079714285714289</v>
      </c>
      <c r="F29" s="4">
        <f t="shared" si="2"/>
        <v>222.22602089795976</v>
      </c>
      <c r="G29" s="4">
        <f t="shared" si="3"/>
        <v>486.06390987755321</v>
      </c>
      <c r="H29" s="4">
        <f t="shared" si="3"/>
        <v>101.60064008163272</v>
      </c>
    </row>
    <row r="30" spans="1:8" x14ac:dyDescent="0.25">
      <c r="A30">
        <v>27</v>
      </c>
      <c r="B30" s="6">
        <v>106.49</v>
      </c>
      <c r="C30" s="53">
        <f t="shared" si="4"/>
        <v>102.06</v>
      </c>
      <c r="D30" s="53">
        <f t="shared" si="0"/>
        <v>-22.12685714285719</v>
      </c>
      <c r="E30" s="53">
        <f t="shared" si="1"/>
        <v>-10.179714285714283</v>
      </c>
      <c r="F30" s="4">
        <f t="shared" si="2"/>
        <v>225.24508375510246</v>
      </c>
      <c r="G30" s="4">
        <f t="shared" si="3"/>
        <v>489.59780702041024</v>
      </c>
      <c r="H30" s="4">
        <f t="shared" si="3"/>
        <v>103.62658293877546</v>
      </c>
    </row>
    <row r="31" spans="1:8" x14ac:dyDescent="0.25">
      <c r="A31">
        <v>28</v>
      </c>
      <c r="B31" s="6">
        <v>107.04</v>
      </c>
      <c r="C31" s="53">
        <f t="shared" si="4"/>
        <v>102.55</v>
      </c>
      <c r="D31" s="53">
        <f t="shared" si="0"/>
        <v>-21.576857142857179</v>
      </c>
      <c r="E31" s="53">
        <f t="shared" si="1"/>
        <v>-9.6897142857142882</v>
      </c>
      <c r="F31" s="4">
        <f t="shared" si="2"/>
        <v>209.07358089795957</v>
      </c>
      <c r="G31" s="4">
        <f t="shared" si="3"/>
        <v>465.56076416326687</v>
      </c>
      <c r="H31" s="4">
        <f t="shared" si="3"/>
        <v>93.89056293877556</v>
      </c>
    </row>
    <row r="32" spans="1:8" x14ac:dyDescent="0.25">
      <c r="A32">
        <v>29</v>
      </c>
      <c r="B32" s="6">
        <v>111.35</v>
      </c>
      <c r="C32" s="53">
        <f t="shared" si="4"/>
        <v>104.35</v>
      </c>
      <c r="D32" s="53">
        <f t="shared" si="0"/>
        <v>-17.266857142857191</v>
      </c>
      <c r="E32" s="53">
        <f t="shared" si="1"/>
        <v>-7.889714285714291</v>
      </c>
      <c r="F32" s="4">
        <f t="shared" si="2"/>
        <v>136.23056946938823</v>
      </c>
      <c r="G32" s="4">
        <f t="shared" si="3"/>
        <v>298.1443555918384</v>
      </c>
      <c r="H32" s="4">
        <f t="shared" si="3"/>
        <v>62.247591510204167</v>
      </c>
    </row>
    <row r="33" spans="1:8" x14ac:dyDescent="0.25">
      <c r="A33">
        <v>30</v>
      </c>
      <c r="B33" s="6">
        <v>117.54</v>
      </c>
      <c r="C33" s="53">
        <f t="shared" si="4"/>
        <v>107.57</v>
      </c>
      <c r="D33" s="53">
        <f t="shared" si="0"/>
        <v>-11.076857142857179</v>
      </c>
      <c r="E33" s="53">
        <f t="shared" si="1"/>
        <v>-4.6697142857142921</v>
      </c>
      <c r="F33" s="4">
        <f t="shared" si="2"/>
        <v>51.725758040816565</v>
      </c>
      <c r="G33" s="4">
        <f t="shared" si="3"/>
        <v>122.69676416326611</v>
      </c>
      <c r="H33" s="4">
        <f t="shared" si="3"/>
        <v>21.806231510204142</v>
      </c>
    </row>
    <row r="34" spans="1:8" x14ac:dyDescent="0.25">
      <c r="A34">
        <v>31</v>
      </c>
      <c r="B34" s="6">
        <v>122.58</v>
      </c>
      <c r="C34" s="53">
        <f t="shared" si="4"/>
        <v>111.96</v>
      </c>
      <c r="D34" s="53">
        <f t="shared" si="0"/>
        <v>-6.0368571428571869</v>
      </c>
      <c r="E34" s="53">
        <f t="shared" si="1"/>
        <v>-0.27971428571429158</v>
      </c>
      <c r="F34" s="4">
        <f t="shared" si="2"/>
        <v>1.6885951836735171</v>
      </c>
      <c r="G34" s="4">
        <f t="shared" si="3"/>
        <v>36.443644163265837</v>
      </c>
      <c r="H34" s="4">
        <f t="shared" si="3"/>
        <v>7.8240081632656347E-2</v>
      </c>
    </row>
    <row r="35" spans="1:8" x14ac:dyDescent="0.25">
      <c r="A35">
        <v>32</v>
      </c>
      <c r="B35" s="6">
        <v>128.16</v>
      </c>
      <c r="C35" s="53">
        <f t="shared" si="4"/>
        <v>115.27</v>
      </c>
      <c r="D35" s="53">
        <f t="shared" si="0"/>
        <v>-0.45685714285718859</v>
      </c>
      <c r="E35" s="53">
        <f t="shared" si="1"/>
        <v>3.0302857142857107</v>
      </c>
      <c r="F35" s="4">
        <f t="shared" si="2"/>
        <v>-1.3844076734695248</v>
      </c>
      <c r="G35" s="4">
        <f t="shared" si="3"/>
        <v>0.20871844897963363</v>
      </c>
      <c r="H35" s="4">
        <f t="shared" si="3"/>
        <v>9.1826315102040592</v>
      </c>
    </row>
    <row r="36" spans="1:8" x14ac:dyDescent="0.25">
      <c r="A36">
        <v>33</v>
      </c>
      <c r="B36" s="6">
        <v>132.86000000000001</v>
      </c>
      <c r="C36" s="53">
        <f t="shared" si="4"/>
        <v>117.17</v>
      </c>
      <c r="D36" s="53">
        <f t="shared" si="0"/>
        <v>4.2431428571428285</v>
      </c>
      <c r="E36" s="53">
        <f t="shared" si="1"/>
        <v>4.9302857142857164</v>
      </c>
      <c r="F36" s="4">
        <f t="shared" si="2"/>
        <v>20.919906612244766</v>
      </c>
      <c r="G36" s="4">
        <f t="shared" si="3"/>
        <v>18.004261306122206</v>
      </c>
      <c r="H36" s="4">
        <f t="shared" si="3"/>
        <v>24.307717224489817</v>
      </c>
    </row>
    <row r="37" spans="1:8" x14ac:dyDescent="0.25">
      <c r="A37">
        <v>34</v>
      </c>
      <c r="B37" s="6">
        <v>134.91999999999999</v>
      </c>
      <c r="C37" s="53">
        <f t="shared" si="4"/>
        <v>117.61</v>
      </c>
      <c r="D37" s="53">
        <f t="shared" si="0"/>
        <v>6.3031428571428023</v>
      </c>
      <c r="E37" s="53">
        <f t="shared" si="1"/>
        <v>5.3702857142857141</v>
      </c>
      <c r="F37" s="4">
        <f t="shared" si="2"/>
        <v>33.84967804081603</v>
      </c>
      <c r="G37" s="4">
        <f t="shared" si="3"/>
        <v>39.729609877550331</v>
      </c>
      <c r="H37" s="4">
        <f t="shared" si="3"/>
        <v>28.839968653061224</v>
      </c>
    </row>
    <row r="38" spans="1:8" x14ac:dyDescent="0.25">
      <c r="A38">
        <v>35</v>
      </c>
      <c r="B38" s="6">
        <v>135.69999999999999</v>
      </c>
      <c r="C38" s="53">
        <f t="shared" si="4"/>
        <v>117.26</v>
      </c>
      <c r="D38" s="53">
        <f t="shared" si="0"/>
        <v>7.0831428571428035</v>
      </c>
      <c r="E38" s="53">
        <f t="shared" si="1"/>
        <v>5.0202857142857198</v>
      </c>
      <c r="F38" s="4">
        <f t="shared" si="2"/>
        <v>35.559400897958952</v>
      </c>
      <c r="G38" s="4">
        <f t="shared" si="3"/>
        <v>50.170912734693118</v>
      </c>
      <c r="H38" s="4">
        <f t="shared" si="3"/>
        <v>25.203268653061279</v>
      </c>
    </row>
    <row r="39" spans="1:8" x14ac:dyDescent="0.25">
      <c r="A39">
        <v>36</v>
      </c>
      <c r="B39" s="6">
        <v>136.13999999999999</v>
      </c>
      <c r="C39" s="53">
        <f t="shared" si="4"/>
        <v>115.88</v>
      </c>
      <c r="D39" s="53">
        <f t="shared" si="0"/>
        <v>7.5231428571428012</v>
      </c>
      <c r="E39" s="53">
        <f t="shared" si="1"/>
        <v>3.6402857142857101</v>
      </c>
      <c r="F39" s="4">
        <f t="shared" si="2"/>
        <v>27.38638946938752</v>
      </c>
      <c r="G39" s="4">
        <f t="shared" si="3"/>
        <v>56.597678448978748</v>
      </c>
      <c r="H39" s="4">
        <f t="shared" si="3"/>
        <v>13.251680081632623</v>
      </c>
    </row>
    <row r="40" spans="1:8" x14ac:dyDescent="0.25">
      <c r="A40">
        <v>37</v>
      </c>
      <c r="B40" s="6">
        <v>140.15</v>
      </c>
      <c r="C40" s="53">
        <f t="shared" si="4"/>
        <v>113.35</v>
      </c>
      <c r="D40" s="53">
        <f t="shared" si="0"/>
        <v>11.533142857142821</v>
      </c>
      <c r="E40" s="53">
        <f t="shared" si="1"/>
        <v>1.110285714285709</v>
      </c>
      <c r="F40" s="4">
        <f t="shared" si="2"/>
        <v>12.80508375510194</v>
      </c>
      <c r="G40" s="4">
        <f t="shared" si="3"/>
        <v>133.01338416326445</v>
      </c>
      <c r="H40" s="4">
        <f t="shared" si="3"/>
        <v>1.2327343673469271</v>
      </c>
    </row>
    <row r="41" spans="1:8" x14ac:dyDescent="0.25">
      <c r="A41">
        <v>38</v>
      </c>
      <c r="B41" s="6">
        <v>140.09</v>
      </c>
      <c r="C41" s="53">
        <f t="shared" si="4"/>
        <v>111.39</v>
      </c>
      <c r="D41" s="53">
        <f t="shared" si="0"/>
        <v>11.473142857142818</v>
      </c>
      <c r="E41" s="53">
        <f t="shared" si="1"/>
        <v>-0.84971428571428476</v>
      </c>
      <c r="F41" s="4">
        <f t="shared" si="2"/>
        <v>-9.7488933877550572</v>
      </c>
      <c r="G41" s="4">
        <f t="shared" si="3"/>
        <v>131.63300702040726</v>
      </c>
      <c r="H41" s="4">
        <f t="shared" si="3"/>
        <v>0.72201436734693714</v>
      </c>
    </row>
    <row r="42" spans="1:8" x14ac:dyDescent="0.25">
      <c r="A42">
        <v>39</v>
      </c>
      <c r="B42" s="6">
        <v>139.1</v>
      </c>
      <c r="C42" s="53">
        <f t="shared" si="4"/>
        <v>109.76</v>
      </c>
      <c r="D42" s="53">
        <f t="shared" si="0"/>
        <v>10.483142857142809</v>
      </c>
      <c r="E42" s="53">
        <f t="shared" si="1"/>
        <v>-2.4797142857142802</v>
      </c>
      <c r="F42" s="4">
        <f t="shared" si="2"/>
        <v>-25.99519910204064</v>
      </c>
      <c r="G42" s="4">
        <f t="shared" ref="G42:H61" si="5">D42*D42</f>
        <v>109.8962841632643</v>
      </c>
      <c r="H42" s="4">
        <f t="shared" si="5"/>
        <v>6.1489829387754833</v>
      </c>
    </row>
    <row r="43" spans="1:8" x14ac:dyDescent="0.25">
      <c r="A43">
        <v>40</v>
      </c>
      <c r="B43" s="6">
        <v>137.5</v>
      </c>
      <c r="C43" s="53">
        <f t="shared" si="4"/>
        <v>109.5</v>
      </c>
      <c r="D43" s="53">
        <f t="shared" si="0"/>
        <v>8.8831428571428148</v>
      </c>
      <c r="E43" s="53">
        <f t="shared" si="1"/>
        <v>-2.7397142857142853</v>
      </c>
      <c r="F43" s="4">
        <f t="shared" si="2"/>
        <v>-24.337273387754983</v>
      </c>
      <c r="G43" s="4">
        <f t="shared" si="5"/>
        <v>78.910227020407405</v>
      </c>
      <c r="H43" s="4">
        <f t="shared" si="5"/>
        <v>7.5060343673469365</v>
      </c>
    </row>
    <row r="44" spans="1:8" x14ac:dyDescent="0.25">
      <c r="A44">
        <v>41</v>
      </c>
      <c r="B44" s="6">
        <v>136.12</v>
      </c>
      <c r="C44" s="53">
        <f t="shared" si="4"/>
        <v>108.86</v>
      </c>
      <c r="D44" s="53">
        <f t="shared" si="0"/>
        <v>7.5031428571428194</v>
      </c>
      <c r="E44" s="53">
        <f t="shared" si="1"/>
        <v>-3.3797142857142859</v>
      </c>
      <c r="F44" s="4">
        <f t="shared" si="2"/>
        <v>-25.35847910204069</v>
      </c>
      <c r="G44" s="4">
        <f t="shared" si="5"/>
        <v>56.297152734693313</v>
      </c>
      <c r="H44" s="4">
        <f t="shared" si="5"/>
        <v>11.422468653061225</v>
      </c>
    </row>
    <row r="45" spans="1:8" x14ac:dyDescent="0.25">
      <c r="A45">
        <v>42</v>
      </c>
      <c r="B45" s="6">
        <v>135.22</v>
      </c>
      <c r="C45" s="53">
        <f t="shared" si="4"/>
        <v>108.49</v>
      </c>
      <c r="D45" s="53">
        <f t="shared" si="0"/>
        <v>6.6031428571428137</v>
      </c>
      <c r="E45" s="53">
        <f t="shared" si="1"/>
        <v>-3.7497142857142904</v>
      </c>
      <c r="F45" s="4">
        <f t="shared" si="2"/>
        <v>-24.759899102040684</v>
      </c>
      <c r="G45" s="4">
        <f t="shared" si="5"/>
        <v>43.601495591836162</v>
      </c>
      <c r="H45" s="4">
        <f t="shared" si="5"/>
        <v>14.060357224489831</v>
      </c>
    </row>
    <row r="46" spans="1:8" x14ac:dyDescent="0.25">
      <c r="A46">
        <v>43</v>
      </c>
      <c r="B46" s="6">
        <v>134.72999999999999</v>
      </c>
      <c r="C46" s="53">
        <f t="shared" si="4"/>
        <v>108.36</v>
      </c>
      <c r="D46" s="53">
        <f t="shared" si="0"/>
        <v>6.1131428571428046</v>
      </c>
      <c r="E46" s="53">
        <f t="shared" si="1"/>
        <v>-3.8797142857142859</v>
      </c>
      <c r="F46" s="4">
        <f t="shared" si="2"/>
        <v>-23.717247673469185</v>
      </c>
      <c r="G46" s="4">
        <f t="shared" si="5"/>
        <v>37.370515591836089</v>
      </c>
      <c r="H46" s="4">
        <f t="shared" si="5"/>
        <v>15.052182938775511</v>
      </c>
    </row>
    <row r="47" spans="1:8" x14ac:dyDescent="0.25">
      <c r="A47">
        <v>44</v>
      </c>
      <c r="B47" s="6">
        <v>134.38999999999999</v>
      </c>
      <c r="C47" s="53">
        <f t="shared" si="4"/>
        <v>108.19</v>
      </c>
      <c r="D47" s="53">
        <f t="shared" si="0"/>
        <v>5.7731428571428012</v>
      </c>
      <c r="E47" s="53">
        <f t="shared" si="1"/>
        <v>-4.0497142857142876</v>
      </c>
      <c r="F47" s="4">
        <f t="shared" si="2"/>
        <v>-23.379579102040601</v>
      </c>
      <c r="G47" s="4">
        <f t="shared" si="5"/>
        <v>33.329178448978944</v>
      </c>
      <c r="H47" s="4">
        <f t="shared" si="5"/>
        <v>16.400185795918382</v>
      </c>
    </row>
    <row r="48" spans="1:8" x14ac:dyDescent="0.25">
      <c r="A48">
        <v>45</v>
      </c>
      <c r="B48" s="6">
        <v>134.51</v>
      </c>
      <c r="C48" s="53">
        <f t="shared" si="4"/>
        <v>107.8</v>
      </c>
      <c r="D48" s="53">
        <f t="shared" si="0"/>
        <v>5.8931428571428057</v>
      </c>
      <c r="E48" s="53">
        <f t="shared" si="1"/>
        <v>-4.4397142857142882</v>
      </c>
      <c r="F48" s="4">
        <f t="shared" si="2"/>
        <v>-26.16387053061203</v>
      </c>
      <c r="G48" s="4">
        <f t="shared" si="5"/>
        <v>34.729132734693273</v>
      </c>
      <c r="H48" s="4">
        <f t="shared" si="5"/>
        <v>19.71106293877553</v>
      </c>
    </row>
    <row r="49" spans="1:8" x14ac:dyDescent="0.25">
      <c r="A49">
        <v>46</v>
      </c>
      <c r="B49" s="6">
        <v>134.46</v>
      </c>
      <c r="C49" s="53">
        <f t="shared" si="4"/>
        <v>107.47</v>
      </c>
      <c r="D49" s="53">
        <f t="shared" si="0"/>
        <v>5.8431428571428228</v>
      </c>
      <c r="E49" s="53">
        <f t="shared" si="1"/>
        <v>-4.7697142857142865</v>
      </c>
      <c r="F49" s="4">
        <f t="shared" si="2"/>
        <v>-27.870121959183514</v>
      </c>
      <c r="G49" s="4">
        <f t="shared" si="5"/>
        <v>34.142318448979189</v>
      </c>
      <c r="H49" s="4">
        <f t="shared" si="5"/>
        <v>22.750174367346947</v>
      </c>
    </row>
    <row r="50" spans="1:8" x14ac:dyDescent="0.25">
      <c r="A50">
        <v>47</v>
      </c>
      <c r="B50" s="6">
        <v>134.27000000000001</v>
      </c>
      <c r="C50" s="53">
        <f t="shared" si="4"/>
        <v>107.03</v>
      </c>
      <c r="D50" s="53">
        <f t="shared" si="0"/>
        <v>5.6531428571428251</v>
      </c>
      <c r="E50" s="53">
        <f t="shared" si="1"/>
        <v>-5.2097142857142842</v>
      </c>
      <c r="F50" s="4">
        <f t="shared" si="2"/>
        <v>-29.451259102040641</v>
      </c>
      <c r="G50" s="4">
        <f t="shared" si="5"/>
        <v>31.958024163264945</v>
      </c>
      <c r="H50" s="4">
        <f t="shared" si="5"/>
        <v>27.141122938775496</v>
      </c>
    </row>
    <row r="51" spans="1:8" x14ac:dyDescent="0.25">
      <c r="A51">
        <v>48</v>
      </c>
      <c r="B51" s="6">
        <v>133.72999999999999</v>
      </c>
      <c r="C51" s="53">
        <f t="shared" si="4"/>
        <v>106.61</v>
      </c>
      <c r="D51" s="53">
        <f t="shared" si="0"/>
        <v>5.1131428571428046</v>
      </c>
      <c r="E51" s="53">
        <f t="shared" si="1"/>
        <v>-5.6297142857142859</v>
      </c>
      <c r="F51" s="4">
        <f t="shared" si="2"/>
        <v>-28.785533387754807</v>
      </c>
      <c r="G51" s="4">
        <f t="shared" si="5"/>
        <v>26.144229877550483</v>
      </c>
      <c r="H51" s="4">
        <f t="shared" si="5"/>
        <v>31.693682938775513</v>
      </c>
    </row>
    <row r="52" spans="1:8" x14ac:dyDescent="0.25">
      <c r="A52">
        <v>49</v>
      </c>
      <c r="B52" s="6">
        <v>132.01</v>
      </c>
      <c r="C52" s="53">
        <f t="shared" si="4"/>
        <v>106.57</v>
      </c>
      <c r="D52" s="53">
        <f t="shared" si="0"/>
        <v>3.3931428571428057</v>
      </c>
      <c r="E52" s="53">
        <f t="shared" si="1"/>
        <v>-5.6697142857142921</v>
      </c>
      <c r="F52" s="4">
        <f t="shared" si="2"/>
        <v>-19.238150530611975</v>
      </c>
      <c r="G52" s="4">
        <f t="shared" si="5"/>
        <v>11.513418448979243</v>
      </c>
      <c r="H52" s="4">
        <f t="shared" si="5"/>
        <v>32.145660081632727</v>
      </c>
    </row>
    <row r="53" spans="1:8" x14ac:dyDescent="0.25">
      <c r="A53">
        <v>50</v>
      </c>
      <c r="B53" s="6">
        <v>130.59</v>
      </c>
      <c r="C53" s="53">
        <f t="shared" si="4"/>
        <v>106.49</v>
      </c>
      <c r="D53" s="53">
        <f t="shared" si="0"/>
        <v>1.9731428571428182</v>
      </c>
      <c r="E53" s="53">
        <f t="shared" si="1"/>
        <v>-5.7497142857142904</v>
      </c>
      <c r="F53" s="4">
        <f t="shared" si="2"/>
        <v>-11.345007673469173</v>
      </c>
      <c r="G53" s="4">
        <f t="shared" si="5"/>
        <v>3.8932927346937238</v>
      </c>
      <c r="H53" s="4">
        <f t="shared" si="5"/>
        <v>33.059214367346996</v>
      </c>
    </row>
    <row r="54" spans="1:8" x14ac:dyDescent="0.25">
      <c r="A54">
        <v>51</v>
      </c>
      <c r="B54" s="6">
        <v>130.28</v>
      </c>
      <c r="C54" s="53">
        <f t="shared" si="4"/>
        <v>107.04</v>
      </c>
      <c r="D54" s="53">
        <f t="shared" si="0"/>
        <v>1.663142857142816</v>
      </c>
      <c r="E54" s="53">
        <f t="shared" si="1"/>
        <v>-5.1997142857142791</v>
      </c>
      <c r="F54" s="4">
        <f t="shared" si="2"/>
        <v>-8.6478676734691629</v>
      </c>
      <c r="G54" s="4">
        <f t="shared" si="5"/>
        <v>2.7660441632651693</v>
      </c>
      <c r="H54" s="4">
        <f t="shared" si="5"/>
        <v>27.037028653061157</v>
      </c>
    </row>
    <row r="55" spans="1:8" x14ac:dyDescent="0.25">
      <c r="A55">
        <v>52</v>
      </c>
      <c r="B55" s="6">
        <v>129.16</v>
      </c>
      <c r="C55" s="53">
        <f t="shared" si="4"/>
        <v>111.35</v>
      </c>
      <c r="D55" s="53">
        <f t="shared" si="0"/>
        <v>0.54314285714281141</v>
      </c>
      <c r="E55" s="53">
        <f t="shared" si="1"/>
        <v>-0.88971428571429101</v>
      </c>
      <c r="F55" s="4">
        <f t="shared" si="2"/>
        <v>-0.48324195918363566</v>
      </c>
      <c r="G55" s="4">
        <f t="shared" si="5"/>
        <v>0.29500416326525647</v>
      </c>
      <c r="H55" s="4">
        <f t="shared" si="5"/>
        <v>0.79159151020409102</v>
      </c>
    </row>
    <row r="56" spans="1:8" x14ac:dyDescent="0.25">
      <c r="A56">
        <v>53</v>
      </c>
      <c r="B56" s="6">
        <v>128.94</v>
      </c>
      <c r="C56" s="53">
        <f t="shared" si="4"/>
        <v>117.54</v>
      </c>
      <c r="D56" s="53">
        <f t="shared" si="0"/>
        <v>0.32314285714281255</v>
      </c>
      <c r="E56" s="53">
        <f t="shared" si="1"/>
        <v>5.3002857142857209</v>
      </c>
      <c r="F56" s="4">
        <f t="shared" si="2"/>
        <v>1.7127494693875209</v>
      </c>
      <c r="G56" s="4">
        <f t="shared" si="5"/>
        <v>0.10442130612242016</v>
      </c>
      <c r="H56" s="4">
        <f t="shared" si="5"/>
        <v>28.093028653061296</v>
      </c>
    </row>
    <row r="57" spans="1:8" x14ac:dyDescent="0.25">
      <c r="A57">
        <v>54</v>
      </c>
      <c r="B57" s="6">
        <v>129.30000000000001</v>
      </c>
      <c r="C57" s="53">
        <f t="shared" si="4"/>
        <v>122.58</v>
      </c>
      <c r="D57" s="53">
        <f t="shared" si="0"/>
        <v>0.68314285714282619</v>
      </c>
      <c r="E57" s="53">
        <f t="shared" si="1"/>
        <v>10.340285714285713</v>
      </c>
      <c r="F57" s="4">
        <f t="shared" si="2"/>
        <v>7.0638923265302909</v>
      </c>
      <c r="G57" s="4">
        <f t="shared" si="5"/>
        <v>0.46668416326526385</v>
      </c>
      <c r="H57" s="4">
        <f t="shared" si="5"/>
        <v>106.9215086530612</v>
      </c>
    </row>
    <row r="58" spans="1:8" x14ac:dyDescent="0.25">
      <c r="A58">
        <v>55</v>
      </c>
      <c r="B58" s="6">
        <v>131.22</v>
      </c>
      <c r="C58" s="53">
        <f t="shared" si="4"/>
        <v>128.16</v>
      </c>
      <c r="D58" s="53">
        <f t="shared" si="0"/>
        <v>2.6031428571428137</v>
      </c>
      <c r="E58" s="53">
        <f t="shared" si="1"/>
        <v>15.920285714285711</v>
      </c>
      <c r="F58" s="4">
        <f t="shared" si="2"/>
        <v>41.442778040815625</v>
      </c>
      <c r="G58" s="4">
        <f t="shared" si="5"/>
        <v>6.776352734693651</v>
      </c>
      <c r="H58" s="4">
        <f t="shared" si="5"/>
        <v>253.4554972244897</v>
      </c>
    </row>
    <row r="59" spans="1:8" x14ac:dyDescent="0.25">
      <c r="A59">
        <v>56</v>
      </c>
      <c r="B59" s="6">
        <v>132.52000000000001</v>
      </c>
      <c r="C59" s="53">
        <f t="shared" si="4"/>
        <v>132.86000000000001</v>
      </c>
      <c r="D59" s="53">
        <f t="shared" si="0"/>
        <v>3.9031428571428251</v>
      </c>
      <c r="E59" s="53">
        <f t="shared" si="1"/>
        <v>20.620285714285728</v>
      </c>
      <c r="F59" s="4">
        <f t="shared" si="2"/>
        <v>80.483920897958583</v>
      </c>
      <c r="G59" s="4">
        <f t="shared" si="5"/>
        <v>15.234524163265055</v>
      </c>
      <c r="H59" s="4">
        <f t="shared" si="5"/>
        <v>425.19618293877608</v>
      </c>
    </row>
    <row r="60" spans="1:8" x14ac:dyDescent="0.25">
      <c r="A60">
        <v>57</v>
      </c>
      <c r="B60" s="6">
        <v>134.25</v>
      </c>
      <c r="C60" s="53">
        <f t="shared" si="4"/>
        <v>134.91999999999999</v>
      </c>
      <c r="D60" s="53">
        <f t="shared" si="0"/>
        <v>5.6331428571428148</v>
      </c>
      <c r="E60" s="53">
        <f t="shared" si="1"/>
        <v>22.680285714285702</v>
      </c>
      <c r="F60" s="4">
        <f t="shared" si="2"/>
        <v>127.76128946938672</v>
      </c>
      <c r="G60" s="4">
        <f t="shared" si="5"/>
        <v>31.732298448979115</v>
      </c>
      <c r="H60" s="4">
        <f t="shared" si="5"/>
        <v>514.39536008163213</v>
      </c>
    </row>
    <row r="61" spans="1:8" x14ac:dyDescent="0.25">
      <c r="A61">
        <v>58</v>
      </c>
      <c r="B61" s="6">
        <v>136.06</v>
      </c>
      <c r="C61" s="53">
        <f t="shared" si="4"/>
        <v>135.69999999999999</v>
      </c>
      <c r="D61" s="53">
        <f t="shared" si="0"/>
        <v>7.4431428571428171</v>
      </c>
      <c r="E61" s="53">
        <f t="shared" si="1"/>
        <v>23.460285714285703</v>
      </c>
      <c r="F61" s="4">
        <f t="shared" si="2"/>
        <v>174.61825804081531</v>
      </c>
      <c r="G61" s="4">
        <f t="shared" si="5"/>
        <v>55.400375591836138</v>
      </c>
      <c r="H61" s="4">
        <f t="shared" si="5"/>
        <v>550.38500579591789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3928.39</v>
      </c>
      <c r="D62" s="39">
        <f t="shared" si="6"/>
        <v>-1.5347723092418164E-12</v>
      </c>
      <c r="E62" s="39">
        <f t="shared" si="6"/>
        <v>-5.6843418860808015E-14</v>
      </c>
      <c r="F62" s="39">
        <f t="shared" si="6"/>
        <v>1533.9848685714292</v>
      </c>
      <c r="G62" s="39">
        <f t="shared" si="6"/>
        <v>3892.7199542857143</v>
      </c>
      <c r="H62" s="39">
        <f t="shared" si="6"/>
        <v>2828.352097142857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112.23971428571429</v>
      </c>
    </row>
    <row r="65" spans="1:2" ht="18" x14ac:dyDescent="0.35">
      <c r="A65" t="s">
        <v>281</v>
      </c>
      <c r="B65" s="39">
        <f>SUM(B27:B61)/35</f>
        <v>128.61685714285719</v>
      </c>
    </row>
    <row r="66" spans="1:2" ht="18" x14ac:dyDescent="0.35">
      <c r="A66" t="s">
        <v>282</v>
      </c>
      <c r="B66">
        <f>SUM(C27:C61)/35</f>
        <v>112.23971428571429</v>
      </c>
    </row>
    <row r="68" spans="1:2" ht="18" x14ac:dyDescent="0.35">
      <c r="A68" t="s">
        <v>283</v>
      </c>
      <c r="B68">
        <f>F62/SQRT(G62*H62)</f>
        <v>0.46230411429035512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7" workbookViewId="0">
      <selection activeCell="B72" sqref="B72"/>
    </sheetView>
  </sheetViews>
  <sheetFormatPr defaultRowHeight="15" x14ac:dyDescent="0.25"/>
  <cols>
    <col min="6" max="6" width="18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272</v>
      </c>
      <c r="D3" s="45" t="s">
        <v>273</v>
      </c>
      <c r="E3" s="45" t="s">
        <v>274</v>
      </c>
      <c r="F3" s="46" t="s">
        <v>275</v>
      </c>
      <c r="G3" s="45" t="s">
        <v>276</v>
      </c>
      <c r="H3" s="45" t="s">
        <v>277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>
        <v>22</v>
      </c>
      <c r="B25" s="6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>
        <v>23</v>
      </c>
      <c r="B26" s="6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>
        <v>24</v>
      </c>
      <c r="B27" s="6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>
        <v>25</v>
      </c>
      <c r="B28" s="6">
        <v>106.61</v>
      </c>
      <c r="C28" s="53">
        <f>B4</f>
        <v>102.32</v>
      </c>
      <c r="D28" s="53">
        <f t="shared" ref="D28:D61" si="0">B28-$B$65</f>
        <v>-22.641764705882352</v>
      </c>
      <c r="E28" s="53">
        <f t="shared" ref="E28:E61" si="1">C28-$B$66</f>
        <v>-9.2297058823529454</v>
      </c>
      <c r="F28" s="4">
        <f t="shared" ref="F28:F61" si="2">D28*E28</f>
        <v>208.97682889273366</v>
      </c>
      <c r="G28" s="4">
        <f t="shared" ref="G28:H42" si="3">D28*D28</f>
        <v>512.64950899653979</v>
      </c>
      <c r="H28" s="4">
        <f t="shared" si="3"/>
        <v>85.187470674740567</v>
      </c>
    </row>
    <row r="29" spans="1:8" x14ac:dyDescent="0.25">
      <c r="A29">
        <v>26</v>
      </c>
      <c r="B29" s="6">
        <v>106.57</v>
      </c>
      <c r="C29" s="53">
        <f t="shared" ref="C29:C61" si="4">B5</f>
        <v>102.21</v>
      </c>
      <c r="D29" s="53">
        <f t="shared" si="0"/>
        <v>-22.681764705882358</v>
      </c>
      <c r="E29" s="53">
        <f t="shared" si="1"/>
        <v>-9.3397058823529449</v>
      </c>
      <c r="F29" s="4">
        <f t="shared" si="2"/>
        <v>211.84101124567488</v>
      </c>
      <c r="G29" s="4">
        <f t="shared" si="3"/>
        <v>514.46245017301067</v>
      </c>
      <c r="H29" s="4">
        <f t="shared" si="3"/>
        <v>87.230105968858197</v>
      </c>
    </row>
    <row r="30" spans="1:8" x14ac:dyDescent="0.25">
      <c r="A30">
        <v>27</v>
      </c>
      <c r="B30" s="6">
        <v>106.49</v>
      </c>
      <c r="C30" s="53">
        <f t="shared" si="4"/>
        <v>102.16</v>
      </c>
      <c r="D30" s="53">
        <f t="shared" si="0"/>
        <v>-22.761764705882356</v>
      </c>
      <c r="E30" s="53">
        <f t="shared" si="1"/>
        <v>-9.389705882352942</v>
      </c>
      <c r="F30" s="4">
        <f t="shared" si="2"/>
        <v>213.72627595155714</v>
      </c>
      <c r="G30" s="4">
        <f t="shared" si="3"/>
        <v>518.09793252595171</v>
      </c>
      <c r="H30" s="4">
        <f t="shared" si="3"/>
        <v>88.166576557093435</v>
      </c>
    </row>
    <row r="31" spans="1:8" x14ac:dyDescent="0.25">
      <c r="A31">
        <v>28</v>
      </c>
      <c r="B31" s="6">
        <v>107.04</v>
      </c>
      <c r="C31" s="53">
        <f t="shared" si="4"/>
        <v>102.06</v>
      </c>
      <c r="D31" s="53">
        <f t="shared" si="0"/>
        <v>-22.211764705882345</v>
      </c>
      <c r="E31" s="53">
        <f t="shared" si="1"/>
        <v>-9.4897058823529363</v>
      </c>
      <c r="F31" s="4">
        <f t="shared" si="2"/>
        <v>210.78311418685104</v>
      </c>
      <c r="G31" s="4">
        <f t="shared" si="3"/>
        <v>493.36249134948059</v>
      </c>
      <c r="H31" s="4">
        <f t="shared" si="3"/>
        <v>90.054517733563927</v>
      </c>
    </row>
    <row r="32" spans="1:8" x14ac:dyDescent="0.25">
      <c r="A32">
        <v>29</v>
      </c>
      <c r="B32" s="6">
        <v>111.35</v>
      </c>
      <c r="C32" s="53">
        <f t="shared" si="4"/>
        <v>102.55</v>
      </c>
      <c r="D32" s="53">
        <f t="shared" si="0"/>
        <v>-17.901764705882357</v>
      </c>
      <c r="E32" s="53">
        <f t="shared" si="1"/>
        <v>-8.9997058823529414</v>
      </c>
      <c r="F32" s="4">
        <f t="shared" si="2"/>
        <v>161.11061712802771</v>
      </c>
      <c r="G32" s="4">
        <f t="shared" si="3"/>
        <v>320.47317958477521</v>
      </c>
      <c r="H32" s="4">
        <f t="shared" si="3"/>
        <v>80.994705968858142</v>
      </c>
    </row>
    <row r="33" spans="1:8" x14ac:dyDescent="0.25">
      <c r="A33">
        <v>30</v>
      </c>
      <c r="B33" s="6">
        <v>117.54</v>
      </c>
      <c r="C33" s="53">
        <f t="shared" si="4"/>
        <v>104.35</v>
      </c>
      <c r="D33" s="53">
        <f t="shared" si="0"/>
        <v>-11.711764705882345</v>
      </c>
      <c r="E33" s="53">
        <f t="shared" si="1"/>
        <v>-7.1997058823529443</v>
      </c>
      <c r="F33" s="4">
        <f t="shared" si="2"/>
        <v>84.321261245674719</v>
      </c>
      <c r="G33" s="4">
        <f t="shared" si="3"/>
        <v>137.16543252595136</v>
      </c>
      <c r="H33" s="4">
        <f t="shared" si="3"/>
        <v>51.835764792387586</v>
      </c>
    </row>
    <row r="34" spans="1:8" x14ac:dyDescent="0.25">
      <c r="A34">
        <v>31</v>
      </c>
      <c r="B34" s="6">
        <v>122.58</v>
      </c>
      <c r="C34" s="53">
        <f t="shared" si="4"/>
        <v>107.57</v>
      </c>
      <c r="D34" s="53">
        <f t="shared" si="0"/>
        <v>-6.671764705882353</v>
      </c>
      <c r="E34" s="53">
        <f t="shared" si="1"/>
        <v>-3.9797058823529454</v>
      </c>
      <c r="F34" s="4">
        <f t="shared" si="2"/>
        <v>26.551661245674769</v>
      </c>
      <c r="G34" s="4">
        <f t="shared" si="3"/>
        <v>44.512444290657442</v>
      </c>
      <c r="H34" s="4">
        <f t="shared" si="3"/>
        <v>15.838058910034636</v>
      </c>
    </row>
    <row r="35" spans="1:8" x14ac:dyDescent="0.25">
      <c r="A35">
        <v>32</v>
      </c>
      <c r="B35" s="6">
        <v>128.16</v>
      </c>
      <c r="C35" s="53">
        <f t="shared" si="4"/>
        <v>111.96</v>
      </c>
      <c r="D35" s="53">
        <f t="shared" si="0"/>
        <v>-1.0917647058823547</v>
      </c>
      <c r="E35" s="53">
        <f t="shared" si="1"/>
        <v>0.41029411764705515</v>
      </c>
      <c r="F35" s="4">
        <f t="shared" si="2"/>
        <v>-0.44794463667819739</v>
      </c>
      <c r="G35" s="4">
        <f t="shared" si="3"/>
        <v>1.1919501730103845</v>
      </c>
      <c r="H35" s="4">
        <f t="shared" si="3"/>
        <v>0.16834126297577554</v>
      </c>
    </row>
    <row r="36" spans="1:8" x14ac:dyDescent="0.25">
      <c r="A36">
        <v>33</v>
      </c>
      <c r="B36" s="6">
        <v>132.86000000000001</v>
      </c>
      <c r="C36" s="53">
        <f t="shared" si="4"/>
        <v>115.27</v>
      </c>
      <c r="D36" s="53">
        <f t="shared" si="0"/>
        <v>3.6082352941176623</v>
      </c>
      <c r="E36" s="53">
        <f t="shared" si="1"/>
        <v>3.7202941176470574</v>
      </c>
      <c r="F36" s="4">
        <f t="shared" si="2"/>
        <v>13.42369653979244</v>
      </c>
      <c r="G36" s="4">
        <f t="shared" si="3"/>
        <v>13.019361937716374</v>
      </c>
      <c r="H36" s="4">
        <f t="shared" si="3"/>
        <v>13.840588321799297</v>
      </c>
    </row>
    <row r="37" spans="1:8" x14ac:dyDescent="0.25">
      <c r="A37">
        <v>34</v>
      </c>
      <c r="B37" s="6">
        <v>134.91999999999999</v>
      </c>
      <c r="C37" s="53">
        <f t="shared" si="4"/>
        <v>117.17</v>
      </c>
      <c r="D37" s="53">
        <f t="shared" si="0"/>
        <v>5.6682352941176362</v>
      </c>
      <c r="E37" s="53">
        <f t="shared" si="1"/>
        <v>5.6202941176470631</v>
      </c>
      <c r="F37" s="4">
        <f t="shared" si="2"/>
        <v>31.857149480968822</v>
      </c>
      <c r="G37" s="4">
        <f t="shared" si="3"/>
        <v>32.128891349480845</v>
      </c>
      <c r="H37" s="4">
        <f t="shared" si="3"/>
        <v>31.587705968858181</v>
      </c>
    </row>
    <row r="38" spans="1:8" x14ac:dyDescent="0.25">
      <c r="A38">
        <v>35</v>
      </c>
      <c r="B38" s="6">
        <v>135.69999999999999</v>
      </c>
      <c r="C38" s="53">
        <f t="shared" si="4"/>
        <v>117.61</v>
      </c>
      <c r="D38" s="53">
        <f t="shared" si="0"/>
        <v>6.4482352941176373</v>
      </c>
      <c r="E38" s="53">
        <f t="shared" si="1"/>
        <v>6.0602941176470608</v>
      </c>
      <c r="F38" s="4">
        <f t="shared" si="2"/>
        <v>39.078202422145282</v>
      </c>
      <c r="G38" s="4">
        <f t="shared" si="3"/>
        <v>41.579738408304372</v>
      </c>
      <c r="H38" s="4">
        <f t="shared" si="3"/>
        <v>36.727164792387569</v>
      </c>
    </row>
    <row r="39" spans="1:8" x14ac:dyDescent="0.25">
      <c r="A39">
        <v>36</v>
      </c>
      <c r="B39" s="6">
        <v>136.13999999999999</v>
      </c>
      <c r="C39" s="53">
        <f t="shared" si="4"/>
        <v>117.26</v>
      </c>
      <c r="D39" s="53">
        <f t="shared" si="0"/>
        <v>6.888235294117635</v>
      </c>
      <c r="E39" s="53">
        <f t="shared" si="1"/>
        <v>5.7102941176470665</v>
      </c>
      <c r="F39" s="4">
        <f t="shared" si="2"/>
        <v>39.333849480968844</v>
      </c>
      <c r="G39" s="4">
        <f t="shared" si="3"/>
        <v>47.447785467127865</v>
      </c>
      <c r="H39" s="4">
        <f t="shared" si="3"/>
        <v>32.607458910034687</v>
      </c>
    </row>
    <row r="40" spans="1:8" x14ac:dyDescent="0.25">
      <c r="A40">
        <v>37</v>
      </c>
      <c r="B40" s="6">
        <v>140.15</v>
      </c>
      <c r="C40" s="53">
        <f t="shared" si="4"/>
        <v>115.88</v>
      </c>
      <c r="D40" s="53">
        <f t="shared" si="0"/>
        <v>10.898235294117654</v>
      </c>
      <c r="E40" s="53">
        <f t="shared" si="1"/>
        <v>4.3302941176470569</v>
      </c>
      <c r="F40" s="4">
        <f t="shared" si="2"/>
        <v>47.192564186851222</v>
      </c>
      <c r="G40" s="4">
        <f t="shared" si="3"/>
        <v>118.77153252595171</v>
      </c>
      <c r="H40" s="4">
        <f t="shared" si="3"/>
        <v>18.751447145328704</v>
      </c>
    </row>
    <row r="41" spans="1:8" x14ac:dyDescent="0.25">
      <c r="A41">
        <v>38</v>
      </c>
      <c r="B41" s="6">
        <v>140.09</v>
      </c>
      <c r="C41" s="53">
        <f t="shared" si="4"/>
        <v>113.35</v>
      </c>
      <c r="D41" s="53">
        <f t="shared" si="0"/>
        <v>10.838235294117652</v>
      </c>
      <c r="E41" s="53">
        <f t="shared" si="1"/>
        <v>1.8002941176470557</v>
      </c>
      <c r="F41" s="4">
        <f t="shared" si="2"/>
        <v>19.512011245674717</v>
      </c>
      <c r="G41" s="4">
        <f t="shared" si="3"/>
        <v>117.46734429065755</v>
      </c>
      <c r="H41" s="4">
        <f t="shared" si="3"/>
        <v>3.241058910034591</v>
      </c>
    </row>
    <row r="42" spans="1:8" x14ac:dyDescent="0.25">
      <c r="A42">
        <v>39</v>
      </c>
      <c r="B42" s="6">
        <v>139.1</v>
      </c>
      <c r="C42" s="53">
        <f t="shared" si="4"/>
        <v>111.39</v>
      </c>
      <c r="D42" s="53">
        <f t="shared" si="0"/>
        <v>9.848235294117643</v>
      </c>
      <c r="E42" s="53">
        <f t="shared" si="1"/>
        <v>-0.15970588235293803</v>
      </c>
      <c r="F42" s="4">
        <f t="shared" si="2"/>
        <v>-1.5728211072664045</v>
      </c>
      <c r="G42" s="4">
        <f t="shared" si="3"/>
        <v>96.987738408304423</v>
      </c>
      <c r="H42" s="4">
        <f t="shared" si="3"/>
        <v>2.5505968858130484E-2</v>
      </c>
    </row>
    <row r="43" spans="1:8" x14ac:dyDescent="0.25">
      <c r="A43">
        <v>40</v>
      </c>
      <c r="B43" s="6">
        <v>137.5</v>
      </c>
      <c r="C43" s="53">
        <f t="shared" si="4"/>
        <v>109.76</v>
      </c>
      <c r="D43" s="53">
        <f t="shared" si="0"/>
        <v>8.2482352941176487</v>
      </c>
      <c r="E43" s="53">
        <f t="shared" si="1"/>
        <v>-1.7897058823529335</v>
      </c>
      <c r="F43" s="4">
        <f t="shared" si="2"/>
        <v>-14.761915224913434</v>
      </c>
      <c r="G43" s="4">
        <f t="shared" ref="G43:H61" si="5">D43*D43</f>
        <v>68.033385467128056</v>
      </c>
      <c r="H43" s="4">
        <f t="shared" si="5"/>
        <v>3.2030471453286924</v>
      </c>
    </row>
    <row r="44" spans="1:8" x14ac:dyDescent="0.25">
      <c r="A44">
        <v>41</v>
      </c>
      <c r="B44" s="6">
        <v>136.12</v>
      </c>
      <c r="C44" s="53">
        <f t="shared" si="4"/>
        <v>109.5</v>
      </c>
      <c r="D44" s="53">
        <f t="shared" si="0"/>
        <v>6.8682352941176532</v>
      </c>
      <c r="E44" s="53">
        <f t="shared" si="1"/>
        <v>-2.0497058823529386</v>
      </c>
      <c r="F44" s="4">
        <f t="shared" si="2"/>
        <v>-14.077862283737019</v>
      </c>
      <c r="G44" s="4">
        <f t="shared" si="5"/>
        <v>47.172656055363404</v>
      </c>
      <c r="H44" s="4">
        <f t="shared" si="5"/>
        <v>4.201294204152239</v>
      </c>
    </row>
    <row r="45" spans="1:8" x14ac:dyDescent="0.25">
      <c r="A45">
        <v>42</v>
      </c>
      <c r="B45" s="6">
        <v>135.22</v>
      </c>
      <c r="C45" s="53">
        <f t="shared" si="4"/>
        <v>108.86</v>
      </c>
      <c r="D45" s="53">
        <f t="shared" si="0"/>
        <v>5.9682352941176475</v>
      </c>
      <c r="E45" s="53">
        <f t="shared" si="1"/>
        <v>-2.6897058823529392</v>
      </c>
      <c r="F45" s="4">
        <f t="shared" si="2"/>
        <v>-16.052797577854662</v>
      </c>
      <c r="G45" s="4">
        <f t="shared" si="5"/>
        <v>35.619832525951566</v>
      </c>
      <c r="H45" s="4">
        <f t="shared" si="5"/>
        <v>7.2345177335640027</v>
      </c>
    </row>
    <row r="46" spans="1:8" x14ac:dyDescent="0.25">
      <c r="A46">
        <v>43</v>
      </c>
      <c r="B46" s="6">
        <v>134.72999999999999</v>
      </c>
      <c r="C46" s="53">
        <f t="shared" si="4"/>
        <v>108.49</v>
      </c>
      <c r="D46" s="53">
        <f t="shared" si="0"/>
        <v>5.4782352941176384</v>
      </c>
      <c r="E46" s="53">
        <f t="shared" si="1"/>
        <v>-3.0597058823529437</v>
      </c>
      <c r="F46" s="4">
        <f t="shared" si="2"/>
        <v>-16.761788754325249</v>
      </c>
      <c r="G46" s="4">
        <f t="shared" si="5"/>
        <v>30.011061937716168</v>
      </c>
      <c r="H46" s="4">
        <f t="shared" si="5"/>
        <v>9.3618000865052053</v>
      </c>
    </row>
    <row r="47" spans="1:8" x14ac:dyDescent="0.25">
      <c r="A47">
        <v>44</v>
      </c>
      <c r="B47" s="6">
        <v>134.38999999999999</v>
      </c>
      <c r="C47" s="53">
        <f t="shared" si="4"/>
        <v>108.36</v>
      </c>
      <c r="D47" s="53">
        <f t="shared" si="0"/>
        <v>5.138235294117635</v>
      </c>
      <c r="E47" s="53">
        <f t="shared" si="1"/>
        <v>-3.1897058823529392</v>
      </c>
      <c r="F47" s="4">
        <f t="shared" si="2"/>
        <v>-16.389459342560507</v>
      </c>
      <c r="G47" s="4">
        <f t="shared" si="5"/>
        <v>26.401461937716139</v>
      </c>
      <c r="H47" s="4">
        <f t="shared" si="5"/>
        <v>10.174223615916942</v>
      </c>
    </row>
    <row r="48" spans="1:8" x14ac:dyDescent="0.25">
      <c r="A48">
        <v>45</v>
      </c>
      <c r="B48" s="6">
        <v>134.51</v>
      </c>
      <c r="C48" s="53">
        <f t="shared" si="4"/>
        <v>108.19</v>
      </c>
      <c r="D48" s="53">
        <f t="shared" si="0"/>
        <v>5.2582352941176396</v>
      </c>
      <c r="E48" s="53">
        <f t="shared" si="1"/>
        <v>-3.3597058823529409</v>
      </c>
      <c r="F48" s="4">
        <f t="shared" si="2"/>
        <v>-17.666124048442878</v>
      </c>
      <c r="G48" s="4">
        <f t="shared" si="5"/>
        <v>27.64903840830442</v>
      </c>
      <c r="H48" s="4">
        <f t="shared" si="5"/>
        <v>11.287623615916953</v>
      </c>
    </row>
    <row r="49" spans="1:8" x14ac:dyDescent="0.25">
      <c r="A49">
        <v>46</v>
      </c>
      <c r="B49" s="6">
        <v>134.46</v>
      </c>
      <c r="C49" s="53">
        <f t="shared" si="4"/>
        <v>107.8</v>
      </c>
      <c r="D49" s="53">
        <f t="shared" si="0"/>
        <v>5.2082352941176566</v>
      </c>
      <c r="E49" s="53">
        <f t="shared" si="1"/>
        <v>-3.7497058823529414</v>
      </c>
      <c r="F49" s="4">
        <f t="shared" si="2"/>
        <v>-19.52935051903118</v>
      </c>
      <c r="G49" s="4">
        <f t="shared" si="5"/>
        <v>27.125714878892833</v>
      </c>
      <c r="H49" s="4">
        <f t="shared" si="5"/>
        <v>14.060294204152251</v>
      </c>
    </row>
    <row r="50" spans="1:8" x14ac:dyDescent="0.25">
      <c r="A50">
        <v>47</v>
      </c>
      <c r="B50" s="6">
        <v>134.27000000000001</v>
      </c>
      <c r="C50" s="53">
        <f t="shared" si="4"/>
        <v>107.47</v>
      </c>
      <c r="D50" s="53">
        <f t="shared" si="0"/>
        <v>5.0182352941176589</v>
      </c>
      <c r="E50" s="53">
        <f t="shared" si="1"/>
        <v>-4.0797058823529397</v>
      </c>
      <c r="F50" s="4">
        <f t="shared" si="2"/>
        <v>-20.472924048442948</v>
      </c>
      <c r="G50" s="4">
        <f t="shared" si="5"/>
        <v>25.182685467128145</v>
      </c>
      <c r="H50" s="4">
        <f t="shared" si="5"/>
        <v>16.64400008650518</v>
      </c>
    </row>
    <row r="51" spans="1:8" x14ac:dyDescent="0.25">
      <c r="A51">
        <v>48</v>
      </c>
      <c r="B51" s="6">
        <v>133.72999999999999</v>
      </c>
      <c r="C51" s="53">
        <f t="shared" si="4"/>
        <v>107.03</v>
      </c>
      <c r="D51" s="53">
        <f t="shared" si="0"/>
        <v>4.4782352941176384</v>
      </c>
      <c r="E51" s="53">
        <f t="shared" si="1"/>
        <v>-4.5197058823529375</v>
      </c>
      <c r="F51" s="4">
        <f t="shared" si="2"/>
        <v>-20.240306401384029</v>
      </c>
      <c r="G51" s="4">
        <f t="shared" si="5"/>
        <v>20.054591349480891</v>
      </c>
      <c r="H51" s="4">
        <f t="shared" si="5"/>
        <v>20.427741262975744</v>
      </c>
    </row>
    <row r="52" spans="1:8" x14ac:dyDescent="0.25">
      <c r="A52">
        <v>49</v>
      </c>
      <c r="B52" s="6">
        <v>132.01</v>
      </c>
      <c r="C52" s="53">
        <f t="shared" si="4"/>
        <v>106.61</v>
      </c>
      <c r="D52" s="53">
        <f t="shared" si="0"/>
        <v>2.7582352941176396</v>
      </c>
      <c r="E52" s="53">
        <f t="shared" si="1"/>
        <v>-4.9397058823529392</v>
      </c>
      <c r="F52" s="4">
        <f t="shared" si="2"/>
        <v>-13.624871107266394</v>
      </c>
      <c r="G52" s="4">
        <f t="shared" si="5"/>
        <v>7.6078619377162218</v>
      </c>
      <c r="H52" s="4">
        <f t="shared" si="5"/>
        <v>24.400694204152231</v>
      </c>
    </row>
    <row r="53" spans="1:8" x14ac:dyDescent="0.25">
      <c r="A53">
        <v>50</v>
      </c>
      <c r="B53" s="6">
        <v>130.59</v>
      </c>
      <c r="C53" s="53">
        <f t="shared" si="4"/>
        <v>106.57</v>
      </c>
      <c r="D53" s="53">
        <f t="shared" si="0"/>
        <v>1.3382352941176521</v>
      </c>
      <c r="E53" s="53">
        <f t="shared" si="1"/>
        <v>-4.9797058823529454</v>
      </c>
      <c r="F53" s="4">
        <f t="shared" si="2"/>
        <v>-6.6640181660899964</v>
      </c>
      <c r="G53" s="4">
        <f t="shared" si="5"/>
        <v>1.7908737024221588</v>
      </c>
      <c r="H53" s="4">
        <f t="shared" si="5"/>
        <v>24.797470674740527</v>
      </c>
    </row>
    <row r="54" spans="1:8" x14ac:dyDescent="0.25">
      <c r="A54">
        <v>51</v>
      </c>
      <c r="B54" s="6">
        <v>130.28</v>
      </c>
      <c r="C54" s="53">
        <f t="shared" si="4"/>
        <v>106.49</v>
      </c>
      <c r="D54" s="53">
        <f t="shared" si="0"/>
        <v>1.0282352941176498</v>
      </c>
      <c r="E54" s="53">
        <f t="shared" si="1"/>
        <v>-5.0597058823529437</v>
      </c>
      <c r="F54" s="4">
        <f t="shared" si="2"/>
        <v>-5.2025681660899821</v>
      </c>
      <c r="G54" s="4">
        <f t="shared" si="5"/>
        <v>1.0572678200692098</v>
      </c>
      <c r="H54" s="4">
        <f t="shared" si="5"/>
        <v>25.60062361591698</v>
      </c>
    </row>
    <row r="55" spans="1:8" x14ac:dyDescent="0.25">
      <c r="A55">
        <v>52</v>
      </c>
      <c r="B55" s="6">
        <v>129.16</v>
      </c>
      <c r="C55" s="53">
        <f t="shared" si="4"/>
        <v>107.04</v>
      </c>
      <c r="D55" s="53">
        <f t="shared" si="0"/>
        <v>-9.1764705882354747E-2</v>
      </c>
      <c r="E55" s="53">
        <f t="shared" si="1"/>
        <v>-4.5097058823529323</v>
      </c>
      <c r="F55" s="4">
        <f t="shared" si="2"/>
        <v>0.41383183391004191</v>
      </c>
      <c r="G55" s="4">
        <f t="shared" si="5"/>
        <v>8.4207612456750711E-3</v>
      </c>
      <c r="H55" s="4">
        <f t="shared" si="5"/>
        <v>20.337447145328639</v>
      </c>
    </row>
    <row r="56" spans="1:8" x14ac:dyDescent="0.25">
      <c r="A56">
        <v>53</v>
      </c>
      <c r="B56" s="6">
        <v>128.94</v>
      </c>
      <c r="C56" s="53">
        <f t="shared" si="4"/>
        <v>111.35</v>
      </c>
      <c r="D56" s="53">
        <f t="shared" si="0"/>
        <v>-0.31176470588235361</v>
      </c>
      <c r="E56" s="53">
        <f t="shared" si="1"/>
        <v>-0.19970588235294429</v>
      </c>
      <c r="F56" s="4">
        <f t="shared" si="2"/>
        <v>6.2261245674741589E-2</v>
      </c>
      <c r="G56" s="4">
        <f t="shared" si="5"/>
        <v>9.719723183391045E-2</v>
      </c>
      <c r="H56" s="4">
        <f t="shared" si="5"/>
        <v>3.9882439446368025E-2</v>
      </c>
    </row>
    <row r="57" spans="1:8" x14ac:dyDescent="0.25">
      <c r="A57">
        <v>54</v>
      </c>
      <c r="B57" s="6">
        <v>129.30000000000001</v>
      </c>
      <c r="C57" s="53">
        <f t="shared" si="4"/>
        <v>117.54</v>
      </c>
      <c r="D57" s="53">
        <f t="shared" si="0"/>
        <v>4.8235294117660032E-2</v>
      </c>
      <c r="E57" s="53">
        <f t="shared" si="1"/>
        <v>5.9902941176470677</v>
      </c>
      <c r="F57" s="4">
        <f t="shared" si="2"/>
        <v>0.28894359861599511</v>
      </c>
      <c r="G57" s="4">
        <f t="shared" si="5"/>
        <v>2.3266435986171686E-3</v>
      </c>
      <c r="H57" s="4">
        <f t="shared" si="5"/>
        <v>35.88362361591706</v>
      </c>
    </row>
    <row r="58" spans="1:8" x14ac:dyDescent="0.25">
      <c r="A58">
        <v>55</v>
      </c>
      <c r="B58" s="6">
        <v>131.22</v>
      </c>
      <c r="C58" s="53">
        <f t="shared" si="4"/>
        <v>122.58</v>
      </c>
      <c r="D58" s="53">
        <f t="shared" si="0"/>
        <v>1.9682352941176475</v>
      </c>
      <c r="E58" s="53">
        <f t="shared" si="1"/>
        <v>11.03029411764706</v>
      </c>
      <c r="F58" s="4">
        <f t="shared" si="2"/>
        <v>21.710214186851218</v>
      </c>
      <c r="G58" s="4">
        <f t="shared" si="5"/>
        <v>3.8739501730103822</v>
      </c>
      <c r="H58" s="4">
        <f t="shared" si="5"/>
        <v>121.66738832179932</v>
      </c>
    </row>
    <row r="59" spans="1:8" x14ac:dyDescent="0.25">
      <c r="A59">
        <v>56</v>
      </c>
      <c r="B59" s="6">
        <v>132.52000000000001</v>
      </c>
      <c r="C59" s="53">
        <f t="shared" si="4"/>
        <v>128.16</v>
      </c>
      <c r="D59" s="53">
        <f t="shared" si="0"/>
        <v>3.2682352941176589</v>
      </c>
      <c r="E59" s="53">
        <f t="shared" si="1"/>
        <v>16.610294117647058</v>
      </c>
      <c r="F59" s="4">
        <f t="shared" si="2"/>
        <v>54.286349480969051</v>
      </c>
      <c r="G59" s="4">
        <f t="shared" si="5"/>
        <v>10.681361937716341</v>
      </c>
      <c r="H59" s="4">
        <f t="shared" si="5"/>
        <v>275.90187067474045</v>
      </c>
    </row>
    <row r="60" spans="1:8" x14ac:dyDescent="0.25">
      <c r="A60">
        <v>57</v>
      </c>
      <c r="B60" s="6">
        <v>134.25</v>
      </c>
      <c r="C60" s="53">
        <f t="shared" si="4"/>
        <v>132.86000000000001</v>
      </c>
      <c r="D60" s="53">
        <f t="shared" si="0"/>
        <v>4.9982352941176487</v>
      </c>
      <c r="E60" s="53">
        <f t="shared" si="1"/>
        <v>21.310294117647075</v>
      </c>
      <c r="F60" s="4">
        <f t="shared" si="2"/>
        <v>106.51386418685132</v>
      </c>
      <c r="G60" s="4">
        <f t="shared" si="5"/>
        <v>24.982356055363336</v>
      </c>
      <c r="H60" s="4">
        <f t="shared" si="5"/>
        <v>454.12863538062351</v>
      </c>
    </row>
    <row r="61" spans="1:8" x14ac:dyDescent="0.25">
      <c r="A61">
        <v>58</v>
      </c>
      <c r="B61" s="6">
        <v>136.06</v>
      </c>
      <c r="C61" s="53">
        <f t="shared" si="4"/>
        <v>134.91999999999999</v>
      </c>
      <c r="D61" s="53">
        <f t="shared" si="0"/>
        <v>6.8082352941176509</v>
      </c>
      <c r="E61" s="53">
        <f t="shared" si="1"/>
        <v>23.370294117647049</v>
      </c>
      <c r="F61" s="4">
        <f t="shared" si="2"/>
        <v>159.11046124567477</v>
      </c>
      <c r="G61" s="4">
        <f t="shared" si="5"/>
        <v>46.352067820069259</v>
      </c>
      <c r="H61" s="4">
        <f t="shared" si="5"/>
        <v>546.1706471453283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3792.69</v>
      </c>
      <c r="D62" s="39">
        <f t="shared" si="6"/>
        <v>1.4210854715202004E-14</v>
      </c>
      <c r="E62" s="39">
        <f t="shared" si="6"/>
        <v>2.8421709430404007E-14</v>
      </c>
      <c r="F62" s="39">
        <f t="shared" si="6"/>
        <v>1466.6294176470597</v>
      </c>
      <c r="G62" s="39">
        <f t="shared" si="6"/>
        <v>3413.0218941176472</v>
      </c>
      <c r="H62" s="39">
        <f t="shared" si="6"/>
        <v>2261.7792970588243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111.54970588235294</v>
      </c>
    </row>
    <row r="65" spans="1:2" ht="18" x14ac:dyDescent="0.35">
      <c r="A65" t="s">
        <v>284</v>
      </c>
      <c r="B65" s="39">
        <f>SUM(B28:B61)/34</f>
        <v>129.25176470588235</v>
      </c>
    </row>
    <row r="66" spans="1:2" ht="18" x14ac:dyDescent="0.35">
      <c r="A66" t="s">
        <v>285</v>
      </c>
      <c r="B66">
        <f>SUM(C28:C61)/34</f>
        <v>111.54970588235294</v>
      </c>
    </row>
    <row r="68" spans="1:2" ht="18" x14ac:dyDescent="0.35">
      <c r="A68" t="s">
        <v>286</v>
      </c>
      <c r="B68">
        <f>F62/SQRT(G62*H62)</f>
        <v>0.52786849484454179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9" workbookViewId="0">
      <selection activeCell="D71" sqref="D71"/>
    </sheetView>
  </sheetViews>
  <sheetFormatPr defaultRowHeight="15" x14ac:dyDescent="0.25"/>
  <cols>
    <col min="6" max="6" width="18.285156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287</v>
      </c>
      <c r="D3" s="45" t="s">
        <v>288</v>
      </c>
      <c r="E3" s="45" t="s">
        <v>289</v>
      </c>
      <c r="F3" s="46" t="s">
        <v>290</v>
      </c>
      <c r="G3" s="45" t="s">
        <v>291</v>
      </c>
      <c r="H3" s="45" t="s">
        <v>292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>
        <v>22</v>
      </c>
      <c r="B25" s="6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>
        <v>23</v>
      </c>
      <c r="B26" s="6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>
        <v>24</v>
      </c>
      <c r="B27" s="6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>
        <v>25</v>
      </c>
      <c r="B28" s="6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>
        <v>26</v>
      </c>
      <c r="B29" s="6">
        <v>106.57</v>
      </c>
      <c r="C29" s="53">
        <f>B4</f>
        <v>102.32</v>
      </c>
      <c r="D29" s="53">
        <f t="shared" ref="D29:D61" si="0">B29-$B$65</f>
        <v>-23.367878787878823</v>
      </c>
      <c r="E29" s="53">
        <f t="shared" ref="E29:E61" si="1">C29-$B$66</f>
        <v>-8.5215151515151604</v>
      </c>
      <c r="F29" s="4">
        <f t="shared" ref="F29:F61" si="2">D29*E29</f>
        <v>199.12973314967911</v>
      </c>
      <c r="G29" s="4">
        <f t="shared" ref="G29:H43" si="3">D29*D29</f>
        <v>546.05775904499706</v>
      </c>
      <c r="H29" s="4">
        <f t="shared" si="3"/>
        <v>72.616220477502452</v>
      </c>
    </row>
    <row r="30" spans="1:8" x14ac:dyDescent="0.25">
      <c r="A30">
        <v>27</v>
      </c>
      <c r="B30" s="6">
        <v>106.49</v>
      </c>
      <c r="C30" s="53">
        <f t="shared" ref="C30:C61" si="4">B5</f>
        <v>102.21</v>
      </c>
      <c r="D30" s="53">
        <f t="shared" si="0"/>
        <v>-23.447878787878821</v>
      </c>
      <c r="E30" s="53">
        <f t="shared" si="1"/>
        <v>-8.6315151515151598</v>
      </c>
      <c r="F30" s="4">
        <f t="shared" si="2"/>
        <v>202.39072102846697</v>
      </c>
      <c r="G30" s="4">
        <f t="shared" si="3"/>
        <v>549.80301965105753</v>
      </c>
      <c r="H30" s="4">
        <f t="shared" si="3"/>
        <v>74.503053810835766</v>
      </c>
    </row>
    <row r="31" spans="1:8" x14ac:dyDescent="0.25">
      <c r="A31">
        <v>28</v>
      </c>
      <c r="B31" s="6">
        <v>107.04</v>
      </c>
      <c r="C31" s="53">
        <f t="shared" si="4"/>
        <v>102.16</v>
      </c>
      <c r="D31" s="53">
        <f t="shared" si="0"/>
        <v>-22.89787878787881</v>
      </c>
      <c r="E31" s="53">
        <f t="shared" si="1"/>
        <v>-8.681515151515157</v>
      </c>
      <c r="F31" s="4">
        <f t="shared" si="2"/>
        <v>198.78828163452741</v>
      </c>
      <c r="G31" s="4">
        <f t="shared" si="3"/>
        <v>524.31285298439036</v>
      </c>
      <c r="H31" s="4">
        <f t="shared" si="3"/>
        <v>75.368705325987236</v>
      </c>
    </row>
    <row r="32" spans="1:8" x14ac:dyDescent="0.25">
      <c r="A32">
        <v>29</v>
      </c>
      <c r="B32" s="6">
        <v>111.35</v>
      </c>
      <c r="C32" s="53">
        <f t="shared" si="4"/>
        <v>102.06</v>
      </c>
      <c r="D32" s="53">
        <f t="shared" si="0"/>
        <v>-18.587878787878822</v>
      </c>
      <c r="E32" s="53">
        <f t="shared" si="1"/>
        <v>-8.7815151515151513</v>
      </c>
      <c r="F32" s="4">
        <f t="shared" si="2"/>
        <v>163.22973921028495</v>
      </c>
      <c r="G32" s="4">
        <f t="shared" si="3"/>
        <v>345.50923783287544</v>
      </c>
      <c r="H32" s="4">
        <f t="shared" si="3"/>
        <v>77.115008356290176</v>
      </c>
    </row>
    <row r="33" spans="1:8" x14ac:dyDescent="0.25">
      <c r="A33">
        <v>30</v>
      </c>
      <c r="B33" s="6">
        <v>117.54</v>
      </c>
      <c r="C33" s="53">
        <f t="shared" si="4"/>
        <v>102.55</v>
      </c>
      <c r="D33" s="53">
        <f t="shared" si="0"/>
        <v>-12.39787878787881</v>
      </c>
      <c r="E33" s="53">
        <f t="shared" si="1"/>
        <v>-8.2915151515151564</v>
      </c>
      <c r="F33" s="4">
        <f t="shared" si="2"/>
        <v>102.79719981634551</v>
      </c>
      <c r="G33" s="4">
        <f t="shared" si="3"/>
        <v>153.70739843893534</v>
      </c>
      <c r="H33" s="4">
        <f t="shared" si="3"/>
        <v>68.749223507805411</v>
      </c>
    </row>
    <row r="34" spans="1:8" x14ac:dyDescent="0.25">
      <c r="A34">
        <v>31</v>
      </c>
      <c r="B34" s="6">
        <v>122.58</v>
      </c>
      <c r="C34" s="53">
        <f t="shared" si="4"/>
        <v>104.35</v>
      </c>
      <c r="D34" s="53">
        <f t="shared" si="0"/>
        <v>-7.3578787878788177</v>
      </c>
      <c r="E34" s="53">
        <f t="shared" si="1"/>
        <v>-6.4915151515151592</v>
      </c>
      <c r="F34" s="4">
        <f t="shared" si="2"/>
        <v>47.763781634527341</v>
      </c>
      <c r="G34" s="4">
        <f t="shared" si="3"/>
        <v>54.138380257117056</v>
      </c>
      <c r="H34" s="4">
        <f t="shared" si="3"/>
        <v>42.139768962350878</v>
      </c>
    </row>
    <row r="35" spans="1:8" x14ac:dyDescent="0.25">
      <c r="A35">
        <v>32</v>
      </c>
      <c r="B35" s="6">
        <v>128.16</v>
      </c>
      <c r="C35" s="53">
        <f t="shared" si="4"/>
        <v>107.57</v>
      </c>
      <c r="D35" s="53">
        <f t="shared" si="0"/>
        <v>-1.7778787878788194</v>
      </c>
      <c r="E35" s="53">
        <f t="shared" si="1"/>
        <v>-3.2715151515151604</v>
      </c>
      <c r="F35" s="4">
        <f t="shared" si="2"/>
        <v>5.8163573921029652</v>
      </c>
      <c r="G35" s="4">
        <f t="shared" si="3"/>
        <v>3.1608529843894599</v>
      </c>
      <c r="H35" s="4">
        <f t="shared" si="3"/>
        <v>10.702811386593263</v>
      </c>
    </row>
    <row r="36" spans="1:8" x14ac:dyDescent="0.25">
      <c r="A36">
        <v>33</v>
      </c>
      <c r="B36" s="6">
        <v>132.86000000000001</v>
      </c>
      <c r="C36" s="53">
        <f t="shared" si="4"/>
        <v>111.96</v>
      </c>
      <c r="D36" s="53">
        <f t="shared" si="0"/>
        <v>2.9221212121211977</v>
      </c>
      <c r="E36" s="53">
        <f t="shared" si="1"/>
        <v>1.1184848484848402</v>
      </c>
      <c r="F36" s="4">
        <f t="shared" si="2"/>
        <v>3.2683483011937153</v>
      </c>
      <c r="G36" s="4">
        <f t="shared" si="3"/>
        <v>8.5387923783286581</v>
      </c>
      <c r="H36" s="4">
        <f t="shared" si="3"/>
        <v>1.2510083562901559</v>
      </c>
    </row>
    <row r="37" spans="1:8" x14ac:dyDescent="0.25">
      <c r="A37">
        <v>34</v>
      </c>
      <c r="B37" s="6">
        <v>134.91999999999999</v>
      </c>
      <c r="C37" s="53">
        <f t="shared" si="4"/>
        <v>115.27</v>
      </c>
      <c r="D37" s="53">
        <f t="shared" si="0"/>
        <v>4.9821212121211715</v>
      </c>
      <c r="E37" s="53">
        <f t="shared" si="1"/>
        <v>4.4284848484848425</v>
      </c>
      <c r="F37" s="4">
        <f t="shared" si="2"/>
        <v>22.063248301193546</v>
      </c>
      <c r="G37" s="4">
        <f t="shared" si="3"/>
        <v>24.821531772267733</v>
      </c>
      <c r="H37" s="4">
        <f t="shared" si="3"/>
        <v>19.61147805325982</v>
      </c>
    </row>
    <row r="38" spans="1:8" x14ac:dyDescent="0.25">
      <c r="A38">
        <v>35</v>
      </c>
      <c r="B38" s="6">
        <v>135.69999999999999</v>
      </c>
      <c r="C38" s="53">
        <f t="shared" si="4"/>
        <v>117.17</v>
      </c>
      <c r="D38" s="53">
        <f t="shared" si="0"/>
        <v>5.7621212121211727</v>
      </c>
      <c r="E38" s="53">
        <f t="shared" si="1"/>
        <v>6.3284848484848482</v>
      </c>
      <c r="F38" s="4">
        <f t="shared" si="2"/>
        <v>36.465496786041989</v>
      </c>
      <c r="G38" s="4">
        <f t="shared" si="3"/>
        <v>33.202040863176769</v>
      </c>
      <c r="H38" s="4">
        <f t="shared" si="3"/>
        <v>40.049720477502291</v>
      </c>
    </row>
    <row r="39" spans="1:8" x14ac:dyDescent="0.25">
      <c r="A39">
        <v>36</v>
      </c>
      <c r="B39" s="6">
        <v>136.13999999999999</v>
      </c>
      <c r="C39" s="53">
        <f t="shared" si="4"/>
        <v>117.61</v>
      </c>
      <c r="D39" s="53">
        <f t="shared" si="0"/>
        <v>6.2021212121211704</v>
      </c>
      <c r="E39" s="53">
        <f t="shared" si="1"/>
        <v>6.7684848484848459</v>
      </c>
      <c r="F39" s="4">
        <f t="shared" si="2"/>
        <v>41.978963452708612</v>
      </c>
      <c r="G39" s="4">
        <f t="shared" si="3"/>
        <v>38.466307529843377</v>
      </c>
      <c r="H39" s="4">
        <f t="shared" si="3"/>
        <v>45.81238714416893</v>
      </c>
    </row>
    <row r="40" spans="1:8" x14ac:dyDescent="0.25">
      <c r="A40">
        <v>37</v>
      </c>
      <c r="B40" s="6">
        <v>140.15</v>
      </c>
      <c r="C40" s="53">
        <f t="shared" si="4"/>
        <v>117.26</v>
      </c>
      <c r="D40" s="53">
        <f t="shared" si="0"/>
        <v>10.21212121212119</v>
      </c>
      <c r="E40" s="53">
        <f t="shared" si="1"/>
        <v>6.4184848484848516</v>
      </c>
      <c r="F40" s="4">
        <f t="shared" si="2"/>
        <v>65.546345270890612</v>
      </c>
      <c r="G40" s="4">
        <f t="shared" si="3"/>
        <v>104.28741965105556</v>
      </c>
      <c r="H40" s="4">
        <f t="shared" si="3"/>
        <v>41.196947750229612</v>
      </c>
    </row>
    <row r="41" spans="1:8" x14ac:dyDescent="0.25">
      <c r="A41">
        <v>38</v>
      </c>
      <c r="B41" s="6">
        <v>140.09</v>
      </c>
      <c r="C41" s="53">
        <f t="shared" si="4"/>
        <v>115.88</v>
      </c>
      <c r="D41" s="53">
        <f t="shared" si="0"/>
        <v>10.152121212121187</v>
      </c>
      <c r="E41" s="53">
        <f t="shared" si="1"/>
        <v>5.0384848484848419</v>
      </c>
      <c r="F41" s="4">
        <f t="shared" si="2"/>
        <v>51.151308907254169</v>
      </c>
      <c r="G41" s="4">
        <f t="shared" si="3"/>
        <v>103.06556510560097</v>
      </c>
      <c r="H41" s="4">
        <f t="shared" si="3"/>
        <v>25.38632956841132</v>
      </c>
    </row>
    <row r="42" spans="1:8" x14ac:dyDescent="0.25">
      <c r="A42">
        <v>39</v>
      </c>
      <c r="B42" s="6">
        <v>139.1</v>
      </c>
      <c r="C42" s="53">
        <f t="shared" si="4"/>
        <v>113.35</v>
      </c>
      <c r="D42" s="53">
        <f t="shared" si="0"/>
        <v>9.1621212121211784</v>
      </c>
      <c r="E42" s="53">
        <f t="shared" si="1"/>
        <v>2.5084848484848408</v>
      </c>
      <c r="F42" s="4">
        <f t="shared" si="2"/>
        <v>22.98304224058754</v>
      </c>
      <c r="G42" s="4">
        <f t="shared" si="3"/>
        <v>83.944465105600855</v>
      </c>
      <c r="H42" s="4">
        <f t="shared" si="3"/>
        <v>6.2924962350780147</v>
      </c>
    </row>
    <row r="43" spans="1:8" x14ac:dyDescent="0.25">
      <c r="A43">
        <v>40</v>
      </c>
      <c r="B43" s="6">
        <v>137.5</v>
      </c>
      <c r="C43" s="53">
        <f t="shared" si="4"/>
        <v>111.39</v>
      </c>
      <c r="D43" s="53">
        <f t="shared" si="0"/>
        <v>7.562121212121184</v>
      </c>
      <c r="E43" s="53">
        <f t="shared" si="1"/>
        <v>0.54848484848484702</v>
      </c>
      <c r="F43" s="4">
        <f t="shared" si="2"/>
        <v>4.1477089072543354</v>
      </c>
      <c r="G43" s="4">
        <f t="shared" si="3"/>
        <v>57.185677226813169</v>
      </c>
      <c r="H43" s="4">
        <f t="shared" si="3"/>
        <v>0.30083562901744559</v>
      </c>
    </row>
    <row r="44" spans="1:8" x14ac:dyDescent="0.25">
      <c r="A44">
        <v>41</v>
      </c>
      <c r="B44" s="6">
        <v>136.12</v>
      </c>
      <c r="C44" s="53">
        <f t="shared" si="4"/>
        <v>109.76</v>
      </c>
      <c r="D44" s="53">
        <f t="shared" si="0"/>
        <v>6.1821212121211886</v>
      </c>
      <c r="E44" s="53">
        <f t="shared" si="1"/>
        <v>-1.0815151515151484</v>
      </c>
      <c r="F44" s="4">
        <f t="shared" si="2"/>
        <v>-6.6860577594122601</v>
      </c>
      <c r="G44" s="4">
        <f t="shared" ref="G44:H61" si="5">D44*D44</f>
        <v>38.218622681358752</v>
      </c>
      <c r="H44" s="4">
        <f t="shared" si="5"/>
        <v>1.1696750229568345</v>
      </c>
    </row>
    <row r="45" spans="1:8" x14ac:dyDescent="0.25">
      <c r="A45">
        <v>42</v>
      </c>
      <c r="B45" s="6">
        <v>135.22</v>
      </c>
      <c r="C45" s="53">
        <f t="shared" si="4"/>
        <v>109.5</v>
      </c>
      <c r="D45" s="53">
        <f t="shared" si="0"/>
        <v>5.2821212121211829</v>
      </c>
      <c r="E45" s="53">
        <f t="shared" si="1"/>
        <v>-1.3415151515151535</v>
      </c>
      <c r="F45" s="4">
        <f t="shared" si="2"/>
        <v>-7.0860456382001553</v>
      </c>
      <c r="G45" s="4">
        <f t="shared" si="5"/>
        <v>27.900804499540556</v>
      </c>
      <c r="H45" s="4">
        <f t="shared" si="5"/>
        <v>1.7996629017447254</v>
      </c>
    </row>
    <row r="46" spans="1:8" x14ac:dyDescent="0.25">
      <c r="A46">
        <v>43</v>
      </c>
      <c r="B46" s="6">
        <v>134.72999999999999</v>
      </c>
      <c r="C46" s="53">
        <f t="shared" si="4"/>
        <v>108.86</v>
      </c>
      <c r="D46" s="53">
        <f t="shared" si="0"/>
        <v>4.7921212121211738</v>
      </c>
      <c r="E46" s="53">
        <f t="shared" si="1"/>
        <v>-1.9815151515151541</v>
      </c>
      <c r="F46" s="4">
        <f t="shared" si="2"/>
        <v>-9.4956607897152718</v>
      </c>
      <c r="G46" s="4">
        <f t="shared" si="5"/>
        <v>22.964425711661708</v>
      </c>
      <c r="H46" s="4">
        <f t="shared" si="5"/>
        <v>3.9264022956841242</v>
      </c>
    </row>
    <row r="47" spans="1:8" x14ac:dyDescent="0.25">
      <c r="A47">
        <v>44</v>
      </c>
      <c r="B47" s="6">
        <v>134.38999999999999</v>
      </c>
      <c r="C47" s="53">
        <f t="shared" si="4"/>
        <v>108.49</v>
      </c>
      <c r="D47" s="53">
        <f t="shared" si="0"/>
        <v>4.4521212121211704</v>
      </c>
      <c r="E47" s="53">
        <f t="shared" si="1"/>
        <v>-2.3515151515151587</v>
      </c>
      <c r="F47" s="4">
        <f t="shared" si="2"/>
        <v>-10.469230486684966</v>
      </c>
      <c r="G47" s="4">
        <f t="shared" si="5"/>
        <v>19.82138328741928</v>
      </c>
      <c r="H47" s="4">
        <f t="shared" si="5"/>
        <v>5.5296235078053595</v>
      </c>
    </row>
    <row r="48" spans="1:8" x14ac:dyDescent="0.25">
      <c r="A48">
        <v>45</v>
      </c>
      <c r="B48" s="6">
        <v>134.51</v>
      </c>
      <c r="C48" s="53">
        <f t="shared" si="4"/>
        <v>108.36</v>
      </c>
      <c r="D48" s="53">
        <f t="shared" si="0"/>
        <v>4.5721212121211749</v>
      </c>
      <c r="E48" s="53">
        <f t="shared" si="1"/>
        <v>-2.4815151515151541</v>
      </c>
      <c r="F48" s="4">
        <f t="shared" si="2"/>
        <v>-11.345788062442528</v>
      </c>
      <c r="G48" s="4">
        <f t="shared" si="5"/>
        <v>20.904292378328403</v>
      </c>
      <c r="H48" s="4">
        <f t="shared" si="5"/>
        <v>6.1579174471992779</v>
      </c>
    </row>
    <row r="49" spans="1:8" x14ac:dyDescent="0.25">
      <c r="A49">
        <v>46</v>
      </c>
      <c r="B49" s="6">
        <v>134.46</v>
      </c>
      <c r="C49" s="53">
        <f t="shared" si="4"/>
        <v>108.19</v>
      </c>
      <c r="D49" s="53">
        <f t="shared" si="0"/>
        <v>4.522121212121192</v>
      </c>
      <c r="E49" s="53">
        <f t="shared" si="1"/>
        <v>-2.6515151515151558</v>
      </c>
      <c r="F49" s="4">
        <f t="shared" si="2"/>
        <v>-11.990472910927423</v>
      </c>
      <c r="G49" s="4">
        <f t="shared" si="5"/>
        <v>20.449580257116438</v>
      </c>
      <c r="H49" s="4">
        <f t="shared" si="5"/>
        <v>7.0305325987144398</v>
      </c>
    </row>
    <row r="50" spans="1:8" x14ac:dyDescent="0.25">
      <c r="A50">
        <v>47</v>
      </c>
      <c r="B50" s="6">
        <v>134.27000000000001</v>
      </c>
      <c r="C50" s="53">
        <f t="shared" si="4"/>
        <v>107.8</v>
      </c>
      <c r="D50" s="53">
        <f t="shared" si="0"/>
        <v>4.3321212121211943</v>
      </c>
      <c r="E50" s="53">
        <f t="shared" si="1"/>
        <v>-3.0415151515151564</v>
      </c>
      <c r="F50" s="4">
        <f t="shared" si="2"/>
        <v>-13.176212304866818</v>
      </c>
      <c r="G50" s="4">
        <f t="shared" si="5"/>
        <v>18.767274196510407</v>
      </c>
      <c r="H50" s="4">
        <f t="shared" si="5"/>
        <v>9.2508144168962652</v>
      </c>
    </row>
    <row r="51" spans="1:8" x14ac:dyDescent="0.25">
      <c r="A51">
        <v>48</v>
      </c>
      <c r="B51" s="6">
        <v>133.72999999999999</v>
      </c>
      <c r="C51" s="53">
        <f t="shared" si="4"/>
        <v>107.47</v>
      </c>
      <c r="D51" s="53">
        <f t="shared" si="0"/>
        <v>3.7921212121211738</v>
      </c>
      <c r="E51" s="53">
        <f t="shared" si="1"/>
        <v>-3.3715151515151547</v>
      </c>
      <c r="F51" s="4">
        <f t="shared" si="2"/>
        <v>-12.785194123048552</v>
      </c>
      <c r="G51" s="4">
        <f t="shared" si="5"/>
        <v>14.38018328741936</v>
      </c>
      <c r="H51" s="4">
        <f t="shared" si="5"/>
        <v>11.367114416896257</v>
      </c>
    </row>
    <row r="52" spans="1:8" x14ac:dyDescent="0.25">
      <c r="A52">
        <v>49</v>
      </c>
      <c r="B52" s="6">
        <v>132.01</v>
      </c>
      <c r="C52" s="53">
        <f t="shared" si="4"/>
        <v>107.03</v>
      </c>
      <c r="D52" s="53">
        <f t="shared" si="0"/>
        <v>2.0721212121211749</v>
      </c>
      <c r="E52" s="53">
        <f t="shared" si="1"/>
        <v>-3.8115151515151524</v>
      </c>
      <c r="F52" s="4">
        <f t="shared" si="2"/>
        <v>-7.8979213957758017</v>
      </c>
      <c r="G52" s="4">
        <f t="shared" si="5"/>
        <v>4.2936863177225275</v>
      </c>
      <c r="H52" s="4">
        <f t="shared" si="5"/>
        <v>14.527647750229574</v>
      </c>
    </row>
    <row r="53" spans="1:8" x14ac:dyDescent="0.25">
      <c r="A53">
        <v>50</v>
      </c>
      <c r="B53" s="6">
        <v>130.59</v>
      </c>
      <c r="C53" s="53">
        <f t="shared" si="4"/>
        <v>106.61</v>
      </c>
      <c r="D53" s="53">
        <f t="shared" si="0"/>
        <v>0.65212121212118745</v>
      </c>
      <c r="E53" s="53">
        <f t="shared" si="1"/>
        <v>-4.2315151515151541</v>
      </c>
      <c r="F53" s="4">
        <f t="shared" si="2"/>
        <v>-2.7594607897152326</v>
      </c>
      <c r="G53" s="4">
        <f t="shared" si="5"/>
        <v>0.42526207529840676</v>
      </c>
      <c r="H53" s="4">
        <f t="shared" si="5"/>
        <v>17.905720477502317</v>
      </c>
    </row>
    <row r="54" spans="1:8" x14ac:dyDescent="0.25">
      <c r="A54">
        <v>51</v>
      </c>
      <c r="B54" s="6">
        <v>130.28</v>
      </c>
      <c r="C54" s="53">
        <f t="shared" si="4"/>
        <v>106.57</v>
      </c>
      <c r="D54" s="53">
        <f t="shared" si="0"/>
        <v>0.34212121212118518</v>
      </c>
      <c r="E54" s="53">
        <f t="shared" si="1"/>
        <v>-4.2715151515151604</v>
      </c>
      <c r="F54" s="4">
        <f t="shared" si="2"/>
        <v>-1.4613759412303746</v>
      </c>
      <c r="G54" s="4">
        <f t="shared" si="5"/>
        <v>0.11704692378326899</v>
      </c>
      <c r="H54" s="4">
        <f t="shared" si="5"/>
        <v>18.245841689623582</v>
      </c>
    </row>
    <row r="55" spans="1:8" x14ac:dyDescent="0.25">
      <c r="A55">
        <v>52</v>
      </c>
      <c r="B55" s="6">
        <v>129.16</v>
      </c>
      <c r="C55" s="53">
        <f t="shared" si="4"/>
        <v>106.49</v>
      </c>
      <c r="D55" s="53">
        <f t="shared" si="0"/>
        <v>-0.77787878787881937</v>
      </c>
      <c r="E55" s="53">
        <f t="shared" si="1"/>
        <v>-4.3515151515151587</v>
      </c>
      <c r="F55" s="4">
        <f t="shared" si="2"/>
        <v>3.3849513314969286</v>
      </c>
      <c r="G55" s="4">
        <f t="shared" si="5"/>
        <v>0.60509540863182121</v>
      </c>
      <c r="H55" s="4">
        <f t="shared" si="5"/>
        <v>18.935684113865996</v>
      </c>
    </row>
    <row r="56" spans="1:8" x14ac:dyDescent="0.25">
      <c r="A56">
        <v>53</v>
      </c>
      <c r="B56" s="6">
        <v>128.94</v>
      </c>
      <c r="C56" s="53">
        <f t="shared" si="4"/>
        <v>107.04</v>
      </c>
      <c r="D56" s="53">
        <f t="shared" si="0"/>
        <v>-0.99787878787881823</v>
      </c>
      <c r="E56" s="53">
        <f t="shared" si="1"/>
        <v>-3.8015151515151473</v>
      </c>
      <c r="F56" s="4">
        <f t="shared" si="2"/>
        <v>3.7934513314968972</v>
      </c>
      <c r="G56" s="4">
        <f t="shared" si="5"/>
        <v>0.99576207529849947</v>
      </c>
      <c r="H56" s="4">
        <f t="shared" si="5"/>
        <v>14.451517447199233</v>
      </c>
    </row>
    <row r="57" spans="1:8" x14ac:dyDescent="0.25">
      <c r="A57">
        <v>54</v>
      </c>
      <c r="B57" s="6">
        <v>129.30000000000001</v>
      </c>
      <c r="C57" s="53">
        <f t="shared" si="4"/>
        <v>111.35</v>
      </c>
      <c r="D57" s="53">
        <f t="shared" si="0"/>
        <v>-0.63787878787880459</v>
      </c>
      <c r="E57" s="53">
        <f t="shared" si="1"/>
        <v>0.50848484848484077</v>
      </c>
      <c r="F57" s="4">
        <f t="shared" si="2"/>
        <v>-0.32435169880624781</v>
      </c>
      <c r="G57" s="4">
        <f t="shared" si="5"/>
        <v>0.40688934802573296</v>
      </c>
      <c r="H57" s="4">
        <f t="shared" si="5"/>
        <v>0.25855684113865146</v>
      </c>
    </row>
    <row r="58" spans="1:8" x14ac:dyDescent="0.25">
      <c r="A58">
        <v>55</v>
      </c>
      <c r="B58" s="6">
        <v>131.22</v>
      </c>
      <c r="C58" s="53">
        <f t="shared" si="4"/>
        <v>117.54</v>
      </c>
      <c r="D58" s="53">
        <f t="shared" si="0"/>
        <v>1.2821212121211829</v>
      </c>
      <c r="E58" s="53">
        <f t="shared" si="1"/>
        <v>6.6984848484848527</v>
      </c>
      <c r="F58" s="4">
        <f t="shared" si="2"/>
        <v>8.5882695133147777</v>
      </c>
      <c r="G58" s="4">
        <f t="shared" si="5"/>
        <v>1.6438348025710914</v>
      </c>
      <c r="H58" s="4">
        <f t="shared" si="5"/>
        <v>44.869699265381144</v>
      </c>
    </row>
    <row r="59" spans="1:8" x14ac:dyDescent="0.25">
      <c r="A59">
        <v>56</v>
      </c>
      <c r="B59" s="6">
        <v>132.52000000000001</v>
      </c>
      <c r="C59" s="53">
        <f t="shared" si="4"/>
        <v>122.58</v>
      </c>
      <c r="D59" s="53">
        <f t="shared" si="0"/>
        <v>2.5821212121211943</v>
      </c>
      <c r="E59" s="53">
        <f t="shared" si="1"/>
        <v>11.738484848484845</v>
      </c>
      <c r="F59" s="4">
        <f t="shared" si="2"/>
        <v>30.310190725435962</v>
      </c>
      <c r="G59" s="4">
        <f t="shared" si="5"/>
        <v>6.6673499540862258</v>
      </c>
      <c r="H59" s="4">
        <f t="shared" si="5"/>
        <v>137.79202653810827</v>
      </c>
    </row>
    <row r="60" spans="1:8" x14ac:dyDescent="0.25">
      <c r="A60">
        <v>57</v>
      </c>
      <c r="B60" s="6">
        <v>134.25</v>
      </c>
      <c r="C60" s="53">
        <f t="shared" si="4"/>
        <v>128.16</v>
      </c>
      <c r="D60" s="53">
        <f t="shared" si="0"/>
        <v>4.312121212121184</v>
      </c>
      <c r="E60" s="53">
        <f t="shared" si="1"/>
        <v>17.318484848484843</v>
      </c>
      <c r="F60" s="4">
        <f t="shared" si="2"/>
        <v>74.679405876950824</v>
      </c>
      <c r="G60" s="4">
        <f t="shared" si="5"/>
        <v>18.594389348025469</v>
      </c>
      <c r="H60" s="4">
        <f t="shared" si="5"/>
        <v>299.9299174471991</v>
      </c>
    </row>
    <row r="61" spans="1:8" x14ac:dyDescent="0.25">
      <c r="A61">
        <v>58</v>
      </c>
      <c r="B61" s="6">
        <v>136.06</v>
      </c>
      <c r="C61" s="53">
        <f t="shared" si="4"/>
        <v>132.86000000000001</v>
      </c>
      <c r="D61" s="53">
        <f t="shared" si="0"/>
        <v>6.1221212121211863</v>
      </c>
      <c r="E61" s="53">
        <f t="shared" si="1"/>
        <v>22.01848484848486</v>
      </c>
      <c r="F61" s="4">
        <f t="shared" si="2"/>
        <v>134.79983314967811</v>
      </c>
      <c r="G61" s="4">
        <f t="shared" si="5"/>
        <v>37.480368135904186</v>
      </c>
      <c r="H61" s="4">
        <f t="shared" si="5"/>
        <v>484.81367502295734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3657.77</v>
      </c>
      <c r="D62" s="39">
        <f t="shared" si="6"/>
        <v>-9.6633812063373625E-13</v>
      </c>
      <c r="E62" s="39">
        <f t="shared" si="6"/>
        <v>-1.1368683772161603E-13</v>
      </c>
      <c r="F62" s="39">
        <f t="shared" si="6"/>
        <v>1327.5986060606069</v>
      </c>
      <c r="G62" s="39">
        <f t="shared" si="6"/>
        <v>2884.837551515152</v>
      </c>
      <c r="H62" s="39">
        <f t="shared" si="6"/>
        <v>1699.0580242424253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110.84151515151515</v>
      </c>
    </row>
    <row r="65" spans="1:2" ht="18" x14ac:dyDescent="0.35">
      <c r="A65" t="s">
        <v>293</v>
      </c>
      <c r="B65" s="39">
        <f>SUM(B29:B61)/33</f>
        <v>129.93787878787882</v>
      </c>
    </row>
    <row r="66" spans="1:2" ht="18" x14ac:dyDescent="0.35">
      <c r="A66" t="s">
        <v>294</v>
      </c>
      <c r="B66">
        <f>SUM(C29:C61)/33</f>
        <v>110.84151515151515</v>
      </c>
    </row>
    <row r="68" spans="1:2" ht="18" x14ac:dyDescent="0.35">
      <c r="A68" t="s">
        <v>295</v>
      </c>
      <c r="B68">
        <f>F62/SQRT(G62*H62)</f>
        <v>0.59965574823803447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7" workbookViewId="0">
      <selection activeCell="B68" sqref="B68"/>
    </sheetView>
  </sheetViews>
  <sheetFormatPr defaultRowHeight="15" x14ac:dyDescent="0.25"/>
  <cols>
    <col min="6" max="6" width="18.425781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296</v>
      </c>
      <c r="D3" s="45" t="s">
        <v>297</v>
      </c>
      <c r="E3" s="45" t="s">
        <v>298</v>
      </c>
      <c r="F3" s="46" t="s">
        <v>299</v>
      </c>
      <c r="G3" s="45" t="s">
        <v>300</v>
      </c>
      <c r="H3" s="45" t="s">
        <v>301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>
        <v>22</v>
      </c>
      <c r="B25" s="6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>
        <v>23</v>
      </c>
      <c r="B26" s="6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>
        <v>24</v>
      </c>
      <c r="B27" s="6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>
        <v>25</v>
      </c>
      <c r="B28" s="6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>
        <v>26</v>
      </c>
      <c r="B29" s="6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>
        <v>27</v>
      </c>
      <c r="B30" s="6">
        <v>106.49</v>
      </c>
      <c r="C30" s="53">
        <f>B4</f>
        <v>102.32</v>
      </c>
      <c r="D30" s="53">
        <f t="shared" ref="D30:D61" si="0">B30-$B$65</f>
        <v>-24.178125000000009</v>
      </c>
      <c r="E30" s="53">
        <f t="shared" ref="E30:E61" si="1">C30-$B$66</f>
        <v>-7.8334375000000023</v>
      </c>
      <c r="F30" s="4">
        <f t="shared" ref="F30:F61" si="2">D30*E30</f>
        <v>189.39783105468763</v>
      </c>
      <c r="G30" s="4">
        <f t="shared" ref="G30:H44" si="3">D30*D30</f>
        <v>584.5817285156254</v>
      </c>
      <c r="H30" s="4">
        <f t="shared" si="3"/>
        <v>61.362743066406289</v>
      </c>
    </row>
    <row r="31" spans="1:8" x14ac:dyDescent="0.25">
      <c r="A31">
        <v>28</v>
      </c>
      <c r="B31" s="6">
        <v>107.04</v>
      </c>
      <c r="C31" s="53">
        <f t="shared" ref="C31:C61" si="4">B5</f>
        <v>102.21</v>
      </c>
      <c r="D31" s="53">
        <f t="shared" si="0"/>
        <v>-23.628124999999997</v>
      </c>
      <c r="E31" s="53">
        <f t="shared" si="1"/>
        <v>-7.9434375000000017</v>
      </c>
      <c r="F31" s="4">
        <f t="shared" si="2"/>
        <v>187.68853417968751</v>
      </c>
      <c r="G31" s="4">
        <f t="shared" si="3"/>
        <v>558.28829101562485</v>
      </c>
      <c r="H31" s="4">
        <f t="shared" si="3"/>
        <v>63.09819931640628</v>
      </c>
    </row>
    <row r="32" spans="1:8" x14ac:dyDescent="0.25">
      <c r="A32">
        <v>29</v>
      </c>
      <c r="B32" s="6">
        <v>111.35</v>
      </c>
      <c r="C32" s="53">
        <f t="shared" si="4"/>
        <v>102.16</v>
      </c>
      <c r="D32" s="53">
        <f t="shared" si="0"/>
        <v>-19.318125000000009</v>
      </c>
      <c r="E32" s="53">
        <f t="shared" si="1"/>
        <v>-7.9934374999999989</v>
      </c>
      <c r="F32" s="4">
        <f t="shared" si="2"/>
        <v>154.41822480468755</v>
      </c>
      <c r="G32" s="4">
        <f t="shared" si="3"/>
        <v>373.18995351562535</v>
      </c>
      <c r="H32" s="4">
        <f t="shared" si="3"/>
        <v>63.895043066406231</v>
      </c>
    </row>
    <row r="33" spans="1:8" x14ac:dyDescent="0.25">
      <c r="A33">
        <v>30</v>
      </c>
      <c r="B33" s="6">
        <v>117.54</v>
      </c>
      <c r="C33" s="53">
        <f t="shared" si="4"/>
        <v>102.06</v>
      </c>
      <c r="D33" s="53">
        <f t="shared" si="0"/>
        <v>-13.128124999999997</v>
      </c>
      <c r="E33" s="53">
        <f t="shared" si="1"/>
        <v>-8.0934374999999932</v>
      </c>
      <c r="F33" s="4">
        <f t="shared" si="2"/>
        <v>106.25165917968739</v>
      </c>
      <c r="G33" s="4">
        <f t="shared" si="3"/>
        <v>172.34766601562492</v>
      </c>
      <c r="H33" s="4">
        <f t="shared" si="3"/>
        <v>65.503730566406134</v>
      </c>
    </row>
    <row r="34" spans="1:8" x14ac:dyDescent="0.25">
      <c r="A34">
        <v>31</v>
      </c>
      <c r="B34" s="6">
        <v>122.58</v>
      </c>
      <c r="C34" s="53">
        <f t="shared" si="4"/>
        <v>102.55</v>
      </c>
      <c r="D34" s="53">
        <f t="shared" si="0"/>
        <v>-8.0881250000000051</v>
      </c>
      <c r="E34" s="53">
        <f t="shared" si="1"/>
        <v>-7.6034374999999983</v>
      </c>
      <c r="F34" s="4">
        <f t="shared" si="2"/>
        <v>61.497552929687522</v>
      </c>
      <c r="G34" s="4">
        <f t="shared" si="3"/>
        <v>65.417766015625077</v>
      </c>
      <c r="H34" s="4">
        <f t="shared" si="3"/>
        <v>57.812261816406227</v>
      </c>
    </row>
    <row r="35" spans="1:8" x14ac:dyDescent="0.25">
      <c r="A35">
        <v>32</v>
      </c>
      <c r="B35" s="6">
        <v>128.16</v>
      </c>
      <c r="C35" s="53">
        <f t="shared" si="4"/>
        <v>104.35</v>
      </c>
      <c r="D35" s="53">
        <f t="shared" si="0"/>
        <v>-2.5081250000000068</v>
      </c>
      <c r="E35" s="53">
        <f t="shared" si="1"/>
        <v>-5.8034375000000011</v>
      </c>
      <c r="F35" s="4">
        <f t="shared" si="2"/>
        <v>14.555746679687543</v>
      </c>
      <c r="G35" s="4">
        <f t="shared" si="3"/>
        <v>6.2906910156250344</v>
      </c>
      <c r="H35" s="4">
        <f t="shared" si="3"/>
        <v>33.67988681640626</v>
      </c>
    </row>
    <row r="36" spans="1:8" x14ac:dyDescent="0.25">
      <c r="A36">
        <v>33</v>
      </c>
      <c r="B36" s="6">
        <v>132.86000000000001</v>
      </c>
      <c r="C36" s="53">
        <f t="shared" si="4"/>
        <v>107.57</v>
      </c>
      <c r="D36" s="53">
        <f t="shared" si="0"/>
        <v>2.1918750000000102</v>
      </c>
      <c r="E36" s="53">
        <f t="shared" si="1"/>
        <v>-2.5834375000000023</v>
      </c>
      <c r="F36" s="4">
        <f t="shared" si="2"/>
        <v>-5.6625720703125317</v>
      </c>
      <c r="G36" s="4">
        <f t="shared" si="3"/>
        <v>4.8043160156250453</v>
      </c>
      <c r="H36" s="4">
        <f t="shared" si="3"/>
        <v>6.674149316406262</v>
      </c>
    </row>
    <row r="37" spans="1:8" x14ac:dyDescent="0.25">
      <c r="A37">
        <v>34</v>
      </c>
      <c r="B37" s="6">
        <v>134.91999999999999</v>
      </c>
      <c r="C37" s="53">
        <f t="shared" si="4"/>
        <v>111.96</v>
      </c>
      <c r="D37" s="53">
        <f t="shared" si="0"/>
        <v>4.2518749999999841</v>
      </c>
      <c r="E37" s="53">
        <f t="shared" si="1"/>
        <v>1.8065624999999983</v>
      </c>
      <c r="F37" s="4">
        <f t="shared" si="2"/>
        <v>7.6812779296874636</v>
      </c>
      <c r="G37" s="4">
        <f t="shared" si="3"/>
        <v>18.078441015624865</v>
      </c>
      <c r="H37" s="4">
        <f t="shared" si="3"/>
        <v>3.2636680664062436</v>
      </c>
    </row>
    <row r="38" spans="1:8" x14ac:dyDescent="0.25">
      <c r="A38">
        <v>35</v>
      </c>
      <c r="B38" s="6">
        <v>135.69999999999999</v>
      </c>
      <c r="C38" s="53">
        <f t="shared" si="4"/>
        <v>115.27</v>
      </c>
      <c r="D38" s="53">
        <f t="shared" si="0"/>
        <v>5.0318749999999852</v>
      </c>
      <c r="E38" s="53">
        <f t="shared" si="1"/>
        <v>5.1165625000000006</v>
      </c>
      <c r="F38" s="4">
        <f t="shared" si="2"/>
        <v>25.745902929687428</v>
      </c>
      <c r="G38" s="4">
        <f t="shared" si="3"/>
        <v>25.31976601562485</v>
      </c>
      <c r="H38" s="4">
        <f t="shared" si="3"/>
        <v>26.179211816406255</v>
      </c>
    </row>
    <row r="39" spans="1:8" x14ac:dyDescent="0.25">
      <c r="A39">
        <v>36</v>
      </c>
      <c r="B39" s="6">
        <v>136.13999999999999</v>
      </c>
      <c r="C39" s="53">
        <f t="shared" si="4"/>
        <v>117.17</v>
      </c>
      <c r="D39" s="53">
        <f t="shared" si="0"/>
        <v>5.4718749999999829</v>
      </c>
      <c r="E39" s="53">
        <f t="shared" si="1"/>
        <v>7.0165625000000063</v>
      </c>
      <c r="F39" s="4">
        <f t="shared" si="2"/>
        <v>38.393752929687416</v>
      </c>
      <c r="G39" s="4">
        <f t="shared" si="3"/>
        <v>29.941416015624814</v>
      </c>
      <c r="H39" s="4">
        <f t="shared" si="3"/>
        <v>49.232149316406336</v>
      </c>
    </row>
    <row r="40" spans="1:8" x14ac:dyDescent="0.25">
      <c r="A40">
        <v>37</v>
      </c>
      <c r="B40" s="6">
        <v>140.15</v>
      </c>
      <c r="C40" s="53">
        <f t="shared" si="4"/>
        <v>117.61</v>
      </c>
      <c r="D40" s="53">
        <f t="shared" si="0"/>
        <v>9.4818750000000023</v>
      </c>
      <c r="E40" s="53">
        <f t="shared" si="1"/>
        <v>7.456562500000004</v>
      </c>
      <c r="F40" s="4">
        <f t="shared" si="2"/>
        <v>70.702193554687554</v>
      </c>
      <c r="G40" s="4">
        <f t="shared" si="3"/>
        <v>89.905953515625043</v>
      </c>
      <c r="H40" s="4">
        <f t="shared" si="3"/>
        <v>55.600324316406308</v>
      </c>
    </row>
    <row r="41" spans="1:8" x14ac:dyDescent="0.25">
      <c r="A41">
        <v>38</v>
      </c>
      <c r="B41" s="6">
        <v>140.09</v>
      </c>
      <c r="C41" s="53">
        <f t="shared" si="4"/>
        <v>117.26</v>
      </c>
      <c r="D41" s="53">
        <f t="shared" si="0"/>
        <v>9.421875</v>
      </c>
      <c r="E41" s="53">
        <f t="shared" si="1"/>
        <v>7.1065625000000097</v>
      </c>
      <c r="F41" s="4">
        <f t="shared" si="2"/>
        <v>66.95714355468759</v>
      </c>
      <c r="G41" s="4">
        <f t="shared" si="3"/>
        <v>88.771728515625</v>
      </c>
      <c r="H41" s="4">
        <f t="shared" si="3"/>
        <v>50.503230566406387</v>
      </c>
    </row>
    <row r="42" spans="1:8" x14ac:dyDescent="0.25">
      <c r="A42">
        <v>39</v>
      </c>
      <c r="B42" s="6">
        <v>139.1</v>
      </c>
      <c r="C42" s="53">
        <f t="shared" si="4"/>
        <v>115.88</v>
      </c>
      <c r="D42" s="53">
        <f t="shared" si="0"/>
        <v>8.4318749999999909</v>
      </c>
      <c r="E42" s="53">
        <f t="shared" si="1"/>
        <v>5.7265625</v>
      </c>
      <c r="F42" s="4">
        <f t="shared" si="2"/>
        <v>48.28565917968745</v>
      </c>
      <c r="G42" s="4">
        <f t="shared" si="3"/>
        <v>71.096516015624843</v>
      </c>
      <c r="H42" s="4">
        <f t="shared" si="3"/>
        <v>32.79351806640625</v>
      </c>
    </row>
    <row r="43" spans="1:8" x14ac:dyDescent="0.25">
      <c r="A43">
        <v>40</v>
      </c>
      <c r="B43" s="6">
        <v>137.5</v>
      </c>
      <c r="C43" s="53">
        <f t="shared" si="4"/>
        <v>113.35</v>
      </c>
      <c r="D43" s="53">
        <f t="shared" si="0"/>
        <v>6.8318749999999966</v>
      </c>
      <c r="E43" s="53">
        <f t="shared" si="1"/>
        <v>3.1965624999999989</v>
      </c>
      <c r="F43" s="4">
        <f t="shared" si="2"/>
        <v>21.838515429687483</v>
      </c>
      <c r="G43" s="4">
        <f t="shared" si="3"/>
        <v>46.674516015624953</v>
      </c>
      <c r="H43" s="4">
        <f t="shared" si="3"/>
        <v>10.218011816406243</v>
      </c>
    </row>
    <row r="44" spans="1:8" x14ac:dyDescent="0.25">
      <c r="A44">
        <v>41</v>
      </c>
      <c r="B44" s="6">
        <v>136.12</v>
      </c>
      <c r="C44" s="53">
        <f t="shared" si="4"/>
        <v>111.39</v>
      </c>
      <c r="D44" s="53">
        <f t="shared" si="0"/>
        <v>5.4518750000000011</v>
      </c>
      <c r="E44" s="53">
        <f t="shared" si="1"/>
        <v>1.2365625000000051</v>
      </c>
      <c r="F44" s="4">
        <f t="shared" si="2"/>
        <v>6.7415841796875293</v>
      </c>
      <c r="G44" s="4">
        <f t="shared" si="3"/>
        <v>29.722941015625011</v>
      </c>
      <c r="H44" s="4">
        <f t="shared" si="3"/>
        <v>1.5290868164062628</v>
      </c>
    </row>
    <row r="45" spans="1:8" x14ac:dyDescent="0.25">
      <c r="A45">
        <v>42</v>
      </c>
      <c r="B45" s="6">
        <v>135.22</v>
      </c>
      <c r="C45" s="53">
        <f t="shared" si="4"/>
        <v>109.76</v>
      </c>
      <c r="D45" s="53">
        <f t="shared" si="0"/>
        <v>4.5518749999999955</v>
      </c>
      <c r="E45" s="53">
        <f t="shared" si="1"/>
        <v>-0.39343749999999034</v>
      </c>
      <c r="F45" s="4">
        <f t="shared" si="2"/>
        <v>-1.7908783203124543</v>
      </c>
      <c r="G45" s="4">
        <f t="shared" ref="G45:H61" si="5">D45*D45</f>
        <v>20.719566015624959</v>
      </c>
      <c r="H45" s="4">
        <f t="shared" si="5"/>
        <v>0.15479306640624241</v>
      </c>
    </row>
    <row r="46" spans="1:8" x14ac:dyDescent="0.25">
      <c r="A46">
        <v>43</v>
      </c>
      <c r="B46" s="6">
        <v>134.72999999999999</v>
      </c>
      <c r="C46" s="53">
        <f t="shared" si="4"/>
        <v>109.5</v>
      </c>
      <c r="D46" s="53">
        <f t="shared" si="0"/>
        <v>4.0618749999999864</v>
      </c>
      <c r="E46" s="53">
        <f t="shared" si="1"/>
        <v>-0.65343749999999545</v>
      </c>
      <c r="F46" s="4">
        <f t="shared" si="2"/>
        <v>-2.6541814453124726</v>
      </c>
      <c r="G46" s="4">
        <f t="shared" si="5"/>
        <v>16.49882851562489</v>
      </c>
      <c r="H46" s="4">
        <f t="shared" si="5"/>
        <v>0.42698056640624404</v>
      </c>
    </row>
    <row r="47" spans="1:8" x14ac:dyDescent="0.25">
      <c r="A47">
        <v>44</v>
      </c>
      <c r="B47" s="6">
        <v>134.38999999999999</v>
      </c>
      <c r="C47" s="53">
        <f t="shared" si="4"/>
        <v>108.86</v>
      </c>
      <c r="D47" s="53">
        <f t="shared" si="0"/>
        <v>3.7218749999999829</v>
      </c>
      <c r="E47" s="53">
        <f t="shared" si="1"/>
        <v>-1.293437499999996</v>
      </c>
      <c r="F47" s="4">
        <f t="shared" si="2"/>
        <v>-4.8140126953124636</v>
      </c>
      <c r="G47" s="4">
        <f t="shared" si="5"/>
        <v>13.852353515624873</v>
      </c>
      <c r="H47" s="4">
        <f t="shared" si="5"/>
        <v>1.6729805664062396</v>
      </c>
    </row>
    <row r="48" spans="1:8" x14ac:dyDescent="0.25">
      <c r="A48">
        <v>45</v>
      </c>
      <c r="B48" s="6">
        <v>134.51</v>
      </c>
      <c r="C48" s="53">
        <f t="shared" si="4"/>
        <v>108.49</v>
      </c>
      <c r="D48" s="53">
        <f t="shared" si="0"/>
        <v>3.8418749999999875</v>
      </c>
      <c r="E48" s="53">
        <f t="shared" si="1"/>
        <v>-1.6634375000000006</v>
      </c>
      <c r="F48" s="4">
        <f t="shared" si="2"/>
        <v>-6.3907189453124813</v>
      </c>
      <c r="G48" s="4">
        <f t="shared" si="5"/>
        <v>14.760003515624904</v>
      </c>
      <c r="H48" s="4">
        <f t="shared" si="5"/>
        <v>2.767024316406252</v>
      </c>
    </row>
    <row r="49" spans="1:8" x14ac:dyDescent="0.25">
      <c r="A49">
        <v>46</v>
      </c>
      <c r="B49" s="6">
        <v>134.46</v>
      </c>
      <c r="C49" s="53">
        <f t="shared" si="4"/>
        <v>108.36</v>
      </c>
      <c r="D49" s="53">
        <f t="shared" si="0"/>
        <v>3.7918750000000045</v>
      </c>
      <c r="E49" s="53">
        <f t="shared" si="1"/>
        <v>-1.793437499999996</v>
      </c>
      <c r="F49" s="4">
        <f t="shared" si="2"/>
        <v>-6.8004908203124934</v>
      </c>
      <c r="G49" s="4">
        <f t="shared" si="5"/>
        <v>14.378316015625035</v>
      </c>
      <c r="H49" s="4">
        <f t="shared" si="5"/>
        <v>3.2164180664062356</v>
      </c>
    </row>
    <row r="50" spans="1:8" x14ac:dyDescent="0.25">
      <c r="A50">
        <v>47</v>
      </c>
      <c r="B50" s="6">
        <v>134.27000000000001</v>
      </c>
      <c r="C50" s="53">
        <f t="shared" si="4"/>
        <v>108.19</v>
      </c>
      <c r="D50" s="53">
        <f t="shared" si="0"/>
        <v>3.6018750000000068</v>
      </c>
      <c r="E50" s="53">
        <f t="shared" si="1"/>
        <v>-1.9634374999999977</v>
      </c>
      <c r="F50" s="4">
        <f t="shared" si="2"/>
        <v>-7.072056445312505</v>
      </c>
      <c r="G50" s="4">
        <f t="shared" si="5"/>
        <v>12.973503515625049</v>
      </c>
      <c r="H50" s="4">
        <f t="shared" si="5"/>
        <v>3.8550868164062413</v>
      </c>
    </row>
    <row r="51" spans="1:8" x14ac:dyDescent="0.25">
      <c r="A51">
        <v>48</v>
      </c>
      <c r="B51" s="6">
        <v>133.72999999999999</v>
      </c>
      <c r="C51" s="53">
        <f t="shared" si="4"/>
        <v>107.8</v>
      </c>
      <c r="D51" s="53">
        <f t="shared" si="0"/>
        <v>3.0618749999999864</v>
      </c>
      <c r="E51" s="53">
        <f t="shared" si="1"/>
        <v>-2.3534374999999983</v>
      </c>
      <c r="F51" s="4">
        <f t="shared" si="2"/>
        <v>-7.205931445312463</v>
      </c>
      <c r="G51" s="4">
        <f t="shared" si="5"/>
        <v>9.3750785156249172</v>
      </c>
      <c r="H51" s="4">
        <f t="shared" si="5"/>
        <v>5.5386680664062418</v>
      </c>
    </row>
    <row r="52" spans="1:8" x14ac:dyDescent="0.25">
      <c r="A52">
        <v>49</v>
      </c>
      <c r="B52" s="6">
        <v>132.01</v>
      </c>
      <c r="C52" s="53">
        <f t="shared" si="4"/>
        <v>107.47</v>
      </c>
      <c r="D52" s="53">
        <f t="shared" si="0"/>
        <v>1.3418749999999875</v>
      </c>
      <c r="E52" s="53">
        <f t="shared" si="1"/>
        <v>-2.6834374999999966</v>
      </c>
      <c r="F52" s="4">
        <f t="shared" si="2"/>
        <v>-3.6008376953124617</v>
      </c>
      <c r="G52" s="4">
        <f t="shared" si="5"/>
        <v>1.8006285156249664</v>
      </c>
      <c r="H52" s="4">
        <f t="shared" si="5"/>
        <v>7.2008368164062313</v>
      </c>
    </row>
    <row r="53" spans="1:8" x14ac:dyDescent="0.25">
      <c r="A53">
        <v>50</v>
      </c>
      <c r="B53" s="6">
        <v>130.59</v>
      </c>
      <c r="C53" s="53">
        <f t="shared" si="4"/>
        <v>107.03</v>
      </c>
      <c r="D53" s="53">
        <f t="shared" si="0"/>
        <v>-7.8125E-2</v>
      </c>
      <c r="E53" s="53">
        <f t="shared" si="1"/>
        <v>-3.1234374999999943</v>
      </c>
      <c r="F53" s="4">
        <f t="shared" si="2"/>
        <v>0.24401855468749956</v>
      </c>
      <c r="G53" s="4">
        <f t="shared" si="5"/>
        <v>6.103515625E-3</v>
      </c>
      <c r="H53" s="4">
        <f t="shared" si="5"/>
        <v>9.755861816406215</v>
      </c>
    </row>
    <row r="54" spans="1:8" x14ac:dyDescent="0.25">
      <c r="A54">
        <v>51</v>
      </c>
      <c r="B54" s="6">
        <v>130.28</v>
      </c>
      <c r="C54" s="53">
        <f t="shared" si="4"/>
        <v>106.61</v>
      </c>
      <c r="D54" s="53">
        <f t="shared" si="0"/>
        <v>-0.38812500000000227</v>
      </c>
      <c r="E54" s="53">
        <f t="shared" si="1"/>
        <v>-3.543437499999996</v>
      </c>
      <c r="F54" s="4">
        <f t="shared" si="2"/>
        <v>1.3752966796875066</v>
      </c>
      <c r="G54" s="4">
        <f t="shared" si="5"/>
        <v>0.15064101562500176</v>
      </c>
      <c r="H54" s="4">
        <f t="shared" si="5"/>
        <v>12.555949316406222</v>
      </c>
    </row>
    <row r="55" spans="1:8" x14ac:dyDescent="0.25">
      <c r="A55">
        <v>52</v>
      </c>
      <c r="B55" s="6">
        <v>129.16</v>
      </c>
      <c r="C55" s="53">
        <f t="shared" si="4"/>
        <v>106.57</v>
      </c>
      <c r="D55" s="53">
        <f t="shared" si="0"/>
        <v>-1.5081250000000068</v>
      </c>
      <c r="E55" s="53">
        <f t="shared" si="1"/>
        <v>-3.5834375000000023</v>
      </c>
      <c r="F55" s="4">
        <f t="shared" si="2"/>
        <v>5.4042716796875281</v>
      </c>
      <c r="G55" s="4">
        <f t="shared" si="5"/>
        <v>2.2744410156250208</v>
      </c>
      <c r="H55" s="4">
        <f t="shared" si="5"/>
        <v>12.841024316406266</v>
      </c>
    </row>
    <row r="56" spans="1:8" x14ac:dyDescent="0.25">
      <c r="A56">
        <v>53</v>
      </c>
      <c r="B56" s="6">
        <v>128.94</v>
      </c>
      <c r="C56" s="53">
        <f t="shared" si="4"/>
        <v>106.49</v>
      </c>
      <c r="D56" s="53">
        <f t="shared" si="0"/>
        <v>-1.7281250000000057</v>
      </c>
      <c r="E56" s="53">
        <f t="shared" si="1"/>
        <v>-3.6634375000000006</v>
      </c>
      <c r="F56" s="4">
        <f t="shared" si="2"/>
        <v>6.3308779296875217</v>
      </c>
      <c r="G56" s="4">
        <f t="shared" si="5"/>
        <v>2.9864160156250197</v>
      </c>
      <c r="H56" s="4">
        <f t="shared" si="5"/>
        <v>13.420774316406254</v>
      </c>
    </row>
    <row r="57" spans="1:8" x14ac:dyDescent="0.25">
      <c r="A57">
        <v>54</v>
      </c>
      <c r="B57" s="6">
        <v>129.30000000000001</v>
      </c>
      <c r="C57" s="53">
        <f t="shared" si="4"/>
        <v>107.04</v>
      </c>
      <c r="D57" s="53">
        <f t="shared" si="0"/>
        <v>-1.368124999999992</v>
      </c>
      <c r="E57" s="53">
        <f t="shared" si="1"/>
        <v>-3.1134374999999892</v>
      </c>
      <c r="F57" s="4">
        <f t="shared" si="2"/>
        <v>4.2595716796874603</v>
      </c>
      <c r="G57" s="4">
        <f t="shared" si="5"/>
        <v>1.8717660156249782</v>
      </c>
      <c r="H57" s="4">
        <f t="shared" si="5"/>
        <v>9.693493066406182</v>
      </c>
    </row>
    <row r="58" spans="1:8" x14ac:dyDescent="0.25">
      <c r="A58">
        <v>55</v>
      </c>
      <c r="B58" s="6">
        <v>131.22</v>
      </c>
      <c r="C58" s="53">
        <f t="shared" si="4"/>
        <v>111.35</v>
      </c>
      <c r="D58" s="53">
        <f t="shared" si="0"/>
        <v>0.55187499999999545</v>
      </c>
      <c r="E58" s="53">
        <f t="shared" si="1"/>
        <v>1.1965624999999989</v>
      </c>
      <c r="F58" s="4">
        <f t="shared" si="2"/>
        <v>0.66035292968749393</v>
      </c>
      <c r="G58" s="4">
        <f t="shared" si="5"/>
        <v>0.30456601562499497</v>
      </c>
      <c r="H58" s="4">
        <f t="shared" si="5"/>
        <v>1.4317618164062473</v>
      </c>
    </row>
    <row r="59" spans="1:8" x14ac:dyDescent="0.25">
      <c r="A59">
        <v>56</v>
      </c>
      <c r="B59" s="6">
        <v>132.52000000000001</v>
      </c>
      <c r="C59" s="53">
        <f t="shared" si="4"/>
        <v>117.54</v>
      </c>
      <c r="D59" s="53">
        <f t="shared" si="0"/>
        <v>1.8518750000000068</v>
      </c>
      <c r="E59" s="53">
        <f t="shared" si="1"/>
        <v>7.3865625000000108</v>
      </c>
      <c r="F59" s="4">
        <f t="shared" si="2"/>
        <v>13.67899042968757</v>
      </c>
      <c r="G59" s="4">
        <f t="shared" si="5"/>
        <v>3.4294410156250255</v>
      </c>
      <c r="H59" s="4">
        <f t="shared" si="5"/>
        <v>54.561305566406411</v>
      </c>
    </row>
    <row r="60" spans="1:8" x14ac:dyDescent="0.25">
      <c r="A60">
        <v>57</v>
      </c>
      <c r="B60" s="6">
        <v>134.25</v>
      </c>
      <c r="C60" s="53">
        <f t="shared" si="4"/>
        <v>122.58</v>
      </c>
      <c r="D60" s="53">
        <f t="shared" si="0"/>
        <v>3.5818749999999966</v>
      </c>
      <c r="E60" s="53">
        <f t="shared" si="1"/>
        <v>12.426562500000003</v>
      </c>
      <c r="F60" s="4">
        <f t="shared" si="2"/>
        <v>44.510393554687468</v>
      </c>
      <c r="G60" s="4">
        <f t="shared" si="5"/>
        <v>12.829828515624975</v>
      </c>
      <c r="H60" s="4">
        <f t="shared" si="5"/>
        <v>154.41945556640633</v>
      </c>
    </row>
    <row r="61" spans="1:8" x14ac:dyDescent="0.25">
      <c r="A61">
        <v>58</v>
      </c>
      <c r="B61" s="6">
        <v>136.06</v>
      </c>
      <c r="C61" s="53">
        <f t="shared" si="4"/>
        <v>128.16</v>
      </c>
      <c r="D61" s="53">
        <f t="shared" si="0"/>
        <v>5.3918749999999989</v>
      </c>
      <c r="E61" s="53">
        <f t="shared" si="1"/>
        <v>18.006562500000001</v>
      </c>
      <c r="F61" s="4">
        <f t="shared" si="2"/>
        <v>97.089134179687491</v>
      </c>
      <c r="G61" s="4">
        <f t="shared" si="5"/>
        <v>29.072316015624988</v>
      </c>
      <c r="H61" s="4">
        <f t="shared" si="5"/>
        <v>324.23629306640629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3524.91</v>
      </c>
      <c r="D62" s="39">
        <f t="shared" si="6"/>
        <v>-1.4210854715202004E-13</v>
      </c>
      <c r="E62" s="39">
        <f t="shared" si="6"/>
        <v>8.5265128291212022E-14</v>
      </c>
      <c r="F62" s="39">
        <f t="shared" si="6"/>
        <v>1127.7168062500004</v>
      </c>
      <c r="G62" s="39">
        <f t="shared" si="6"/>
        <v>2321.7154874999997</v>
      </c>
      <c r="H62" s="39">
        <f t="shared" si="6"/>
        <v>1199.0939218750002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110.1534375</v>
      </c>
    </row>
    <row r="65" spans="1:2" ht="18" x14ac:dyDescent="0.35">
      <c r="A65" t="s">
        <v>302</v>
      </c>
      <c r="B65" s="39">
        <f>SUM(B30:B61)/32</f>
        <v>130.668125</v>
      </c>
    </row>
    <row r="66" spans="1:2" ht="18" x14ac:dyDescent="0.35">
      <c r="A66" t="s">
        <v>303</v>
      </c>
      <c r="B66">
        <f>SUM(C30:C61)/32</f>
        <v>110.1534375</v>
      </c>
    </row>
    <row r="68" spans="1:2" ht="18" x14ac:dyDescent="0.35">
      <c r="A68" t="s">
        <v>304</v>
      </c>
      <c r="B68">
        <f>F62/SQRT(G62*H62)</f>
        <v>0.67587899980955302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C72" sqref="C72"/>
    </sheetView>
  </sheetViews>
  <sheetFormatPr defaultRowHeight="15" x14ac:dyDescent="0.25"/>
  <cols>
    <col min="6" max="6" width="17.57031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305</v>
      </c>
      <c r="D3" s="45" t="s">
        <v>306</v>
      </c>
      <c r="E3" s="45" t="s">
        <v>307</v>
      </c>
      <c r="F3" s="46" t="s">
        <v>308</v>
      </c>
      <c r="G3" s="45" t="s">
        <v>300</v>
      </c>
      <c r="H3" s="45" t="s">
        <v>309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>
        <v>22</v>
      </c>
      <c r="B25" s="6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>
        <v>23</v>
      </c>
      <c r="B26" s="6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>
        <v>24</v>
      </c>
      <c r="B27" s="6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>
        <v>25</v>
      </c>
      <c r="B28" s="6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>
        <v>26</v>
      </c>
      <c r="B29" s="6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>
        <v>27</v>
      </c>
      <c r="B30" s="6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>
        <v>28</v>
      </c>
      <c r="B31" s="6">
        <v>107.04</v>
      </c>
      <c r="C31" s="53">
        <f>B4</f>
        <v>102.32</v>
      </c>
      <c r="D31" s="53">
        <f t="shared" ref="D31:D61" si="0">B31-$B$65</f>
        <v>-24.408064516129016</v>
      </c>
      <c r="E31" s="53">
        <f t="shared" ref="E31:E61" si="1">C31-$B$66</f>
        <v>-7.2525806451613022</v>
      </c>
      <c r="F31" s="4">
        <f t="shared" ref="F31:F61" si="2">D31*E31</f>
        <v>177.02145629552567</v>
      </c>
      <c r="G31" s="4">
        <f t="shared" ref="G31:H45" si="3">D31*D31</f>
        <v>595.75361342351641</v>
      </c>
      <c r="H31" s="4">
        <f t="shared" si="3"/>
        <v>52.599926014568332</v>
      </c>
    </row>
    <row r="32" spans="1:8" x14ac:dyDescent="0.25">
      <c r="A32">
        <v>29</v>
      </c>
      <c r="B32" s="6">
        <v>111.35</v>
      </c>
      <c r="C32" s="53">
        <f t="shared" ref="C32:C61" si="4">B5</f>
        <v>102.21</v>
      </c>
      <c r="D32" s="53">
        <f t="shared" si="0"/>
        <v>-20.098064516129028</v>
      </c>
      <c r="E32" s="53">
        <f t="shared" si="1"/>
        <v>-7.3625806451613016</v>
      </c>
      <c r="F32" s="4">
        <f t="shared" si="2"/>
        <v>147.97362081165471</v>
      </c>
      <c r="G32" s="4">
        <f t="shared" si="3"/>
        <v>403.93219729448475</v>
      </c>
      <c r="H32" s="4">
        <f t="shared" si="3"/>
        <v>54.207593756503812</v>
      </c>
    </row>
    <row r="33" spans="1:8" x14ac:dyDescent="0.25">
      <c r="A33">
        <v>30</v>
      </c>
      <c r="B33" s="6">
        <v>117.54</v>
      </c>
      <c r="C33" s="53">
        <f t="shared" si="4"/>
        <v>102.16</v>
      </c>
      <c r="D33" s="53">
        <f t="shared" si="0"/>
        <v>-13.908064516129016</v>
      </c>
      <c r="E33" s="53">
        <f t="shared" si="1"/>
        <v>-7.4125806451612988</v>
      </c>
      <c r="F33" s="4">
        <f t="shared" si="2"/>
        <v>103.09464984391259</v>
      </c>
      <c r="G33" s="4">
        <f t="shared" si="3"/>
        <v>193.43425858480705</v>
      </c>
      <c r="H33" s="4">
        <f t="shared" si="3"/>
        <v>54.946351821019896</v>
      </c>
    </row>
    <row r="34" spans="1:8" x14ac:dyDescent="0.25">
      <c r="A34">
        <v>31</v>
      </c>
      <c r="B34" s="6">
        <v>122.58</v>
      </c>
      <c r="C34" s="53">
        <f t="shared" si="4"/>
        <v>102.06</v>
      </c>
      <c r="D34" s="53">
        <f t="shared" si="0"/>
        <v>-8.8680645161290244</v>
      </c>
      <c r="E34" s="53">
        <f t="shared" si="1"/>
        <v>-7.5125806451612931</v>
      </c>
      <c r="F34" s="4">
        <f t="shared" si="2"/>
        <v>66.622049843912549</v>
      </c>
      <c r="G34" s="4">
        <f t="shared" si="3"/>
        <v>78.642568262226703</v>
      </c>
      <c r="H34" s="4">
        <f t="shared" si="3"/>
        <v>56.438867950052071</v>
      </c>
    </row>
    <row r="35" spans="1:8" x14ac:dyDescent="0.25">
      <c r="A35">
        <v>32</v>
      </c>
      <c r="B35" s="6">
        <v>128.16</v>
      </c>
      <c r="C35" s="53">
        <f t="shared" si="4"/>
        <v>102.55</v>
      </c>
      <c r="D35" s="53">
        <f t="shared" si="0"/>
        <v>-3.2880645161290261</v>
      </c>
      <c r="E35" s="53">
        <f t="shared" si="1"/>
        <v>-7.0225806451612982</v>
      </c>
      <c r="F35" s="4">
        <f t="shared" si="2"/>
        <v>23.090698231009348</v>
      </c>
      <c r="G35" s="4">
        <f t="shared" si="3"/>
        <v>10.811368262226805</v>
      </c>
      <c r="H35" s="4">
        <f t="shared" si="3"/>
        <v>49.316638917794073</v>
      </c>
    </row>
    <row r="36" spans="1:8" x14ac:dyDescent="0.25">
      <c r="A36">
        <v>33</v>
      </c>
      <c r="B36" s="6">
        <v>132.86000000000001</v>
      </c>
      <c r="C36" s="53">
        <f t="shared" si="4"/>
        <v>104.35</v>
      </c>
      <c r="D36" s="53">
        <f t="shared" si="0"/>
        <v>1.411935483870991</v>
      </c>
      <c r="E36" s="53">
        <f t="shared" si="1"/>
        <v>-5.222580645161301</v>
      </c>
      <c r="F36" s="4">
        <f t="shared" si="2"/>
        <v>-7.373946930281094</v>
      </c>
      <c r="G36" s="4">
        <f t="shared" si="3"/>
        <v>1.9935618106140094</v>
      </c>
      <c r="H36" s="4">
        <f t="shared" si="3"/>
        <v>27.27534859521343</v>
      </c>
    </row>
    <row r="37" spans="1:8" x14ac:dyDescent="0.25">
      <c r="A37">
        <v>34</v>
      </c>
      <c r="B37" s="6">
        <v>134.91999999999999</v>
      </c>
      <c r="C37" s="53">
        <f t="shared" si="4"/>
        <v>107.57</v>
      </c>
      <c r="D37" s="53">
        <f t="shared" si="0"/>
        <v>3.4719354838709648</v>
      </c>
      <c r="E37" s="53">
        <f t="shared" si="1"/>
        <v>-2.0025806451613022</v>
      </c>
      <c r="F37" s="4">
        <f t="shared" si="2"/>
        <v>-6.9528308012487345</v>
      </c>
      <c r="G37" s="4">
        <f t="shared" si="3"/>
        <v>12.054336004162311</v>
      </c>
      <c r="H37" s="4">
        <f t="shared" si="3"/>
        <v>4.0103292403746575</v>
      </c>
    </row>
    <row r="38" spans="1:8" x14ac:dyDescent="0.25">
      <c r="A38">
        <v>35</v>
      </c>
      <c r="B38" s="6">
        <v>135.69999999999999</v>
      </c>
      <c r="C38" s="53">
        <f t="shared" si="4"/>
        <v>111.96</v>
      </c>
      <c r="D38" s="53">
        <f t="shared" si="0"/>
        <v>4.251935483870966</v>
      </c>
      <c r="E38" s="53">
        <f t="shared" si="1"/>
        <v>2.3874193548386984</v>
      </c>
      <c r="F38" s="4">
        <f t="shared" si="2"/>
        <v>10.15115306971899</v>
      </c>
      <c r="G38" s="4">
        <f t="shared" si="3"/>
        <v>18.078955359001025</v>
      </c>
      <c r="H38" s="4">
        <f t="shared" si="3"/>
        <v>5.6997711758584266</v>
      </c>
    </row>
    <row r="39" spans="1:8" x14ac:dyDescent="0.25">
      <c r="A39">
        <v>36</v>
      </c>
      <c r="B39" s="6">
        <v>136.13999999999999</v>
      </c>
      <c r="C39" s="53">
        <f t="shared" si="4"/>
        <v>115.27</v>
      </c>
      <c r="D39" s="53">
        <f t="shared" si="0"/>
        <v>4.6919354838709637</v>
      </c>
      <c r="E39" s="53">
        <f t="shared" si="1"/>
        <v>5.6974193548387007</v>
      </c>
      <c r="F39" s="4">
        <f t="shared" si="2"/>
        <v>26.731924037460914</v>
      </c>
      <c r="G39" s="4">
        <f t="shared" si="3"/>
        <v>22.014258584807454</v>
      </c>
      <c r="H39" s="4">
        <f t="shared" si="3"/>
        <v>32.460587304890637</v>
      </c>
    </row>
    <row r="40" spans="1:8" x14ac:dyDescent="0.25">
      <c r="A40">
        <v>37</v>
      </c>
      <c r="B40" s="6">
        <v>140.15</v>
      </c>
      <c r="C40" s="53">
        <f t="shared" si="4"/>
        <v>117.17</v>
      </c>
      <c r="D40" s="53">
        <f t="shared" si="0"/>
        <v>8.701935483870983</v>
      </c>
      <c r="E40" s="53">
        <f t="shared" si="1"/>
        <v>7.5974193548387063</v>
      </c>
      <c r="F40" s="4">
        <f t="shared" si="2"/>
        <v>66.112253069719131</v>
      </c>
      <c r="G40" s="4">
        <f t="shared" si="3"/>
        <v>75.723681165452916</v>
      </c>
      <c r="H40" s="4">
        <f t="shared" si="3"/>
        <v>57.720780853277788</v>
      </c>
    </row>
    <row r="41" spans="1:8" x14ac:dyDescent="0.25">
      <c r="A41">
        <v>38</v>
      </c>
      <c r="B41" s="6">
        <v>140.09</v>
      </c>
      <c r="C41" s="53">
        <f t="shared" si="4"/>
        <v>117.61</v>
      </c>
      <c r="D41" s="53">
        <f t="shared" si="0"/>
        <v>8.6419354838709808</v>
      </c>
      <c r="E41" s="53">
        <f t="shared" si="1"/>
        <v>8.0374193548387041</v>
      </c>
      <c r="F41" s="4">
        <f t="shared" si="2"/>
        <v>69.458859521332002</v>
      </c>
      <c r="G41" s="4">
        <f t="shared" si="3"/>
        <v>74.683048907388368</v>
      </c>
      <c r="H41" s="4">
        <f t="shared" si="3"/>
        <v>64.600109885535815</v>
      </c>
    </row>
    <row r="42" spans="1:8" x14ac:dyDescent="0.25">
      <c r="A42">
        <v>39</v>
      </c>
      <c r="B42" s="6">
        <v>139.1</v>
      </c>
      <c r="C42" s="53">
        <f t="shared" si="4"/>
        <v>117.26</v>
      </c>
      <c r="D42" s="53">
        <f t="shared" si="0"/>
        <v>7.6519354838709717</v>
      </c>
      <c r="E42" s="53">
        <f t="shared" si="1"/>
        <v>7.6874193548387098</v>
      </c>
      <c r="F42" s="4">
        <f t="shared" si="2"/>
        <v>58.823636940686818</v>
      </c>
      <c r="G42" s="4">
        <f t="shared" si="3"/>
        <v>58.552116649323679</v>
      </c>
      <c r="H42" s="4">
        <f t="shared" si="3"/>
        <v>59.096416337148803</v>
      </c>
    </row>
    <row r="43" spans="1:8" x14ac:dyDescent="0.25">
      <c r="A43">
        <v>40</v>
      </c>
      <c r="B43" s="6">
        <v>137.5</v>
      </c>
      <c r="C43" s="53">
        <f t="shared" si="4"/>
        <v>115.88</v>
      </c>
      <c r="D43" s="53">
        <f t="shared" si="0"/>
        <v>6.0519354838709774</v>
      </c>
      <c r="E43" s="53">
        <f t="shared" si="1"/>
        <v>6.3074193548387001</v>
      </c>
      <c r="F43" s="4">
        <f t="shared" si="2"/>
        <v>38.17209500520292</v>
      </c>
      <c r="G43" s="4">
        <f t="shared" si="3"/>
        <v>36.625923100936639</v>
      </c>
      <c r="H43" s="4">
        <f t="shared" si="3"/>
        <v>39.783538917793841</v>
      </c>
    </row>
    <row r="44" spans="1:8" x14ac:dyDescent="0.25">
      <c r="A44">
        <v>41</v>
      </c>
      <c r="B44" s="6">
        <v>136.12</v>
      </c>
      <c r="C44" s="53">
        <f t="shared" si="4"/>
        <v>113.35</v>
      </c>
      <c r="D44" s="53">
        <f t="shared" si="0"/>
        <v>4.6719354838709819</v>
      </c>
      <c r="E44" s="53">
        <f t="shared" si="1"/>
        <v>3.777419354838699</v>
      </c>
      <c r="F44" s="4">
        <f t="shared" si="2"/>
        <v>17.647859521331949</v>
      </c>
      <c r="G44" s="4">
        <f t="shared" si="3"/>
        <v>21.826981165452786</v>
      </c>
      <c r="H44" s="4">
        <f t="shared" si="3"/>
        <v>14.268896982310013</v>
      </c>
    </row>
    <row r="45" spans="1:8" x14ac:dyDescent="0.25">
      <c r="A45">
        <v>42</v>
      </c>
      <c r="B45" s="6">
        <v>135.22</v>
      </c>
      <c r="C45" s="53">
        <f t="shared" si="4"/>
        <v>111.39</v>
      </c>
      <c r="D45" s="53">
        <f t="shared" si="0"/>
        <v>3.7719354838709762</v>
      </c>
      <c r="E45" s="53">
        <f t="shared" si="1"/>
        <v>1.8174193548387052</v>
      </c>
      <c r="F45" s="4">
        <f t="shared" si="2"/>
        <v>6.8551885535900086</v>
      </c>
      <c r="G45" s="4">
        <f t="shared" si="3"/>
        <v>14.227497294484975</v>
      </c>
      <c r="H45" s="4">
        <f t="shared" si="3"/>
        <v>3.3030131113423353</v>
      </c>
    </row>
    <row r="46" spans="1:8" x14ac:dyDescent="0.25">
      <c r="A46">
        <v>43</v>
      </c>
      <c r="B46" s="6">
        <v>134.72999999999999</v>
      </c>
      <c r="C46" s="53">
        <f t="shared" si="4"/>
        <v>109.76</v>
      </c>
      <c r="D46" s="53">
        <f t="shared" si="0"/>
        <v>3.2819354838709671</v>
      </c>
      <c r="E46" s="53">
        <f t="shared" si="1"/>
        <v>0.18741935483870975</v>
      </c>
      <c r="F46" s="4">
        <f t="shared" si="2"/>
        <v>0.61509823100936534</v>
      </c>
      <c r="G46" s="4">
        <f t="shared" ref="G46:H61" si="5">D46*D46</f>
        <v>10.771100520291359</v>
      </c>
      <c r="H46" s="4">
        <f t="shared" si="5"/>
        <v>3.5126014568158198E-2</v>
      </c>
    </row>
    <row r="47" spans="1:8" x14ac:dyDescent="0.25">
      <c r="A47">
        <v>44</v>
      </c>
      <c r="B47" s="6">
        <v>134.38999999999999</v>
      </c>
      <c r="C47" s="53">
        <f t="shared" si="4"/>
        <v>109.5</v>
      </c>
      <c r="D47" s="53">
        <f t="shared" si="0"/>
        <v>2.9419354838709637</v>
      </c>
      <c r="E47" s="53">
        <f t="shared" si="1"/>
        <v>-7.2580645161295365E-2</v>
      </c>
      <c r="F47" s="4">
        <f t="shared" si="2"/>
        <v>-0.2135275754422622</v>
      </c>
      <c r="G47" s="4">
        <f t="shared" si="5"/>
        <v>8.6549843912590809</v>
      </c>
      <c r="H47" s="4">
        <f t="shared" si="5"/>
        <v>5.2679500520298687E-3</v>
      </c>
    </row>
    <row r="48" spans="1:8" x14ac:dyDescent="0.25">
      <c r="A48">
        <v>45</v>
      </c>
      <c r="B48" s="6">
        <v>134.51</v>
      </c>
      <c r="C48" s="53">
        <f t="shared" si="4"/>
        <v>108.86</v>
      </c>
      <c r="D48" s="53">
        <f t="shared" si="0"/>
        <v>3.0619354838709683</v>
      </c>
      <c r="E48" s="53">
        <f t="shared" si="1"/>
        <v>-0.71258064516129593</v>
      </c>
      <c r="F48" s="4">
        <f t="shared" si="2"/>
        <v>-2.1818759625390394</v>
      </c>
      <c r="G48" s="4">
        <f t="shared" si="5"/>
        <v>9.3754489073881402</v>
      </c>
      <c r="H48" s="4">
        <f t="shared" si="5"/>
        <v>0.50777117585848874</v>
      </c>
    </row>
    <row r="49" spans="1:8" x14ac:dyDescent="0.25">
      <c r="A49">
        <v>46</v>
      </c>
      <c r="B49" s="6">
        <v>134.46</v>
      </c>
      <c r="C49" s="53">
        <f t="shared" si="4"/>
        <v>108.49</v>
      </c>
      <c r="D49" s="53">
        <f t="shared" si="0"/>
        <v>3.0119354838709853</v>
      </c>
      <c r="E49" s="53">
        <f t="shared" si="1"/>
        <v>-1.0825806451613005</v>
      </c>
      <c r="F49" s="4">
        <f t="shared" si="2"/>
        <v>-3.2606630593132651</v>
      </c>
      <c r="G49" s="4">
        <f t="shared" si="5"/>
        <v>9.0717553590011466</v>
      </c>
      <c r="H49" s="4">
        <f t="shared" si="5"/>
        <v>1.1719808532778575</v>
      </c>
    </row>
    <row r="50" spans="1:8" x14ac:dyDescent="0.25">
      <c r="A50">
        <v>47</v>
      </c>
      <c r="B50" s="6">
        <v>134.27000000000001</v>
      </c>
      <c r="C50" s="53">
        <f t="shared" si="4"/>
        <v>108.36</v>
      </c>
      <c r="D50" s="53">
        <f t="shared" si="0"/>
        <v>2.8219354838709876</v>
      </c>
      <c r="E50" s="53">
        <f t="shared" si="1"/>
        <v>-1.2125806451612959</v>
      </c>
      <c r="F50" s="4">
        <f t="shared" si="2"/>
        <v>-3.4218243496358358</v>
      </c>
      <c r="G50" s="4">
        <f t="shared" si="5"/>
        <v>7.9633198751301846</v>
      </c>
      <c r="H50" s="4">
        <f t="shared" si="5"/>
        <v>1.4703518210197848</v>
      </c>
    </row>
    <row r="51" spans="1:8" x14ac:dyDescent="0.25">
      <c r="A51">
        <v>48</v>
      </c>
      <c r="B51" s="6">
        <v>133.72999999999999</v>
      </c>
      <c r="C51" s="53">
        <f t="shared" si="4"/>
        <v>108.19</v>
      </c>
      <c r="D51" s="53">
        <f t="shared" si="0"/>
        <v>2.2819354838709671</v>
      </c>
      <c r="E51" s="53">
        <f t="shared" si="1"/>
        <v>-1.3825806451612976</v>
      </c>
      <c r="F51" s="4">
        <f t="shared" si="2"/>
        <v>-3.1549598335067794</v>
      </c>
      <c r="G51" s="4">
        <f t="shared" si="5"/>
        <v>5.2072295525494248</v>
      </c>
      <c r="H51" s="4">
        <f t="shared" si="5"/>
        <v>1.91152924037463</v>
      </c>
    </row>
    <row r="52" spans="1:8" x14ac:dyDescent="0.25">
      <c r="A52">
        <v>49</v>
      </c>
      <c r="B52" s="6">
        <v>132.01</v>
      </c>
      <c r="C52" s="53">
        <f t="shared" si="4"/>
        <v>107.8</v>
      </c>
      <c r="D52" s="53">
        <f t="shared" si="0"/>
        <v>0.56193548387096826</v>
      </c>
      <c r="E52" s="53">
        <f t="shared" si="1"/>
        <v>-1.7725806451612982</v>
      </c>
      <c r="F52" s="4">
        <f t="shared" si="2"/>
        <v>-0.99607596253902719</v>
      </c>
      <c r="G52" s="4">
        <f t="shared" si="5"/>
        <v>0.31577148803329924</v>
      </c>
      <c r="H52" s="4">
        <f t="shared" si="5"/>
        <v>3.142042143600444</v>
      </c>
    </row>
    <row r="53" spans="1:8" x14ac:dyDescent="0.25">
      <c r="A53">
        <v>50</v>
      </c>
      <c r="B53" s="6">
        <v>130.59</v>
      </c>
      <c r="C53" s="53">
        <f t="shared" si="4"/>
        <v>107.47</v>
      </c>
      <c r="D53" s="53">
        <f t="shared" si="0"/>
        <v>-0.85806451612901924</v>
      </c>
      <c r="E53" s="53">
        <f t="shared" si="1"/>
        <v>-2.1025806451612965</v>
      </c>
      <c r="F53" s="4">
        <f t="shared" si="2"/>
        <v>1.8041498439125689</v>
      </c>
      <c r="G53" s="4">
        <f t="shared" si="5"/>
        <v>0.73627471383972787</v>
      </c>
      <c r="H53" s="4">
        <f t="shared" si="5"/>
        <v>4.4208453694068934</v>
      </c>
    </row>
    <row r="54" spans="1:8" x14ac:dyDescent="0.25">
      <c r="A54">
        <v>51</v>
      </c>
      <c r="B54" s="6">
        <v>130.28</v>
      </c>
      <c r="C54" s="53">
        <f t="shared" si="4"/>
        <v>107.03</v>
      </c>
      <c r="D54" s="53">
        <f t="shared" si="0"/>
        <v>-1.1680645161290215</v>
      </c>
      <c r="E54" s="53">
        <f t="shared" si="1"/>
        <v>-2.5425806451612942</v>
      </c>
      <c r="F54" s="4">
        <f t="shared" si="2"/>
        <v>2.9698982310093425</v>
      </c>
      <c r="G54" s="4">
        <f t="shared" si="5"/>
        <v>1.3643747138397251</v>
      </c>
      <c r="H54" s="4">
        <f t="shared" si="5"/>
        <v>6.4647163371488228</v>
      </c>
    </row>
    <row r="55" spans="1:8" x14ac:dyDescent="0.25">
      <c r="A55">
        <v>52</v>
      </c>
      <c r="B55" s="6">
        <v>129.16</v>
      </c>
      <c r="C55" s="53">
        <f t="shared" si="4"/>
        <v>106.61</v>
      </c>
      <c r="D55" s="53">
        <f t="shared" si="0"/>
        <v>-2.2880645161290261</v>
      </c>
      <c r="E55" s="53">
        <f t="shared" si="1"/>
        <v>-2.9625806451612959</v>
      </c>
      <c r="F55" s="4">
        <f t="shared" si="2"/>
        <v>6.7785756503641981</v>
      </c>
      <c r="G55" s="4">
        <f t="shared" si="5"/>
        <v>5.2352392299687542</v>
      </c>
      <c r="H55" s="4">
        <f t="shared" si="5"/>
        <v>8.7768840790843203</v>
      </c>
    </row>
    <row r="56" spans="1:8" x14ac:dyDescent="0.25">
      <c r="A56">
        <v>53</v>
      </c>
      <c r="B56" s="6">
        <v>128.94</v>
      </c>
      <c r="C56" s="53">
        <f t="shared" si="4"/>
        <v>106.57</v>
      </c>
      <c r="D56" s="53">
        <f t="shared" si="0"/>
        <v>-2.5080645161290249</v>
      </c>
      <c r="E56" s="53">
        <f t="shared" si="1"/>
        <v>-3.0025806451613022</v>
      </c>
      <c r="F56" s="4">
        <f t="shared" si="2"/>
        <v>7.5306659729448571</v>
      </c>
      <c r="G56" s="4">
        <f t="shared" si="5"/>
        <v>6.2903876170655195</v>
      </c>
      <c r="H56" s="4">
        <f t="shared" si="5"/>
        <v>9.0154905306972619</v>
      </c>
    </row>
    <row r="57" spans="1:8" x14ac:dyDescent="0.25">
      <c r="A57">
        <v>54</v>
      </c>
      <c r="B57" s="6">
        <v>129.30000000000001</v>
      </c>
      <c r="C57" s="53">
        <f t="shared" si="4"/>
        <v>106.49</v>
      </c>
      <c r="D57" s="53">
        <f t="shared" si="0"/>
        <v>-2.1480645161290113</v>
      </c>
      <c r="E57" s="53">
        <f t="shared" si="1"/>
        <v>-3.0825806451613005</v>
      </c>
      <c r="F57" s="4">
        <f t="shared" si="2"/>
        <v>6.6215821019770642</v>
      </c>
      <c r="G57" s="4">
        <f t="shared" si="5"/>
        <v>4.6141811654525631</v>
      </c>
      <c r="H57" s="4">
        <f t="shared" si="5"/>
        <v>9.5023034339230588</v>
      </c>
    </row>
    <row r="58" spans="1:8" x14ac:dyDescent="0.25">
      <c r="A58">
        <v>55</v>
      </c>
      <c r="B58" s="6">
        <v>131.22</v>
      </c>
      <c r="C58" s="53">
        <f t="shared" si="4"/>
        <v>107.04</v>
      </c>
      <c r="D58" s="53">
        <f t="shared" si="0"/>
        <v>-0.22806451612902379</v>
      </c>
      <c r="E58" s="53">
        <f t="shared" si="1"/>
        <v>-2.5325806451612891</v>
      </c>
      <c r="F58" s="4">
        <f t="shared" si="2"/>
        <v>0.57759177939644024</v>
      </c>
      <c r="G58" s="4">
        <f t="shared" si="5"/>
        <v>5.2013423517165751E-2</v>
      </c>
      <c r="H58" s="4">
        <f t="shared" si="5"/>
        <v>6.4139647242455711</v>
      </c>
    </row>
    <row r="59" spans="1:8" x14ac:dyDescent="0.25">
      <c r="A59">
        <v>56</v>
      </c>
      <c r="B59" s="6">
        <v>132.52000000000001</v>
      </c>
      <c r="C59" s="53">
        <f t="shared" si="4"/>
        <v>111.35</v>
      </c>
      <c r="D59" s="53">
        <f t="shared" si="0"/>
        <v>1.0719354838709876</v>
      </c>
      <c r="E59" s="53">
        <f t="shared" si="1"/>
        <v>1.777419354838699</v>
      </c>
      <c r="F59" s="4">
        <f t="shared" si="2"/>
        <v>1.9052788761706794</v>
      </c>
      <c r="G59" s="4">
        <f t="shared" si="5"/>
        <v>1.1490456815817283</v>
      </c>
      <c r="H59" s="4">
        <f t="shared" si="5"/>
        <v>3.1592195629552169</v>
      </c>
    </row>
    <row r="60" spans="1:8" x14ac:dyDescent="0.25">
      <c r="A60">
        <v>57</v>
      </c>
      <c r="B60" s="6">
        <v>134.25</v>
      </c>
      <c r="C60" s="53">
        <f t="shared" si="4"/>
        <v>117.54</v>
      </c>
      <c r="D60" s="53">
        <f t="shared" si="0"/>
        <v>2.8019354838709774</v>
      </c>
      <c r="E60" s="53">
        <f t="shared" si="1"/>
        <v>7.9674193548387109</v>
      </c>
      <c r="F60" s="4">
        <f t="shared" si="2"/>
        <v>22.324195005202995</v>
      </c>
      <c r="G60" s="4">
        <f t="shared" si="5"/>
        <v>7.8508424557752878</v>
      </c>
      <c r="H60" s="4">
        <f t="shared" si="5"/>
        <v>63.479771175858502</v>
      </c>
    </row>
    <row r="61" spans="1:8" x14ac:dyDescent="0.25">
      <c r="A61">
        <v>58</v>
      </c>
      <c r="B61" s="6">
        <v>136.06</v>
      </c>
      <c r="C61" s="53">
        <f t="shared" si="4"/>
        <v>122.58</v>
      </c>
      <c r="D61" s="53">
        <f t="shared" si="0"/>
        <v>4.6119354838709796</v>
      </c>
      <c r="E61" s="53">
        <f t="shared" si="1"/>
        <v>13.007419354838703</v>
      </c>
      <c r="F61" s="4">
        <f t="shared" si="2"/>
        <v>59.989378876170782</v>
      </c>
      <c r="G61" s="4">
        <f t="shared" si="5"/>
        <v>21.269948907388248</v>
      </c>
      <c r="H61" s="4">
        <f t="shared" si="5"/>
        <v>169.1929582726325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3396.75</v>
      </c>
      <c r="D62" s="39">
        <f t="shared" si="6"/>
        <v>2.7000623958883807E-13</v>
      </c>
      <c r="E62" s="39">
        <f t="shared" si="6"/>
        <v>-2.1316282072803006E-13</v>
      </c>
      <c r="F62" s="39">
        <f t="shared" si="6"/>
        <v>895.31615483870974</v>
      </c>
      <c r="G62" s="39">
        <f t="shared" si="6"/>
        <v>1718.2762838709671</v>
      </c>
      <c r="H62" s="39">
        <f t="shared" si="6"/>
        <v>864.3983935483875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109.5725806451613</v>
      </c>
    </row>
    <row r="65" spans="1:2" ht="18" x14ac:dyDescent="0.35">
      <c r="A65" t="s">
        <v>310</v>
      </c>
      <c r="B65" s="39">
        <f>SUM(B31:B61)/31</f>
        <v>131.44806451612902</v>
      </c>
    </row>
    <row r="66" spans="1:2" ht="18" x14ac:dyDescent="0.35">
      <c r="A66" t="s">
        <v>311</v>
      </c>
      <c r="B66">
        <f>SUM(C31:C61)/31</f>
        <v>109.5725806451613</v>
      </c>
    </row>
    <row r="68" spans="1:2" ht="18" x14ac:dyDescent="0.35">
      <c r="A68" t="s">
        <v>312</v>
      </c>
      <c r="B68">
        <f>F62/SQRT(G62*H62)</f>
        <v>0.73463725299109128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60" workbookViewId="0">
      <selection activeCell="C73" sqref="C73"/>
    </sheetView>
  </sheetViews>
  <sheetFormatPr defaultRowHeight="15" x14ac:dyDescent="0.25"/>
  <cols>
    <col min="6" max="6" width="18.1406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313</v>
      </c>
      <c r="D3" s="45" t="s">
        <v>314</v>
      </c>
      <c r="E3" s="45" t="s">
        <v>315</v>
      </c>
      <c r="F3" s="46" t="s">
        <v>316</v>
      </c>
      <c r="G3" s="45" t="s">
        <v>317</v>
      </c>
      <c r="H3" s="45" t="s">
        <v>318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>
        <v>22</v>
      </c>
      <c r="B25" s="6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>
        <v>23</v>
      </c>
      <c r="B26" s="6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>
        <v>24</v>
      </c>
      <c r="B27" s="6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>
        <v>25</v>
      </c>
      <c r="B28" s="6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>
        <v>26</v>
      </c>
      <c r="B29" s="6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>
        <v>27</v>
      </c>
      <c r="B30" s="6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>
        <v>28</v>
      </c>
      <c r="B31" s="6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>
        <v>29</v>
      </c>
      <c r="B32" s="6">
        <v>111.35</v>
      </c>
      <c r="C32" s="53">
        <f>B4</f>
        <v>102.32</v>
      </c>
      <c r="D32" s="53">
        <f t="shared" ref="D32:D61" si="0">B32-$B$65</f>
        <v>-20.911666666666662</v>
      </c>
      <c r="E32" s="53">
        <f t="shared" ref="E32:E61" si="1">C32-$B$66</f>
        <v>-6.8190000000000026</v>
      </c>
      <c r="F32" s="4">
        <f t="shared" ref="F32:F61" si="2">D32*E32</f>
        <v>142.59665500000003</v>
      </c>
      <c r="G32" s="4">
        <f t="shared" ref="G32:H46" si="3">D32*D32</f>
        <v>437.29780277777758</v>
      </c>
      <c r="H32" s="4">
        <f t="shared" si="3"/>
        <v>46.498761000000037</v>
      </c>
    </row>
    <row r="33" spans="1:8" x14ac:dyDescent="0.25">
      <c r="A33">
        <v>30</v>
      </c>
      <c r="B33" s="6">
        <v>117.54</v>
      </c>
      <c r="C33" s="53">
        <f t="shared" ref="C33:C61" si="4">B5</f>
        <v>102.21</v>
      </c>
      <c r="D33" s="53">
        <f t="shared" si="0"/>
        <v>-14.72166666666665</v>
      </c>
      <c r="E33" s="53">
        <f t="shared" si="1"/>
        <v>-6.929000000000002</v>
      </c>
      <c r="F33" s="4">
        <f t="shared" si="2"/>
        <v>102.00642833333325</v>
      </c>
      <c r="G33" s="4">
        <f t="shared" si="3"/>
        <v>216.72746944444395</v>
      </c>
      <c r="H33" s="4">
        <f t="shared" si="3"/>
        <v>48.011041000000027</v>
      </c>
    </row>
    <row r="34" spans="1:8" x14ac:dyDescent="0.25">
      <c r="A34">
        <v>31</v>
      </c>
      <c r="B34" s="6">
        <v>122.58</v>
      </c>
      <c r="C34" s="53">
        <f t="shared" si="4"/>
        <v>102.16</v>
      </c>
      <c r="D34" s="53">
        <f t="shared" si="0"/>
        <v>-9.6816666666666578</v>
      </c>
      <c r="E34" s="53">
        <f t="shared" si="1"/>
        <v>-6.9789999999999992</v>
      </c>
      <c r="F34" s="4">
        <f t="shared" si="2"/>
        <v>67.568351666666601</v>
      </c>
      <c r="G34" s="4">
        <f t="shared" si="3"/>
        <v>93.734669444444279</v>
      </c>
      <c r="H34" s="4">
        <f t="shared" si="3"/>
        <v>48.706440999999991</v>
      </c>
    </row>
    <row r="35" spans="1:8" x14ac:dyDescent="0.25">
      <c r="A35">
        <v>32</v>
      </c>
      <c r="B35" s="6">
        <v>128.16</v>
      </c>
      <c r="C35" s="53">
        <f t="shared" si="4"/>
        <v>102.06</v>
      </c>
      <c r="D35" s="53">
        <f t="shared" si="0"/>
        <v>-4.1016666666666595</v>
      </c>
      <c r="E35" s="53">
        <f t="shared" si="1"/>
        <v>-7.0789999999999935</v>
      </c>
      <c r="F35" s="4">
        <f t="shared" si="2"/>
        <v>29.035698333333254</v>
      </c>
      <c r="G35" s="4">
        <f t="shared" si="3"/>
        <v>16.823669444444384</v>
      </c>
      <c r="H35" s="4">
        <f t="shared" si="3"/>
        <v>50.112240999999905</v>
      </c>
    </row>
    <row r="36" spans="1:8" x14ac:dyDescent="0.25">
      <c r="A36">
        <v>33</v>
      </c>
      <c r="B36" s="6">
        <v>132.86000000000001</v>
      </c>
      <c r="C36" s="53">
        <f t="shared" si="4"/>
        <v>102.55</v>
      </c>
      <c r="D36" s="53">
        <f t="shared" si="0"/>
        <v>0.59833333333335759</v>
      </c>
      <c r="E36" s="53">
        <f t="shared" si="1"/>
        <v>-6.5889999999999986</v>
      </c>
      <c r="F36" s="4">
        <f t="shared" si="2"/>
        <v>-3.9424183333334923</v>
      </c>
      <c r="G36" s="4">
        <f t="shared" si="3"/>
        <v>0.35800277777780681</v>
      </c>
      <c r="H36" s="4">
        <f t="shared" si="3"/>
        <v>43.414920999999985</v>
      </c>
    </row>
    <row r="37" spans="1:8" x14ac:dyDescent="0.25">
      <c r="A37">
        <v>34</v>
      </c>
      <c r="B37" s="6">
        <v>134.91999999999999</v>
      </c>
      <c r="C37" s="53">
        <f t="shared" si="4"/>
        <v>104.35</v>
      </c>
      <c r="D37" s="53">
        <f t="shared" si="0"/>
        <v>2.6583333333333314</v>
      </c>
      <c r="E37" s="53">
        <f t="shared" si="1"/>
        <v>-4.7890000000000015</v>
      </c>
      <c r="F37" s="4">
        <f t="shared" si="2"/>
        <v>-12.730758333333329</v>
      </c>
      <c r="G37" s="4">
        <f t="shared" si="3"/>
        <v>7.0667361111111013</v>
      </c>
      <c r="H37" s="4">
        <f t="shared" si="3"/>
        <v>22.934521000000014</v>
      </c>
    </row>
    <row r="38" spans="1:8" x14ac:dyDescent="0.25">
      <c r="A38">
        <v>35</v>
      </c>
      <c r="B38" s="6">
        <v>135.69999999999999</v>
      </c>
      <c r="C38" s="53">
        <f t="shared" si="4"/>
        <v>107.57</v>
      </c>
      <c r="D38" s="53">
        <f t="shared" si="0"/>
        <v>3.4383333333333326</v>
      </c>
      <c r="E38" s="53">
        <f t="shared" si="1"/>
        <v>-1.5690000000000026</v>
      </c>
      <c r="F38" s="4">
        <f t="shared" si="2"/>
        <v>-5.3947450000000075</v>
      </c>
      <c r="G38" s="4">
        <f t="shared" si="3"/>
        <v>11.822136111111107</v>
      </c>
      <c r="H38" s="4">
        <f t="shared" si="3"/>
        <v>2.4617610000000081</v>
      </c>
    </row>
    <row r="39" spans="1:8" x14ac:dyDescent="0.25">
      <c r="A39">
        <v>36</v>
      </c>
      <c r="B39" s="6">
        <v>136.13999999999999</v>
      </c>
      <c r="C39" s="53">
        <f t="shared" si="4"/>
        <v>111.96</v>
      </c>
      <c r="D39" s="53">
        <f t="shared" si="0"/>
        <v>3.8783333333333303</v>
      </c>
      <c r="E39" s="53">
        <f t="shared" si="1"/>
        <v>2.820999999999998</v>
      </c>
      <c r="F39" s="4">
        <f t="shared" si="2"/>
        <v>10.940778333333316</v>
      </c>
      <c r="G39" s="4">
        <f t="shared" si="3"/>
        <v>15.04146944444442</v>
      </c>
      <c r="H39" s="4">
        <f t="shared" si="3"/>
        <v>7.9580409999999882</v>
      </c>
    </row>
    <row r="40" spans="1:8" x14ac:dyDescent="0.25">
      <c r="A40">
        <v>37</v>
      </c>
      <c r="B40" s="6">
        <v>140.15</v>
      </c>
      <c r="C40" s="53">
        <f t="shared" si="4"/>
        <v>115.27</v>
      </c>
      <c r="D40" s="53">
        <f t="shared" si="0"/>
        <v>7.8883333333333496</v>
      </c>
      <c r="E40" s="53">
        <f t="shared" si="1"/>
        <v>6.1310000000000002</v>
      </c>
      <c r="F40" s="4">
        <f t="shared" si="2"/>
        <v>48.363371666666765</v>
      </c>
      <c r="G40" s="4">
        <f t="shared" si="3"/>
        <v>62.225802777778036</v>
      </c>
      <c r="H40" s="4">
        <f t="shared" si="3"/>
        <v>37.589161000000004</v>
      </c>
    </row>
    <row r="41" spans="1:8" x14ac:dyDescent="0.25">
      <c r="A41">
        <v>38</v>
      </c>
      <c r="B41" s="6">
        <v>140.09</v>
      </c>
      <c r="C41" s="53">
        <f t="shared" si="4"/>
        <v>117.17</v>
      </c>
      <c r="D41" s="53">
        <f t="shared" si="0"/>
        <v>7.8283333333333474</v>
      </c>
      <c r="E41" s="53">
        <f t="shared" si="1"/>
        <v>8.0310000000000059</v>
      </c>
      <c r="F41" s="4">
        <f t="shared" si="2"/>
        <v>62.869345000000159</v>
      </c>
      <c r="G41" s="4">
        <f t="shared" si="3"/>
        <v>61.282802777777995</v>
      </c>
      <c r="H41" s="4">
        <f t="shared" si="3"/>
        <v>64.496961000000098</v>
      </c>
    </row>
    <row r="42" spans="1:8" x14ac:dyDescent="0.25">
      <c r="A42">
        <v>39</v>
      </c>
      <c r="B42" s="6">
        <v>139.1</v>
      </c>
      <c r="C42" s="53">
        <f t="shared" si="4"/>
        <v>117.61</v>
      </c>
      <c r="D42" s="53">
        <f t="shared" si="0"/>
        <v>6.8383333333333383</v>
      </c>
      <c r="E42" s="53">
        <f t="shared" si="1"/>
        <v>8.4710000000000036</v>
      </c>
      <c r="F42" s="4">
        <f t="shared" si="2"/>
        <v>57.927521666666735</v>
      </c>
      <c r="G42" s="4">
        <f t="shared" si="3"/>
        <v>46.762802777777843</v>
      </c>
      <c r="H42" s="4">
        <f t="shared" si="3"/>
        <v>71.757841000000056</v>
      </c>
    </row>
    <row r="43" spans="1:8" x14ac:dyDescent="0.25">
      <c r="A43">
        <v>40</v>
      </c>
      <c r="B43" s="6">
        <v>137.5</v>
      </c>
      <c r="C43" s="53">
        <f t="shared" si="4"/>
        <v>117.26</v>
      </c>
      <c r="D43" s="53">
        <f t="shared" si="0"/>
        <v>5.2383333333333439</v>
      </c>
      <c r="E43" s="53">
        <f t="shared" si="1"/>
        <v>8.1210000000000093</v>
      </c>
      <c r="F43" s="4">
        <f t="shared" si="2"/>
        <v>42.540505000000138</v>
      </c>
      <c r="G43" s="4">
        <f t="shared" si="3"/>
        <v>27.440136111111222</v>
      </c>
      <c r="H43" s="4">
        <f t="shared" si="3"/>
        <v>65.950641000000147</v>
      </c>
    </row>
    <row r="44" spans="1:8" x14ac:dyDescent="0.25">
      <c r="A44">
        <v>41</v>
      </c>
      <c r="B44" s="6">
        <v>136.12</v>
      </c>
      <c r="C44" s="53">
        <f t="shared" si="4"/>
        <v>115.88</v>
      </c>
      <c r="D44" s="53">
        <f t="shared" si="0"/>
        <v>3.8583333333333485</v>
      </c>
      <c r="E44" s="53">
        <f t="shared" si="1"/>
        <v>6.7409999999999997</v>
      </c>
      <c r="F44" s="4">
        <f t="shared" si="2"/>
        <v>26.009025000000101</v>
      </c>
      <c r="G44" s="4">
        <f t="shared" si="3"/>
        <v>14.886736111111228</v>
      </c>
      <c r="H44" s="4">
        <f t="shared" si="3"/>
        <v>45.441080999999997</v>
      </c>
    </row>
    <row r="45" spans="1:8" x14ac:dyDescent="0.25">
      <c r="A45">
        <v>42</v>
      </c>
      <c r="B45" s="6">
        <v>135.22</v>
      </c>
      <c r="C45" s="53">
        <f t="shared" si="4"/>
        <v>113.35</v>
      </c>
      <c r="D45" s="53">
        <f t="shared" si="0"/>
        <v>2.9583333333333428</v>
      </c>
      <c r="E45" s="53">
        <f t="shared" si="1"/>
        <v>4.2109999999999985</v>
      </c>
      <c r="F45" s="4">
        <f t="shared" si="2"/>
        <v>12.457541666666701</v>
      </c>
      <c r="G45" s="4">
        <f t="shared" si="3"/>
        <v>8.7517361111111676</v>
      </c>
      <c r="H45" s="4">
        <f t="shared" si="3"/>
        <v>17.732520999999988</v>
      </c>
    </row>
    <row r="46" spans="1:8" x14ac:dyDescent="0.25">
      <c r="A46">
        <v>43</v>
      </c>
      <c r="B46" s="6">
        <v>134.72999999999999</v>
      </c>
      <c r="C46" s="53">
        <f t="shared" si="4"/>
        <v>111.39</v>
      </c>
      <c r="D46" s="53">
        <f t="shared" si="0"/>
        <v>2.4683333333333337</v>
      </c>
      <c r="E46" s="53">
        <f t="shared" si="1"/>
        <v>2.2510000000000048</v>
      </c>
      <c r="F46" s="4">
        <f t="shared" si="2"/>
        <v>5.5562183333333461</v>
      </c>
      <c r="G46" s="4">
        <f t="shared" si="3"/>
        <v>6.0926694444444465</v>
      </c>
      <c r="H46" s="4">
        <f t="shared" si="3"/>
        <v>5.0670010000000216</v>
      </c>
    </row>
    <row r="47" spans="1:8" x14ac:dyDescent="0.25">
      <c r="A47">
        <v>44</v>
      </c>
      <c r="B47" s="6">
        <v>134.38999999999999</v>
      </c>
      <c r="C47" s="53">
        <f t="shared" si="4"/>
        <v>109.76</v>
      </c>
      <c r="D47" s="53">
        <f t="shared" si="0"/>
        <v>2.1283333333333303</v>
      </c>
      <c r="E47" s="53">
        <f t="shared" si="1"/>
        <v>0.62100000000000932</v>
      </c>
      <c r="F47" s="4">
        <f t="shared" si="2"/>
        <v>1.321695000000018</v>
      </c>
      <c r="G47" s="4">
        <f t="shared" ref="G47:H61" si="5">D47*D47</f>
        <v>4.529802777777765</v>
      </c>
      <c r="H47" s="4">
        <f t="shared" si="5"/>
        <v>0.38564100000001156</v>
      </c>
    </row>
    <row r="48" spans="1:8" x14ac:dyDescent="0.25">
      <c r="A48">
        <v>45</v>
      </c>
      <c r="B48" s="6">
        <v>134.51</v>
      </c>
      <c r="C48" s="53">
        <f t="shared" si="4"/>
        <v>109.5</v>
      </c>
      <c r="D48" s="53">
        <f t="shared" si="0"/>
        <v>2.2483333333333348</v>
      </c>
      <c r="E48" s="53">
        <f t="shared" si="1"/>
        <v>0.36100000000000421</v>
      </c>
      <c r="F48" s="4">
        <f t="shared" si="2"/>
        <v>0.8116483333333433</v>
      </c>
      <c r="G48" s="4">
        <f t="shared" si="5"/>
        <v>5.0550027777777844</v>
      </c>
      <c r="H48" s="4">
        <f t="shared" si="5"/>
        <v>0.13032100000000305</v>
      </c>
    </row>
    <row r="49" spans="1:8" x14ac:dyDescent="0.25">
      <c r="A49">
        <v>46</v>
      </c>
      <c r="B49" s="6">
        <v>134.46</v>
      </c>
      <c r="C49" s="53">
        <f t="shared" si="4"/>
        <v>108.86</v>
      </c>
      <c r="D49" s="53">
        <f t="shared" si="0"/>
        <v>2.1983333333333519</v>
      </c>
      <c r="E49" s="53">
        <f t="shared" si="1"/>
        <v>-0.27899999999999636</v>
      </c>
      <c r="F49" s="4">
        <f t="shared" si="2"/>
        <v>-0.61333499999999719</v>
      </c>
      <c r="G49" s="4">
        <f t="shared" si="5"/>
        <v>4.8326694444445257</v>
      </c>
      <c r="H49" s="4">
        <f t="shared" si="5"/>
        <v>7.7840999999997967E-2</v>
      </c>
    </row>
    <row r="50" spans="1:8" x14ac:dyDescent="0.25">
      <c r="A50">
        <v>47</v>
      </c>
      <c r="B50" s="6">
        <v>134.27000000000001</v>
      </c>
      <c r="C50" s="53">
        <f t="shared" si="4"/>
        <v>108.49</v>
      </c>
      <c r="D50" s="53">
        <f t="shared" si="0"/>
        <v>2.0083333333333542</v>
      </c>
      <c r="E50" s="53">
        <f t="shared" si="1"/>
        <v>-0.64900000000000091</v>
      </c>
      <c r="F50" s="4">
        <f t="shared" si="2"/>
        <v>-1.3034083333333486</v>
      </c>
      <c r="G50" s="4">
        <f t="shared" si="5"/>
        <v>4.0334027777778614</v>
      </c>
      <c r="H50" s="4">
        <f t="shared" si="5"/>
        <v>0.42120100000000116</v>
      </c>
    </row>
    <row r="51" spans="1:8" x14ac:dyDescent="0.25">
      <c r="A51">
        <v>48</v>
      </c>
      <c r="B51" s="6">
        <v>133.72999999999999</v>
      </c>
      <c r="C51" s="53">
        <f t="shared" si="4"/>
        <v>108.36</v>
      </c>
      <c r="D51" s="53">
        <f t="shared" si="0"/>
        <v>1.4683333333333337</v>
      </c>
      <c r="E51" s="53">
        <f t="shared" si="1"/>
        <v>-0.77899999999999636</v>
      </c>
      <c r="F51" s="4">
        <f t="shared" si="2"/>
        <v>-1.1438316666666617</v>
      </c>
      <c r="G51" s="4">
        <f t="shared" si="5"/>
        <v>2.156002777777779</v>
      </c>
      <c r="H51" s="4">
        <f t="shared" si="5"/>
        <v>0.6068409999999943</v>
      </c>
    </row>
    <row r="52" spans="1:8" x14ac:dyDescent="0.25">
      <c r="A52">
        <v>49</v>
      </c>
      <c r="B52" s="6">
        <v>132.01</v>
      </c>
      <c r="C52" s="53">
        <f t="shared" si="4"/>
        <v>108.19</v>
      </c>
      <c r="D52" s="53">
        <f t="shared" si="0"/>
        <v>-0.25166666666666515</v>
      </c>
      <c r="E52" s="53">
        <f t="shared" si="1"/>
        <v>-0.94899999999999807</v>
      </c>
      <c r="F52" s="4">
        <f t="shared" si="2"/>
        <v>0.23883166666666475</v>
      </c>
      <c r="G52" s="4">
        <f t="shared" si="5"/>
        <v>6.3336111111110344E-2</v>
      </c>
      <c r="H52" s="4">
        <f t="shared" si="5"/>
        <v>0.90060099999999632</v>
      </c>
    </row>
    <row r="53" spans="1:8" x14ac:dyDescent="0.25">
      <c r="A53">
        <v>50</v>
      </c>
      <c r="B53" s="6">
        <v>130.59</v>
      </c>
      <c r="C53" s="53">
        <f t="shared" si="4"/>
        <v>107.8</v>
      </c>
      <c r="D53" s="53">
        <f t="shared" si="0"/>
        <v>-1.6716666666666526</v>
      </c>
      <c r="E53" s="53">
        <f t="shared" si="1"/>
        <v>-1.3389999999999986</v>
      </c>
      <c r="F53" s="4">
        <f t="shared" si="2"/>
        <v>2.2383616666666457</v>
      </c>
      <c r="G53" s="4">
        <f t="shared" si="5"/>
        <v>2.7944694444443976</v>
      </c>
      <c r="H53" s="4">
        <f t="shared" si="5"/>
        <v>1.7929209999999964</v>
      </c>
    </row>
    <row r="54" spans="1:8" x14ac:dyDescent="0.25">
      <c r="A54">
        <v>51</v>
      </c>
      <c r="B54" s="6">
        <v>130.28</v>
      </c>
      <c r="C54" s="53">
        <f t="shared" si="4"/>
        <v>107.47</v>
      </c>
      <c r="D54" s="53">
        <f t="shared" si="0"/>
        <v>-1.9816666666666549</v>
      </c>
      <c r="E54" s="53">
        <f t="shared" si="1"/>
        <v>-1.6689999999999969</v>
      </c>
      <c r="F54" s="4">
        <f t="shared" si="2"/>
        <v>3.307401666666641</v>
      </c>
      <c r="G54" s="4">
        <f t="shared" si="5"/>
        <v>3.9270027777777314</v>
      </c>
      <c r="H54" s="4">
        <f t="shared" si="5"/>
        <v>2.7855609999999897</v>
      </c>
    </row>
    <row r="55" spans="1:8" x14ac:dyDescent="0.25">
      <c r="A55">
        <v>52</v>
      </c>
      <c r="B55" s="6">
        <v>129.16</v>
      </c>
      <c r="C55" s="53">
        <f t="shared" si="4"/>
        <v>107.03</v>
      </c>
      <c r="D55" s="53">
        <f t="shared" si="0"/>
        <v>-3.1016666666666595</v>
      </c>
      <c r="E55" s="53">
        <f t="shared" si="1"/>
        <v>-2.1089999999999947</v>
      </c>
      <c r="F55" s="4">
        <f t="shared" si="2"/>
        <v>6.5414149999999687</v>
      </c>
      <c r="G55" s="4">
        <f t="shared" si="5"/>
        <v>9.620336111111067</v>
      </c>
      <c r="H55" s="4">
        <f t="shared" si="5"/>
        <v>4.4478809999999775</v>
      </c>
    </row>
    <row r="56" spans="1:8" x14ac:dyDescent="0.25">
      <c r="A56">
        <v>53</v>
      </c>
      <c r="B56" s="6">
        <v>128.94</v>
      </c>
      <c r="C56" s="53">
        <f t="shared" si="4"/>
        <v>106.61</v>
      </c>
      <c r="D56" s="53">
        <f t="shared" si="0"/>
        <v>-3.3216666666666583</v>
      </c>
      <c r="E56" s="53">
        <f t="shared" si="1"/>
        <v>-2.5289999999999964</v>
      </c>
      <c r="F56" s="4">
        <f t="shared" si="2"/>
        <v>8.4004949999999674</v>
      </c>
      <c r="G56" s="4">
        <f t="shared" si="5"/>
        <v>11.033469444444389</v>
      </c>
      <c r="H56" s="4">
        <f t="shared" si="5"/>
        <v>6.3958409999999812</v>
      </c>
    </row>
    <row r="57" spans="1:8" x14ac:dyDescent="0.25">
      <c r="A57">
        <v>54</v>
      </c>
      <c r="B57" s="6">
        <v>129.30000000000001</v>
      </c>
      <c r="C57" s="53">
        <f t="shared" si="4"/>
        <v>106.57</v>
      </c>
      <c r="D57" s="53">
        <f t="shared" si="0"/>
        <v>-2.9616666666666447</v>
      </c>
      <c r="E57" s="53">
        <f t="shared" si="1"/>
        <v>-2.5690000000000026</v>
      </c>
      <c r="F57" s="4">
        <f t="shared" si="2"/>
        <v>7.6085216666666176</v>
      </c>
      <c r="G57" s="4">
        <f t="shared" si="5"/>
        <v>8.771469444444314</v>
      </c>
      <c r="H57" s="4">
        <f t="shared" si="5"/>
        <v>6.5997610000000133</v>
      </c>
    </row>
    <row r="58" spans="1:8" x14ac:dyDescent="0.25">
      <c r="A58">
        <v>55</v>
      </c>
      <c r="B58" s="6">
        <v>131.22</v>
      </c>
      <c r="C58" s="53">
        <f t="shared" si="4"/>
        <v>106.49</v>
      </c>
      <c r="D58" s="53">
        <f t="shared" si="0"/>
        <v>-1.0416666666666572</v>
      </c>
      <c r="E58" s="53">
        <f t="shared" si="1"/>
        <v>-2.6490000000000009</v>
      </c>
      <c r="F58" s="4">
        <f t="shared" si="2"/>
        <v>2.7593749999999759</v>
      </c>
      <c r="G58" s="4">
        <f t="shared" si="5"/>
        <v>1.0850694444444247</v>
      </c>
      <c r="H58" s="4">
        <f t="shared" si="5"/>
        <v>7.0172010000000045</v>
      </c>
    </row>
    <row r="59" spans="1:8" x14ac:dyDescent="0.25">
      <c r="A59">
        <v>56</v>
      </c>
      <c r="B59" s="6">
        <v>132.52000000000001</v>
      </c>
      <c r="C59" s="53">
        <f t="shared" si="4"/>
        <v>107.04</v>
      </c>
      <c r="D59" s="53">
        <f t="shared" si="0"/>
        <v>0.25833333333335418</v>
      </c>
      <c r="E59" s="53">
        <f t="shared" si="1"/>
        <v>-2.0989999999999895</v>
      </c>
      <c r="F59" s="4">
        <f t="shared" si="2"/>
        <v>-0.5422416666667077</v>
      </c>
      <c r="G59" s="4">
        <f t="shared" si="5"/>
        <v>6.6736111111121876E-2</v>
      </c>
      <c r="H59" s="4">
        <f t="shared" si="5"/>
        <v>4.4058009999999559</v>
      </c>
    </row>
    <row r="60" spans="1:8" x14ac:dyDescent="0.25">
      <c r="A60">
        <v>57</v>
      </c>
      <c r="B60" s="6">
        <v>134.25</v>
      </c>
      <c r="C60" s="53">
        <f t="shared" si="4"/>
        <v>111.35</v>
      </c>
      <c r="D60" s="53">
        <f t="shared" si="0"/>
        <v>1.9883333333333439</v>
      </c>
      <c r="E60" s="53">
        <f t="shared" si="1"/>
        <v>2.2109999999999985</v>
      </c>
      <c r="F60" s="4">
        <f t="shared" si="2"/>
        <v>4.3962050000000206</v>
      </c>
      <c r="G60" s="4">
        <f t="shared" si="5"/>
        <v>3.9534694444444867</v>
      </c>
      <c r="H60" s="4">
        <f t="shared" si="5"/>
        <v>4.8885209999999937</v>
      </c>
    </row>
    <row r="61" spans="1:8" x14ac:dyDescent="0.25">
      <c r="A61">
        <v>58</v>
      </c>
      <c r="B61" s="6">
        <v>136.06</v>
      </c>
      <c r="C61" s="53">
        <f t="shared" si="4"/>
        <v>117.54</v>
      </c>
      <c r="D61" s="53">
        <f t="shared" si="0"/>
        <v>3.7983333333333462</v>
      </c>
      <c r="E61" s="53">
        <f t="shared" si="1"/>
        <v>8.4010000000000105</v>
      </c>
      <c r="F61" s="4">
        <f t="shared" si="2"/>
        <v>31.90979833333348</v>
      </c>
      <c r="G61" s="4">
        <f t="shared" si="5"/>
        <v>14.42733611111121</v>
      </c>
      <c r="H61" s="4">
        <f t="shared" si="5"/>
        <v>70.576801000000174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3274.17</v>
      </c>
      <c r="D62" s="39">
        <f t="shared" si="6"/>
        <v>2.8421709430404007E-13</v>
      </c>
      <c r="E62" s="39">
        <f t="shared" si="6"/>
        <v>7.1054273576010019E-14</v>
      </c>
      <c r="F62" s="39">
        <f t="shared" si="6"/>
        <v>651.73445000000015</v>
      </c>
      <c r="G62" s="39">
        <f t="shared" si="6"/>
        <v>1102.6642166666663</v>
      </c>
      <c r="H62" s="39">
        <f t="shared" si="6"/>
        <v>689.56567000000052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109.139</v>
      </c>
    </row>
    <row r="65" spans="1:2" ht="18" x14ac:dyDescent="0.35">
      <c r="A65" t="s">
        <v>319</v>
      </c>
      <c r="B65" s="39">
        <f>SUM(B32:B61)/30</f>
        <v>132.26166666666666</v>
      </c>
    </row>
    <row r="66" spans="1:2" ht="18" x14ac:dyDescent="0.35">
      <c r="A66" t="s">
        <v>320</v>
      </c>
      <c r="B66">
        <f>SUM(C32:C61)/30</f>
        <v>109.139</v>
      </c>
    </row>
    <row r="68" spans="1:2" ht="18" x14ac:dyDescent="0.35">
      <c r="A68" t="s">
        <v>321</v>
      </c>
      <c r="B68">
        <f>F62/SQRT(G62*H62)</f>
        <v>0.74741398773009327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61" workbookViewId="0">
      <selection activeCell="C73" sqref="C73"/>
    </sheetView>
  </sheetViews>
  <sheetFormatPr defaultRowHeight="15" x14ac:dyDescent="0.25"/>
  <cols>
    <col min="6" max="6" width="18.140625" customWidth="1"/>
  </cols>
  <sheetData>
    <row r="2" spans="1:8" x14ac:dyDescent="0.25">
      <c r="A2" s="34">
        <v>1</v>
      </c>
      <c r="B2" s="34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35" t="s">
        <v>67</v>
      </c>
      <c r="B3" s="35" t="s">
        <v>68</v>
      </c>
      <c r="C3" s="45" t="s">
        <v>322</v>
      </c>
      <c r="D3" s="45" t="s">
        <v>323</v>
      </c>
      <c r="E3" s="45" t="s">
        <v>324</v>
      </c>
      <c r="F3" s="46" t="s">
        <v>325</v>
      </c>
      <c r="G3" s="45" t="s">
        <v>326</v>
      </c>
      <c r="H3" s="45" t="s">
        <v>327</v>
      </c>
    </row>
    <row r="4" spans="1:8" x14ac:dyDescent="0.25">
      <c r="A4">
        <v>1</v>
      </c>
      <c r="B4" s="11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>
        <v>2</v>
      </c>
      <c r="B5" s="6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>
        <v>3</v>
      </c>
      <c r="B6" s="6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>
        <v>4</v>
      </c>
      <c r="B7" s="6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>
        <v>5</v>
      </c>
      <c r="B8" s="6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>
        <v>6</v>
      </c>
      <c r="B9" s="6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>
        <v>7</v>
      </c>
      <c r="B10" s="6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>
        <v>8</v>
      </c>
      <c r="B11" s="6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>
        <v>9</v>
      </c>
      <c r="B12" s="6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>
        <v>10</v>
      </c>
      <c r="B13" s="6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>
        <v>11</v>
      </c>
      <c r="B14" s="6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>
        <v>12</v>
      </c>
      <c r="B15" s="6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>
        <v>13</v>
      </c>
      <c r="B16" s="6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>
        <v>14</v>
      </c>
      <c r="B17" s="6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>
        <v>15</v>
      </c>
      <c r="B18" s="6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>
        <v>16</v>
      </c>
      <c r="B19" s="6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>
        <v>17</v>
      </c>
      <c r="B20" s="6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>
        <v>18</v>
      </c>
      <c r="B21" s="6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>
        <v>19</v>
      </c>
      <c r="B22" s="6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>
        <v>20</v>
      </c>
      <c r="B23" s="6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>
        <v>21</v>
      </c>
      <c r="B24" s="6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>
        <v>22</v>
      </c>
      <c r="B25" s="6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>
        <v>23</v>
      </c>
      <c r="B26" s="6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>
        <v>24</v>
      </c>
      <c r="B27" s="6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>
        <v>25</v>
      </c>
      <c r="B28" s="6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>
        <v>26</v>
      </c>
      <c r="B29" s="6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>
        <v>27</v>
      </c>
      <c r="B30" s="6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>
        <v>28</v>
      </c>
      <c r="B31" s="6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>
        <v>29</v>
      </c>
      <c r="B32" s="6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>
        <v>30</v>
      </c>
      <c r="B33" s="6">
        <v>117.54</v>
      </c>
      <c r="C33" s="53">
        <f>B4</f>
        <v>102.32</v>
      </c>
      <c r="D33" s="53">
        <f t="shared" ref="D33:D61" si="0">B33-$B$65</f>
        <v>-15.442758620689673</v>
      </c>
      <c r="E33" s="53">
        <f t="shared" ref="E33:E61" si="1">C33-$B$66</f>
        <v>-6.5293103448275929</v>
      </c>
      <c r="F33" s="4">
        <f t="shared" ref="F33:F61" si="2">D33*E33</f>
        <v>100.83056361474458</v>
      </c>
      <c r="G33" s="4">
        <f t="shared" ref="G33:H47" si="3">D33*D33</f>
        <v>238.47879381688523</v>
      </c>
      <c r="H33" s="4">
        <f t="shared" si="3"/>
        <v>42.631893579072617</v>
      </c>
    </row>
    <row r="34" spans="1:8" x14ac:dyDescent="0.25">
      <c r="A34">
        <v>31</v>
      </c>
      <c r="B34" s="6">
        <v>122.58</v>
      </c>
      <c r="C34" s="53">
        <f t="shared" ref="C34:C61" si="4">B5</f>
        <v>102.21</v>
      </c>
      <c r="D34" s="53">
        <f t="shared" si="0"/>
        <v>-10.402758620689681</v>
      </c>
      <c r="E34" s="53">
        <f t="shared" si="1"/>
        <v>-6.6393103448275923</v>
      </c>
      <c r="F34" s="4">
        <f t="shared" si="2"/>
        <v>69.067142925089414</v>
      </c>
      <c r="G34" s="4">
        <f t="shared" si="3"/>
        <v>108.21738692033348</v>
      </c>
      <c r="H34" s="4">
        <f t="shared" si="3"/>
        <v>44.080441854934683</v>
      </c>
    </row>
    <row r="35" spans="1:8" x14ac:dyDescent="0.25">
      <c r="A35">
        <v>32</v>
      </c>
      <c r="B35" s="6">
        <v>128.16</v>
      </c>
      <c r="C35" s="53">
        <f t="shared" si="4"/>
        <v>102.16</v>
      </c>
      <c r="D35" s="53">
        <f t="shared" si="0"/>
        <v>-4.8227586206896831</v>
      </c>
      <c r="E35" s="53">
        <f t="shared" si="1"/>
        <v>-6.6893103448275895</v>
      </c>
      <c r="F35" s="4">
        <f t="shared" si="2"/>
        <v>32.260929131985932</v>
      </c>
      <c r="G35" s="4">
        <f t="shared" si="3"/>
        <v>23.259000713436656</v>
      </c>
      <c r="H35" s="4">
        <f t="shared" si="3"/>
        <v>44.746872889417403</v>
      </c>
    </row>
    <row r="36" spans="1:8" x14ac:dyDescent="0.25">
      <c r="A36">
        <v>33</v>
      </c>
      <c r="B36" s="6">
        <v>132.86000000000001</v>
      </c>
      <c r="C36" s="53">
        <f t="shared" si="4"/>
        <v>102.06</v>
      </c>
      <c r="D36" s="53">
        <f t="shared" si="0"/>
        <v>-0.12275862068966603</v>
      </c>
      <c r="E36" s="53">
        <f t="shared" si="1"/>
        <v>-6.7893103448275838</v>
      </c>
      <c r="F36" s="4">
        <f t="shared" si="2"/>
        <v>0.83344637336511507</v>
      </c>
      <c r="G36" s="4">
        <f t="shared" si="3"/>
        <v>1.5069678953629302E-2</v>
      </c>
      <c r="H36" s="4">
        <f t="shared" si="3"/>
        <v>46.094734958382844</v>
      </c>
    </row>
    <row r="37" spans="1:8" x14ac:dyDescent="0.25">
      <c r="A37">
        <v>34</v>
      </c>
      <c r="B37" s="6">
        <v>134.91999999999999</v>
      </c>
      <c r="C37" s="53">
        <f t="shared" si="4"/>
        <v>102.55</v>
      </c>
      <c r="D37" s="53">
        <f t="shared" si="0"/>
        <v>1.9372413793103078</v>
      </c>
      <c r="E37" s="53">
        <f t="shared" si="1"/>
        <v>-6.2993103448275889</v>
      </c>
      <c r="F37" s="4">
        <f t="shared" si="2"/>
        <v>-12.20328466111749</v>
      </c>
      <c r="G37" s="4">
        <f t="shared" si="3"/>
        <v>3.7529041617121037</v>
      </c>
      <c r="H37" s="4">
        <f t="shared" si="3"/>
        <v>39.681310820451877</v>
      </c>
    </row>
    <row r="38" spans="1:8" x14ac:dyDescent="0.25">
      <c r="A38">
        <v>35</v>
      </c>
      <c r="B38" s="6">
        <v>135.69999999999999</v>
      </c>
      <c r="C38" s="53">
        <f t="shared" si="4"/>
        <v>104.35</v>
      </c>
      <c r="D38" s="53">
        <f t="shared" si="0"/>
        <v>2.717241379310309</v>
      </c>
      <c r="E38" s="53">
        <f t="shared" si="1"/>
        <v>-4.4993103448275917</v>
      </c>
      <c r="F38" s="4">
        <f t="shared" si="2"/>
        <v>-12.225712247324466</v>
      </c>
      <c r="G38" s="4">
        <f t="shared" si="3"/>
        <v>7.3834007134361901</v>
      </c>
      <c r="H38" s="4">
        <f t="shared" si="3"/>
        <v>20.243793579072584</v>
      </c>
    </row>
    <row r="39" spans="1:8" x14ac:dyDescent="0.25">
      <c r="A39">
        <v>36</v>
      </c>
      <c r="B39" s="6">
        <v>136.13999999999999</v>
      </c>
      <c r="C39" s="53">
        <f t="shared" si="4"/>
        <v>107.57</v>
      </c>
      <c r="D39" s="53">
        <f t="shared" si="0"/>
        <v>3.1572413793103067</v>
      </c>
      <c r="E39" s="53">
        <f t="shared" si="1"/>
        <v>-1.2793103448275929</v>
      </c>
      <c r="F39" s="4">
        <f t="shared" si="2"/>
        <v>-4.0390915576694137</v>
      </c>
      <c r="G39" s="4">
        <f t="shared" si="3"/>
        <v>9.9681731272292478</v>
      </c>
      <c r="H39" s="4">
        <f t="shared" si="3"/>
        <v>1.6366349583828945</v>
      </c>
    </row>
    <row r="40" spans="1:8" x14ac:dyDescent="0.25">
      <c r="A40">
        <v>37</v>
      </c>
      <c r="B40" s="6">
        <v>140.15</v>
      </c>
      <c r="C40" s="53">
        <f t="shared" si="4"/>
        <v>111.96</v>
      </c>
      <c r="D40" s="53">
        <f t="shared" si="0"/>
        <v>7.167241379310326</v>
      </c>
      <c r="E40" s="53">
        <f t="shared" si="1"/>
        <v>3.1106896551724077</v>
      </c>
      <c r="F40" s="4">
        <f t="shared" si="2"/>
        <v>22.295063614744251</v>
      </c>
      <c r="G40" s="4">
        <f t="shared" si="3"/>
        <v>51.369348989298182</v>
      </c>
      <c r="H40" s="4">
        <f t="shared" si="3"/>
        <v>9.6763901307966336</v>
      </c>
    </row>
    <row r="41" spans="1:8" x14ac:dyDescent="0.25">
      <c r="A41">
        <v>38</v>
      </c>
      <c r="B41" s="6">
        <v>140.09</v>
      </c>
      <c r="C41" s="53">
        <f t="shared" si="4"/>
        <v>115.27</v>
      </c>
      <c r="D41" s="53">
        <f t="shared" si="0"/>
        <v>7.1072413793103237</v>
      </c>
      <c r="E41" s="53">
        <f t="shared" si="1"/>
        <v>6.42068965517241</v>
      </c>
      <c r="F41" s="4">
        <f t="shared" si="2"/>
        <v>45.633391200951088</v>
      </c>
      <c r="G41" s="4">
        <f t="shared" si="3"/>
        <v>50.512880023780916</v>
      </c>
      <c r="H41" s="4">
        <f t="shared" si="3"/>
        <v>41.225255648038001</v>
      </c>
    </row>
    <row r="42" spans="1:8" x14ac:dyDescent="0.25">
      <c r="A42">
        <v>39</v>
      </c>
      <c r="B42" s="6">
        <v>139.1</v>
      </c>
      <c r="C42" s="53">
        <f t="shared" si="4"/>
        <v>117.17</v>
      </c>
      <c r="D42" s="53">
        <f t="shared" si="0"/>
        <v>6.1172413793103146</v>
      </c>
      <c r="E42" s="53">
        <f t="shared" si="1"/>
        <v>8.3206896551724157</v>
      </c>
      <c r="F42" s="4">
        <f t="shared" si="2"/>
        <v>50.899667063019976</v>
      </c>
      <c r="G42" s="4">
        <f t="shared" si="3"/>
        <v>37.420642092746363</v>
      </c>
      <c r="H42" s="4">
        <f t="shared" si="3"/>
        <v>69.23387633769326</v>
      </c>
    </row>
    <row r="43" spans="1:8" x14ac:dyDescent="0.25">
      <c r="A43">
        <v>40</v>
      </c>
      <c r="B43" s="6">
        <v>137.5</v>
      </c>
      <c r="C43" s="53">
        <f t="shared" si="4"/>
        <v>117.61</v>
      </c>
      <c r="D43" s="53">
        <f t="shared" si="0"/>
        <v>4.5172413793103203</v>
      </c>
      <c r="E43" s="53">
        <f t="shared" si="1"/>
        <v>8.7606896551724134</v>
      </c>
      <c r="F43" s="4">
        <f t="shared" si="2"/>
        <v>39.574149821640688</v>
      </c>
      <c r="G43" s="4">
        <f t="shared" si="3"/>
        <v>20.405469678953406</v>
      </c>
      <c r="H43" s="4">
        <f t="shared" si="3"/>
        <v>76.749683234244941</v>
      </c>
    </row>
    <row r="44" spans="1:8" x14ac:dyDescent="0.25">
      <c r="A44">
        <v>41</v>
      </c>
      <c r="B44" s="6">
        <v>136.12</v>
      </c>
      <c r="C44" s="53">
        <f t="shared" si="4"/>
        <v>117.26</v>
      </c>
      <c r="D44" s="53">
        <f t="shared" si="0"/>
        <v>3.1372413793103249</v>
      </c>
      <c r="E44" s="53">
        <f t="shared" si="1"/>
        <v>8.4106896551724191</v>
      </c>
      <c r="F44" s="4">
        <f t="shared" si="2"/>
        <v>26.386363614744202</v>
      </c>
      <c r="G44" s="4">
        <f t="shared" si="3"/>
        <v>9.8422834720569501</v>
      </c>
      <c r="H44" s="4">
        <f t="shared" si="3"/>
        <v>70.739700475624346</v>
      </c>
    </row>
    <row r="45" spans="1:8" x14ac:dyDescent="0.25">
      <c r="A45">
        <v>42</v>
      </c>
      <c r="B45" s="6">
        <v>135.22</v>
      </c>
      <c r="C45" s="53">
        <f t="shared" si="4"/>
        <v>115.88</v>
      </c>
      <c r="D45" s="53">
        <f t="shared" si="0"/>
        <v>2.2372413793103192</v>
      </c>
      <c r="E45" s="53">
        <f t="shared" si="1"/>
        <v>7.0306896551724094</v>
      </c>
      <c r="F45" s="4">
        <f t="shared" si="2"/>
        <v>15.729349821640714</v>
      </c>
      <c r="G45" s="4">
        <f t="shared" si="3"/>
        <v>5.0052489892983392</v>
      </c>
      <c r="H45" s="4">
        <f t="shared" si="3"/>
        <v>49.430597027348334</v>
      </c>
    </row>
    <row r="46" spans="1:8" x14ac:dyDescent="0.25">
      <c r="A46">
        <v>43</v>
      </c>
      <c r="B46" s="6">
        <v>134.72999999999999</v>
      </c>
      <c r="C46" s="53">
        <f t="shared" si="4"/>
        <v>113.35</v>
      </c>
      <c r="D46" s="53">
        <f t="shared" si="0"/>
        <v>1.7472413793103101</v>
      </c>
      <c r="E46" s="53">
        <f t="shared" si="1"/>
        <v>4.5006896551724083</v>
      </c>
      <c r="F46" s="4">
        <f t="shared" si="2"/>
        <v>7.8637912009510824</v>
      </c>
      <c r="G46" s="4">
        <f t="shared" si="3"/>
        <v>3.0528524375741948</v>
      </c>
      <c r="H46" s="4">
        <f t="shared" si="3"/>
        <v>20.256207372175933</v>
      </c>
    </row>
    <row r="47" spans="1:8" x14ac:dyDescent="0.25">
      <c r="A47">
        <v>44</v>
      </c>
      <c r="B47" s="6">
        <v>134.38999999999999</v>
      </c>
      <c r="C47" s="53">
        <f t="shared" si="4"/>
        <v>111.39</v>
      </c>
      <c r="D47" s="53">
        <f t="shared" si="0"/>
        <v>1.4072413793103067</v>
      </c>
      <c r="E47" s="53">
        <f t="shared" si="1"/>
        <v>2.5406896551724145</v>
      </c>
      <c r="F47" s="4">
        <f t="shared" si="2"/>
        <v>3.5753636147442562</v>
      </c>
      <c r="G47" s="4">
        <f t="shared" si="3"/>
        <v>1.9803282996431744</v>
      </c>
      <c r="H47" s="4">
        <f t="shared" si="3"/>
        <v>6.4551039239001229</v>
      </c>
    </row>
    <row r="48" spans="1:8" x14ac:dyDescent="0.25">
      <c r="A48">
        <v>45</v>
      </c>
      <c r="B48" s="6">
        <v>134.51</v>
      </c>
      <c r="C48" s="53">
        <f t="shared" si="4"/>
        <v>109.76</v>
      </c>
      <c r="D48" s="53">
        <f t="shared" si="0"/>
        <v>1.5272413793103112</v>
      </c>
      <c r="E48" s="53">
        <f t="shared" si="1"/>
        <v>0.91068965517241907</v>
      </c>
      <c r="F48" s="4">
        <f t="shared" si="2"/>
        <v>1.390842925089157</v>
      </c>
      <c r="G48" s="4">
        <f t="shared" ref="G48:H61" si="5">D48*D48</f>
        <v>2.332466230677662</v>
      </c>
      <c r="H48" s="4">
        <f t="shared" si="5"/>
        <v>0.8293556480380595</v>
      </c>
    </row>
    <row r="49" spans="1:8" x14ac:dyDescent="0.25">
      <c r="A49">
        <v>46</v>
      </c>
      <c r="B49" s="6">
        <v>134.46</v>
      </c>
      <c r="C49" s="53">
        <f t="shared" si="4"/>
        <v>109.5</v>
      </c>
      <c r="D49" s="53">
        <f t="shared" si="0"/>
        <v>1.4772413793103283</v>
      </c>
      <c r="E49" s="53">
        <f t="shared" si="1"/>
        <v>0.65068965517241395</v>
      </c>
      <c r="F49" s="4">
        <f t="shared" si="2"/>
        <v>0.96122568370985872</v>
      </c>
      <c r="G49" s="4">
        <f t="shared" si="5"/>
        <v>2.182242092746681</v>
      </c>
      <c r="H49" s="4">
        <f t="shared" si="5"/>
        <v>0.42339702734839496</v>
      </c>
    </row>
    <row r="50" spans="1:8" x14ac:dyDescent="0.25">
      <c r="A50">
        <v>47</v>
      </c>
      <c r="B50" s="6">
        <v>134.27000000000001</v>
      </c>
      <c r="C50" s="53">
        <f t="shared" si="4"/>
        <v>108.86</v>
      </c>
      <c r="D50" s="53">
        <f t="shared" si="0"/>
        <v>1.2872413793103306</v>
      </c>
      <c r="E50" s="53">
        <f t="shared" si="1"/>
        <v>1.0689655172413381E-2</v>
      </c>
      <c r="F50" s="4">
        <f t="shared" si="2"/>
        <v>1.376016646848921E-2</v>
      </c>
      <c r="G50" s="4">
        <f t="shared" si="5"/>
        <v>1.6569903686087624</v>
      </c>
      <c r="H50" s="4">
        <f t="shared" si="5"/>
        <v>1.1426872770510417E-4</v>
      </c>
    </row>
    <row r="51" spans="1:8" x14ac:dyDescent="0.25">
      <c r="A51">
        <v>48</v>
      </c>
      <c r="B51" s="6">
        <v>133.72999999999999</v>
      </c>
      <c r="C51" s="53">
        <f t="shared" si="4"/>
        <v>108.49</v>
      </c>
      <c r="D51" s="53">
        <f t="shared" si="0"/>
        <v>0.74724137931031009</v>
      </c>
      <c r="E51" s="53">
        <f t="shared" si="1"/>
        <v>-0.35931034482759117</v>
      </c>
      <c r="F51" s="4">
        <f t="shared" si="2"/>
        <v>-0.26849155766943239</v>
      </c>
      <c r="G51" s="4">
        <f t="shared" si="5"/>
        <v>0.5583696789535747</v>
      </c>
      <c r="H51" s="4">
        <f t="shared" si="5"/>
        <v>0.12910392390012246</v>
      </c>
    </row>
    <row r="52" spans="1:8" x14ac:dyDescent="0.25">
      <c r="A52">
        <v>49</v>
      </c>
      <c r="B52" s="6">
        <v>132.01</v>
      </c>
      <c r="C52" s="53">
        <f t="shared" si="4"/>
        <v>108.36</v>
      </c>
      <c r="D52" s="53">
        <f t="shared" si="0"/>
        <v>-0.97275862068968877</v>
      </c>
      <c r="E52" s="53">
        <f t="shared" si="1"/>
        <v>-0.48931034482758662</v>
      </c>
      <c r="F52" s="4">
        <f t="shared" si="2"/>
        <v>0.47598085612367913</v>
      </c>
      <c r="G52" s="4">
        <f t="shared" si="5"/>
        <v>0.94625933412610574</v>
      </c>
      <c r="H52" s="4">
        <f t="shared" si="5"/>
        <v>0.23942461355529171</v>
      </c>
    </row>
    <row r="53" spans="1:8" x14ac:dyDescent="0.25">
      <c r="A53">
        <v>50</v>
      </c>
      <c r="B53" s="6">
        <v>130.59</v>
      </c>
      <c r="C53" s="53">
        <f t="shared" si="4"/>
        <v>108.19</v>
      </c>
      <c r="D53" s="53">
        <f t="shared" si="0"/>
        <v>-2.3927586206896763</v>
      </c>
      <c r="E53" s="53">
        <f t="shared" si="1"/>
        <v>-0.65931034482758832</v>
      </c>
      <c r="F53" s="4">
        <f t="shared" si="2"/>
        <v>1.5775705112960952</v>
      </c>
      <c r="G53" s="4">
        <f t="shared" si="5"/>
        <v>5.7252938168847622</v>
      </c>
      <c r="H53" s="4">
        <f t="shared" si="5"/>
        <v>0.4346901307966734</v>
      </c>
    </row>
    <row r="54" spans="1:8" x14ac:dyDescent="0.25">
      <c r="A54">
        <v>51</v>
      </c>
      <c r="B54" s="6">
        <v>130.28</v>
      </c>
      <c r="C54" s="53">
        <f t="shared" si="4"/>
        <v>107.8</v>
      </c>
      <c r="D54" s="53">
        <f t="shared" si="0"/>
        <v>-2.7027586206896785</v>
      </c>
      <c r="E54" s="53">
        <f t="shared" si="1"/>
        <v>-1.0493103448275889</v>
      </c>
      <c r="F54" s="4">
        <f t="shared" si="2"/>
        <v>2.8360325802616253</v>
      </c>
      <c r="G54" s="4">
        <f t="shared" si="5"/>
        <v>7.3049041617123738</v>
      </c>
      <c r="H54" s="4">
        <f t="shared" si="5"/>
        <v>1.1010521997621936</v>
      </c>
    </row>
    <row r="55" spans="1:8" x14ac:dyDescent="0.25">
      <c r="A55">
        <v>52</v>
      </c>
      <c r="B55" s="6">
        <v>129.16</v>
      </c>
      <c r="C55" s="53">
        <f t="shared" si="4"/>
        <v>107.47</v>
      </c>
      <c r="D55" s="53">
        <f t="shared" si="0"/>
        <v>-3.8227586206896831</v>
      </c>
      <c r="E55" s="53">
        <f t="shared" si="1"/>
        <v>-1.3793103448275872</v>
      </c>
      <c r="F55" s="4">
        <f t="shared" si="2"/>
        <v>5.2727705112961187</v>
      </c>
      <c r="G55" s="4">
        <f t="shared" si="5"/>
        <v>14.613483472057288</v>
      </c>
      <c r="H55" s="4">
        <f t="shared" si="5"/>
        <v>1.9024970273483974</v>
      </c>
    </row>
    <row r="56" spans="1:8" x14ac:dyDescent="0.25">
      <c r="A56">
        <v>53</v>
      </c>
      <c r="B56" s="6">
        <v>128.94</v>
      </c>
      <c r="C56" s="53">
        <f t="shared" si="4"/>
        <v>107.03</v>
      </c>
      <c r="D56" s="53">
        <f t="shared" si="0"/>
        <v>-4.0427586206896819</v>
      </c>
      <c r="E56" s="53">
        <f t="shared" si="1"/>
        <v>-1.8193103448275849</v>
      </c>
      <c r="F56" s="4">
        <f t="shared" si="2"/>
        <v>7.3550325802616365</v>
      </c>
      <c r="G56" s="4">
        <f t="shared" si="5"/>
        <v>16.343897265160738</v>
      </c>
      <c r="H56" s="4">
        <f t="shared" si="5"/>
        <v>3.3098901307966657</v>
      </c>
    </row>
    <row r="57" spans="1:8" x14ac:dyDescent="0.25">
      <c r="A57">
        <v>54</v>
      </c>
      <c r="B57" s="6">
        <v>129.30000000000001</v>
      </c>
      <c r="C57" s="53">
        <f t="shared" si="4"/>
        <v>106.61</v>
      </c>
      <c r="D57" s="53">
        <f t="shared" si="0"/>
        <v>-3.6827586206896683</v>
      </c>
      <c r="E57" s="53">
        <f t="shared" si="1"/>
        <v>-2.2393103448275866</v>
      </c>
      <c r="F57" s="4">
        <f t="shared" si="2"/>
        <v>8.2468394768133493</v>
      </c>
      <c r="G57" s="4">
        <f t="shared" si="5"/>
        <v>13.562711058264068</v>
      </c>
      <c r="H57" s="4">
        <f t="shared" si="5"/>
        <v>5.0145108204518447</v>
      </c>
    </row>
    <row r="58" spans="1:8" x14ac:dyDescent="0.25">
      <c r="A58">
        <v>55</v>
      </c>
      <c r="B58" s="6">
        <v>131.22</v>
      </c>
      <c r="C58" s="53">
        <f t="shared" si="4"/>
        <v>106.57</v>
      </c>
      <c r="D58" s="53">
        <f t="shared" si="0"/>
        <v>-1.7627586206896808</v>
      </c>
      <c r="E58" s="53">
        <f t="shared" si="1"/>
        <v>-2.2793103448275929</v>
      </c>
      <c r="F58" s="4">
        <f t="shared" si="2"/>
        <v>4.0178739595720083</v>
      </c>
      <c r="G58" s="4">
        <f t="shared" si="5"/>
        <v>3.1073179548157861</v>
      </c>
      <c r="H58" s="4">
        <f t="shared" si="5"/>
        <v>5.1952556480380805</v>
      </c>
    </row>
    <row r="59" spans="1:8" x14ac:dyDescent="0.25">
      <c r="A59">
        <v>56</v>
      </c>
      <c r="B59" s="6">
        <v>132.52000000000001</v>
      </c>
      <c r="C59" s="53">
        <f t="shared" si="4"/>
        <v>106.49</v>
      </c>
      <c r="D59" s="53">
        <f t="shared" si="0"/>
        <v>-0.46275862068966944</v>
      </c>
      <c r="E59" s="53">
        <f t="shared" si="1"/>
        <v>-2.3593103448275912</v>
      </c>
      <c r="F59" s="4">
        <f t="shared" si="2"/>
        <v>1.0917912009512845</v>
      </c>
      <c r="G59" s="4">
        <f t="shared" si="5"/>
        <v>0.21414554102260536</v>
      </c>
      <c r="H59" s="4">
        <f t="shared" si="5"/>
        <v>5.566345303210487</v>
      </c>
    </row>
    <row r="60" spans="1:8" x14ac:dyDescent="0.25">
      <c r="A60">
        <v>57</v>
      </c>
      <c r="B60" s="6">
        <v>134.25</v>
      </c>
      <c r="C60" s="53">
        <f t="shared" si="4"/>
        <v>107.04</v>
      </c>
      <c r="D60" s="53">
        <f t="shared" si="0"/>
        <v>1.2672413793103203</v>
      </c>
      <c r="E60" s="53">
        <f t="shared" si="1"/>
        <v>-1.8093103448275798</v>
      </c>
      <c r="F60" s="4">
        <f t="shared" si="2"/>
        <v>-2.2928329369797336</v>
      </c>
      <c r="G60" s="4">
        <f t="shared" si="5"/>
        <v>1.6059007134363232</v>
      </c>
      <c r="H60" s="4">
        <f t="shared" si="5"/>
        <v>3.2736039239000956</v>
      </c>
    </row>
    <row r="61" spans="1:8" x14ac:dyDescent="0.25">
      <c r="A61">
        <v>58</v>
      </c>
      <c r="B61" s="6">
        <v>136.06</v>
      </c>
      <c r="C61" s="53">
        <f t="shared" si="4"/>
        <v>111.35</v>
      </c>
      <c r="D61" s="53">
        <f t="shared" si="0"/>
        <v>3.0772413793103226</v>
      </c>
      <c r="E61" s="53">
        <f t="shared" si="1"/>
        <v>2.5006896551724083</v>
      </c>
      <c r="F61" s="4">
        <f t="shared" si="2"/>
        <v>7.695225683709797</v>
      </c>
      <c r="G61" s="4">
        <f t="shared" si="5"/>
        <v>9.469414506539696</v>
      </c>
      <c r="H61" s="4">
        <f t="shared" si="5"/>
        <v>6.2534487514862978</v>
      </c>
    </row>
    <row r="62" spans="1:8" x14ac:dyDescent="0.25">
      <c r="A62" t="s">
        <v>76</v>
      </c>
      <c r="B62" s="39">
        <f>SUM(B4:B61)</f>
        <v>7013.130000000001</v>
      </c>
      <c r="C62" s="39">
        <f t="shared" ref="C62:H62" si="6">SUM(C4:C61)</f>
        <v>3156.63</v>
      </c>
      <c r="D62" s="39">
        <f t="shared" si="6"/>
        <v>-7.3896444519050419E-13</v>
      </c>
      <c r="E62" s="39">
        <f t="shared" si="6"/>
        <v>-5.6843418860808015E-14</v>
      </c>
      <c r="F62" s="39">
        <f t="shared" si="6"/>
        <v>424.85475517241383</v>
      </c>
      <c r="G62" s="39">
        <f t="shared" si="6"/>
        <v>650.28717931034453</v>
      </c>
      <c r="H62" s="39">
        <f t="shared" si="6"/>
        <v>616.55518620689668</v>
      </c>
    </row>
    <row r="63" spans="1:8" x14ac:dyDescent="0.25">
      <c r="A63" t="s">
        <v>77</v>
      </c>
      <c r="B63" s="39">
        <f>AVERAGE(B4:B61)</f>
        <v>120.91603448275863</v>
      </c>
      <c r="C63" s="39">
        <f>AVERAGE(C4:C61)</f>
        <v>108.84931034482759</v>
      </c>
    </row>
    <row r="65" spans="1:2" ht="18" x14ac:dyDescent="0.35">
      <c r="A65" t="s">
        <v>328</v>
      </c>
      <c r="B65" s="39">
        <f>SUM(B33:B61)/29</f>
        <v>132.98275862068968</v>
      </c>
    </row>
    <row r="66" spans="1:2" ht="18" x14ac:dyDescent="0.35">
      <c r="A66" t="s">
        <v>329</v>
      </c>
      <c r="B66">
        <f>SUM(C33:C61)/29</f>
        <v>108.84931034482759</v>
      </c>
    </row>
    <row r="68" spans="1:2" ht="18" x14ac:dyDescent="0.35">
      <c r="A68" t="s">
        <v>330</v>
      </c>
      <c r="B68">
        <f>F62/SQRT(G62*H62)</f>
        <v>0.67096815724193304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4" workbookViewId="0">
      <selection activeCell="C74" sqref="C74"/>
    </sheetView>
  </sheetViews>
  <sheetFormatPr defaultRowHeight="15" x14ac:dyDescent="0.25"/>
  <cols>
    <col min="6" max="6" width="18.285156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331</v>
      </c>
      <c r="D3" s="45" t="s">
        <v>332</v>
      </c>
      <c r="E3" s="45" t="s">
        <v>333</v>
      </c>
      <c r="F3" s="46" t="s">
        <v>334</v>
      </c>
      <c r="G3" s="45" t="s">
        <v>335</v>
      </c>
      <c r="H3" s="45" t="s">
        <v>336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53">
        <f>B4</f>
        <v>102.32</v>
      </c>
      <c r="D34" s="53">
        <f t="shared" ref="D34:D61" si="0">B34-$B$65</f>
        <v>-10.954285714285689</v>
      </c>
      <c r="E34" s="53">
        <f t="shared" ref="E34:E61" si="1">C34-$B$66</f>
        <v>-6.4400000000000119</v>
      </c>
      <c r="F34" s="4">
        <f t="shared" ref="F34:F61" si="2">D34*E34</f>
        <v>70.545599999999965</v>
      </c>
      <c r="G34" s="4">
        <f t="shared" ref="G34:H48" si="3">D34*D34</f>
        <v>119.99637551020352</v>
      </c>
      <c r="H34" s="4">
        <f t="shared" si="3"/>
        <v>41.473600000000154</v>
      </c>
    </row>
    <row r="35" spans="1:8" x14ac:dyDescent="0.25">
      <c r="A35" s="38">
        <v>32</v>
      </c>
      <c r="B35" s="55">
        <v>128.16</v>
      </c>
      <c r="C35" s="53">
        <f t="shared" ref="C35:C61" si="4">B5</f>
        <v>102.21</v>
      </c>
      <c r="D35" s="53">
        <f t="shared" si="0"/>
        <v>-5.3742857142856906</v>
      </c>
      <c r="E35" s="53">
        <f t="shared" si="1"/>
        <v>-6.5500000000000114</v>
      </c>
      <c r="F35" s="4">
        <f t="shared" si="2"/>
        <v>35.201571428571334</v>
      </c>
      <c r="G35" s="4">
        <f t="shared" si="3"/>
        <v>28.882946938775255</v>
      </c>
      <c r="H35" s="4">
        <f t="shared" si="3"/>
        <v>42.902500000000146</v>
      </c>
    </row>
    <row r="36" spans="1:8" x14ac:dyDescent="0.25">
      <c r="A36" s="38">
        <v>33</v>
      </c>
      <c r="B36" s="55">
        <v>132.86000000000001</v>
      </c>
      <c r="C36" s="53">
        <f t="shared" si="4"/>
        <v>102.16</v>
      </c>
      <c r="D36" s="53">
        <f t="shared" si="0"/>
        <v>-0.67428571428567352</v>
      </c>
      <c r="E36" s="53">
        <f t="shared" si="1"/>
        <v>-6.6000000000000085</v>
      </c>
      <c r="F36" s="4">
        <f t="shared" si="2"/>
        <v>4.4502857142854513</v>
      </c>
      <c r="G36" s="4">
        <f t="shared" si="3"/>
        <v>0.45466122448974094</v>
      </c>
      <c r="H36" s="4">
        <f t="shared" si="3"/>
        <v>43.560000000000116</v>
      </c>
    </row>
    <row r="37" spans="1:8" x14ac:dyDescent="0.25">
      <c r="A37" s="38">
        <v>34</v>
      </c>
      <c r="B37" s="55">
        <v>134.91999999999999</v>
      </c>
      <c r="C37" s="53">
        <f t="shared" si="4"/>
        <v>102.06</v>
      </c>
      <c r="D37" s="53">
        <f t="shared" si="0"/>
        <v>1.3857142857143003</v>
      </c>
      <c r="E37" s="53">
        <f t="shared" si="1"/>
        <v>-6.7000000000000028</v>
      </c>
      <c r="F37" s="4">
        <f t="shared" si="2"/>
        <v>-9.2842857142858168</v>
      </c>
      <c r="G37" s="4">
        <f t="shared" si="3"/>
        <v>1.9202040816326935</v>
      </c>
      <c r="H37" s="4">
        <f t="shared" si="3"/>
        <v>44.890000000000036</v>
      </c>
    </row>
    <row r="38" spans="1:8" x14ac:dyDescent="0.25">
      <c r="A38" s="38">
        <v>35</v>
      </c>
      <c r="B38" s="55">
        <v>135.69999999999999</v>
      </c>
      <c r="C38" s="53">
        <f t="shared" si="4"/>
        <v>102.55</v>
      </c>
      <c r="D38" s="53">
        <f t="shared" si="0"/>
        <v>2.1657142857143015</v>
      </c>
      <c r="E38" s="53">
        <f t="shared" si="1"/>
        <v>-6.210000000000008</v>
      </c>
      <c r="F38" s="4">
        <f t="shared" si="2"/>
        <v>-13.449085714285829</v>
      </c>
      <c r="G38" s="4">
        <f t="shared" si="3"/>
        <v>4.6903183673470066</v>
      </c>
      <c r="H38" s="4">
        <f t="shared" si="3"/>
        <v>38.564100000000096</v>
      </c>
    </row>
    <row r="39" spans="1:8" x14ac:dyDescent="0.25">
      <c r="A39" s="38">
        <v>36</v>
      </c>
      <c r="B39" s="55">
        <v>136.13999999999999</v>
      </c>
      <c r="C39" s="53">
        <f t="shared" si="4"/>
        <v>104.35</v>
      </c>
      <c r="D39" s="53">
        <f t="shared" si="0"/>
        <v>2.6057142857142992</v>
      </c>
      <c r="E39" s="53">
        <f t="shared" si="1"/>
        <v>-4.4100000000000108</v>
      </c>
      <c r="F39" s="4">
        <f t="shared" si="2"/>
        <v>-11.491200000000088</v>
      </c>
      <c r="G39" s="4">
        <f t="shared" si="3"/>
        <v>6.7897469387755809</v>
      </c>
      <c r="H39" s="4">
        <f t="shared" si="3"/>
        <v>19.448100000000096</v>
      </c>
    </row>
    <row r="40" spans="1:8" x14ac:dyDescent="0.25">
      <c r="A40" s="38">
        <v>37</v>
      </c>
      <c r="B40" s="55">
        <v>140.15</v>
      </c>
      <c r="C40" s="53">
        <f t="shared" si="4"/>
        <v>107.57</v>
      </c>
      <c r="D40" s="53">
        <f t="shared" si="0"/>
        <v>6.6157142857143185</v>
      </c>
      <c r="E40" s="53">
        <f t="shared" si="1"/>
        <v>-1.1900000000000119</v>
      </c>
      <c r="F40" s="4">
        <f t="shared" si="2"/>
        <v>-7.8727000000001182</v>
      </c>
      <c r="G40" s="4">
        <f t="shared" si="3"/>
        <v>43.767675510204519</v>
      </c>
      <c r="H40" s="4">
        <f t="shared" si="3"/>
        <v>1.4161000000000283</v>
      </c>
    </row>
    <row r="41" spans="1:8" x14ac:dyDescent="0.25">
      <c r="A41" s="38">
        <v>38</v>
      </c>
      <c r="B41" s="55">
        <v>140.09</v>
      </c>
      <c r="C41" s="53">
        <f t="shared" si="4"/>
        <v>111.96</v>
      </c>
      <c r="D41" s="53">
        <f t="shared" si="0"/>
        <v>6.5557142857143162</v>
      </c>
      <c r="E41" s="53">
        <f t="shared" si="1"/>
        <v>3.1999999999999886</v>
      </c>
      <c r="F41" s="4">
        <f t="shared" si="2"/>
        <v>20.978285714285736</v>
      </c>
      <c r="G41" s="4">
        <f t="shared" si="3"/>
        <v>42.977389795918768</v>
      </c>
      <c r="H41" s="4">
        <f t="shared" si="3"/>
        <v>10.239999999999927</v>
      </c>
    </row>
    <row r="42" spans="1:8" x14ac:dyDescent="0.25">
      <c r="A42" s="38">
        <v>39</v>
      </c>
      <c r="B42" s="55">
        <v>139.1</v>
      </c>
      <c r="C42" s="53">
        <f t="shared" si="4"/>
        <v>115.27</v>
      </c>
      <c r="D42" s="53">
        <f t="shared" si="0"/>
        <v>5.5657142857143072</v>
      </c>
      <c r="E42" s="53">
        <f t="shared" si="1"/>
        <v>6.5099999999999909</v>
      </c>
      <c r="F42" s="4">
        <f t="shared" si="2"/>
        <v>36.23280000000009</v>
      </c>
      <c r="G42" s="4">
        <f t="shared" si="3"/>
        <v>30.977175510204319</v>
      </c>
      <c r="H42" s="4">
        <f t="shared" si="3"/>
        <v>42.380099999999885</v>
      </c>
    </row>
    <row r="43" spans="1:8" x14ac:dyDescent="0.25">
      <c r="A43" s="38">
        <v>40</v>
      </c>
      <c r="B43" s="55">
        <v>137.5</v>
      </c>
      <c r="C43" s="53">
        <f t="shared" si="4"/>
        <v>117.17</v>
      </c>
      <c r="D43" s="53">
        <f t="shared" si="0"/>
        <v>3.9657142857143128</v>
      </c>
      <c r="E43" s="53">
        <f t="shared" si="1"/>
        <v>8.4099999999999966</v>
      </c>
      <c r="F43" s="4">
        <f t="shared" si="2"/>
        <v>33.351657142857356</v>
      </c>
      <c r="G43" s="4">
        <f t="shared" si="3"/>
        <v>15.726889795918582</v>
      </c>
      <c r="H43" s="4">
        <f t="shared" si="3"/>
        <v>70.728099999999941</v>
      </c>
    </row>
    <row r="44" spans="1:8" x14ac:dyDescent="0.25">
      <c r="A44" s="38">
        <v>41</v>
      </c>
      <c r="B44" s="55">
        <v>136.12</v>
      </c>
      <c r="C44" s="53">
        <f t="shared" si="4"/>
        <v>117.61</v>
      </c>
      <c r="D44" s="53">
        <f t="shared" si="0"/>
        <v>2.5857142857143174</v>
      </c>
      <c r="E44" s="53">
        <f t="shared" si="1"/>
        <v>8.8499999999999943</v>
      </c>
      <c r="F44" s="4">
        <f t="shared" si="2"/>
        <v>22.883571428571695</v>
      </c>
      <c r="G44" s="4">
        <f t="shared" si="3"/>
        <v>6.685918367347103</v>
      </c>
      <c r="H44" s="4">
        <f t="shared" si="3"/>
        <v>78.322499999999906</v>
      </c>
    </row>
    <row r="45" spans="1:8" x14ac:dyDescent="0.25">
      <c r="A45" s="38">
        <v>42</v>
      </c>
      <c r="B45" s="55">
        <v>135.22</v>
      </c>
      <c r="C45" s="53">
        <f t="shared" si="4"/>
        <v>117.26</v>
      </c>
      <c r="D45" s="53">
        <f t="shared" si="0"/>
        <v>1.6857142857143117</v>
      </c>
      <c r="E45" s="53">
        <f t="shared" si="1"/>
        <v>8.5</v>
      </c>
      <c r="F45" s="4">
        <f t="shared" si="2"/>
        <v>14.328571428571649</v>
      </c>
      <c r="G45" s="4">
        <f t="shared" si="3"/>
        <v>2.8416326530613123</v>
      </c>
      <c r="H45" s="4">
        <f t="shared" si="3"/>
        <v>72.25</v>
      </c>
    </row>
    <row r="46" spans="1:8" x14ac:dyDescent="0.25">
      <c r="A46" s="38">
        <v>43</v>
      </c>
      <c r="B46" s="55">
        <v>134.72999999999999</v>
      </c>
      <c r="C46" s="53">
        <f t="shared" si="4"/>
        <v>115.88</v>
      </c>
      <c r="D46" s="53">
        <f t="shared" si="0"/>
        <v>1.1957142857143026</v>
      </c>
      <c r="E46" s="53">
        <f t="shared" si="1"/>
        <v>7.1199999999999903</v>
      </c>
      <c r="F46" s="4">
        <f t="shared" si="2"/>
        <v>8.5134857142858227</v>
      </c>
      <c r="G46" s="4">
        <f t="shared" si="3"/>
        <v>1.4297326530612648</v>
      </c>
      <c r="H46" s="4">
        <f t="shared" si="3"/>
        <v>50.69439999999986</v>
      </c>
    </row>
    <row r="47" spans="1:8" x14ac:dyDescent="0.25">
      <c r="A47" s="38">
        <v>44</v>
      </c>
      <c r="B47" s="55">
        <v>134.38999999999999</v>
      </c>
      <c r="C47" s="53">
        <f t="shared" si="4"/>
        <v>113.35</v>
      </c>
      <c r="D47" s="53">
        <f t="shared" si="0"/>
        <v>0.85571428571429919</v>
      </c>
      <c r="E47" s="53">
        <f t="shared" si="1"/>
        <v>4.5899999999999892</v>
      </c>
      <c r="F47" s="4">
        <f t="shared" si="2"/>
        <v>3.9277285714286241</v>
      </c>
      <c r="G47" s="4">
        <f t="shared" si="3"/>
        <v>0.73224693877553326</v>
      </c>
      <c r="H47" s="4">
        <f t="shared" si="3"/>
        <v>21.068099999999902</v>
      </c>
    </row>
    <row r="48" spans="1:8" x14ac:dyDescent="0.25">
      <c r="A48" s="38">
        <v>45</v>
      </c>
      <c r="B48" s="55">
        <v>134.51</v>
      </c>
      <c r="C48" s="53">
        <f t="shared" si="4"/>
        <v>111.39</v>
      </c>
      <c r="D48" s="53">
        <f t="shared" si="0"/>
        <v>0.97571428571430374</v>
      </c>
      <c r="E48" s="53">
        <f t="shared" si="1"/>
        <v>2.6299999999999955</v>
      </c>
      <c r="F48" s="4">
        <f t="shared" si="2"/>
        <v>2.5661285714286146</v>
      </c>
      <c r="G48" s="4">
        <f t="shared" si="3"/>
        <v>0.95201836734697398</v>
      </c>
      <c r="H48" s="4">
        <f t="shared" si="3"/>
        <v>6.9168999999999761</v>
      </c>
    </row>
    <row r="49" spans="1:8" x14ac:dyDescent="0.25">
      <c r="A49" s="38">
        <v>46</v>
      </c>
      <c r="B49" s="55">
        <v>134.46</v>
      </c>
      <c r="C49" s="53">
        <f t="shared" si="4"/>
        <v>109.76</v>
      </c>
      <c r="D49" s="53">
        <f t="shared" si="0"/>
        <v>0.92571428571432079</v>
      </c>
      <c r="E49" s="53">
        <f t="shared" si="1"/>
        <v>1</v>
      </c>
      <c r="F49" s="4">
        <f t="shared" si="2"/>
        <v>0.92571428571432079</v>
      </c>
      <c r="G49" s="4">
        <f t="shared" ref="G49:H61" si="5">D49*D49</f>
        <v>0.85694693877557515</v>
      </c>
      <c r="H49" s="4">
        <f t="shared" si="5"/>
        <v>1</v>
      </c>
    </row>
    <row r="50" spans="1:8" x14ac:dyDescent="0.25">
      <c r="A50" s="38">
        <v>47</v>
      </c>
      <c r="B50" s="55">
        <v>134.27000000000001</v>
      </c>
      <c r="C50" s="53">
        <f t="shared" si="4"/>
        <v>109.5</v>
      </c>
      <c r="D50" s="53">
        <f t="shared" si="0"/>
        <v>0.73571428571432307</v>
      </c>
      <c r="E50" s="53">
        <f t="shared" si="1"/>
        <v>0.73999999999999488</v>
      </c>
      <c r="F50" s="4">
        <f t="shared" si="2"/>
        <v>0.54442857142859535</v>
      </c>
      <c r="G50" s="4">
        <f t="shared" si="5"/>
        <v>0.54127551020413656</v>
      </c>
      <c r="H50" s="4">
        <f t="shared" si="5"/>
        <v>0.54759999999999243</v>
      </c>
    </row>
    <row r="51" spans="1:8" x14ac:dyDescent="0.25">
      <c r="A51" s="38">
        <v>48</v>
      </c>
      <c r="B51" s="55">
        <v>133.72999999999999</v>
      </c>
      <c r="C51" s="53">
        <f t="shared" si="4"/>
        <v>108.86</v>
      </c>
      <c r="D51" s="53">
        <f t="shared" si="0"/>
        <v>0.1957142857143026</v>
      </c>
      <c r="E51" s="53">
        <f t="shared" si="1"/>
        <v>9.9999999999994316E-2</v>
      </c>
      <c r="F51" s="4">
        <f t="shared" si="2"/>
        <v>1.9571428571429149E-2</v>
      </c>
      <c r="G51" s="4">
        <f t="shared" si="5"/>
        <v>3.8304081632659671E-2</v>
      </c>
      <c r="H51" s="4">
        <f t="shared" si="5"/>
        <v>9.999999999998864E-3</v>
      </c>
    </row>
    <row r="52" spans="1:8" x14ac:dyDescent="0.25">
      <c r="A52" s="38">
        <v>49</v>
      </c>
      <c r="B52" s="55">
        <v>132.01</v>
      </c>
      <c r="C52" s="53">
        <f t="shared" si="4"/>
        <v>108.49</v>
      </c>
      <c r="D52" s="53">
        <f t="shared" si="0"/>
        <v>-1.5242857142856963</v>
      </c>
      <c r="E52" s="53">
        <f t="shared" si="1"/>
        <v>-0.27000000000001023</v>
      </c>
      <c r="F52" s="4">
        <f t="shared" si="2"/>
        <v>0.41155714285715361</v>
      </c>
      <c r="G52" s="4">
        <f t="shared" si="5"/>
        <v>2.3234469387754553</v>
      </c>
      <c r="H52" s="4">
        <f t="shared" si="5"/>
        <v>7.290000000000553E-2</v>
      </c>
    </row>
    <row r="53" spans="1:8" x14ac:dyDescent="0.25">
      <c r="A53" s="38">
        <v>50</v>
      </c>
      <c r="B53" s="55">
        <v>130.59</v>
      </c>
      <c r="C53" s="53">
        <f t="shared" si="4"/>
        <v>108.36</v>
      </c>
      <c r="D53" s="53">
        <f t="shared" si="0"/>
        <v>-2.9442857142856838</v>
      </c>
      <c r="E53" s="53">
        <f t="shared" si="1"/>
        <v>-0.40000000000000568</v>
      </c>
      <c r="F53" s="4">
        <f t="shared" si="2"/>
        <v>1.1777142857142902</v>
      </c>
      <c r="G53" s="4">
        <f t="shared" si="5"/>
        <v>8.6688183673467591</v>
      </c>
      <c r="H53" s="4">
        <f t="shared" si="5"/>
        <v>0.16000000000000456</v>
      </c>
    </row>
    <row r="54" spans="1:8" x14ac:dyDescent="0.25">
      <c r="A54" s="38">
        <v>51</v>
      </c>
      <c r="B54" s="55">
        <v>130.28</v>
      </c>
      <c r="C54" s="53">
        <f t="shared" si="4"/>
        <v>108.19</v>
      </c>
      <c r="D54" s="53">
        <f t="shared" si="0"/>
        <v>-3.254285714285686</v>
      </c>
      <c r="E54" s="53">
        <f t="shared" si="1"/>
        <v>-0.57000000000000739</v>
      </c>
      <c r="F54" s="4">
        <f t="shared" si="2"/>
        <v>1.854942857142865</v>
      </c>
      <c r="G54" s="4">
        <f t="shared" si="5"/>
        <v>10.590375510203899</v>
      </c>
      <c r="H54" s="4">
        <f t="shared" si="5"/>
        <v>0.3249000000000084</v>
      </c>
    </row>
    <row r="55" spans="1:8" x14ac:dyDescent="0.25">
      <c r="A55" s="38">
        <v>52</v>
      </c>
      <c r="B55" s="55">
        <v>129.16</v>
      </c>
      <c r="C55" s="53">
        <f t="shared" si="4"/>
        <v>107.8</v>
      </c>
      <c r="D55" s="53">
        <f t="shared" si="0"/>
        <v>-4.3742857142856906</v>
      </c>
      <c r="E55" s="53">
        <f t="shared" si="1"/>
        <v>-0.96000000000000796</v>
      </c>
      <c r="F55" s="4">
        <f t="shared" si="2"/>
        <v>4.1993142857142978</v>
      </c>
      <c r="G55" s="4">
        <f t="shared" si="5"/>
        <v>19.134375510203874</v>
      </c>
      <c r="H55" s="4">
        <f t="shared" si="5"/>
        <v>0.9216000000000153</v>
      </c>
    </row>
    <row r="56" spans="1:8" x14ac:dyDescent="0.25">
      <c r="A56" s="38">
        <v>53</v>
      </c>
      <c r="B56" s="55">
        <v>128.94</v>
      </c>
      <c r="C56" s="53">
        <f t="shared" si="4"/>
        <v>107.47</v>
      </c>
      <c r="D56" s="53">
        <f t="shared" si="0"/>
        <v>-4.5942857142856894</v>
      </c>
      <c r="E56" s="53">
        <f t="shared" si="1"/>
        <v>-1.2900000000000063</v>
      </c>
      <c r="F56" s="4">
        <f t="shared" si="2"/>
        <v>5.9266285714285685</v>
      </c>
      <c r="G56" s="4">
        <f t="shared" si="5"/>
        <v>21.107461224489569</v>
      </c>
      <c r="H56" s="4">
        <f t="shared" si="5"/>
        <v>1.6641000000000161</v>
      </c>
    </row>
    <row r="57" spans="1:8" x14ac:dyDescent="0.25">
      <c r="A57" s="38">
        <v>54</v>
      </c>
      <c r="B57" s="55">
        <v>129.30000000000001</v>
      </c>
      <c r="C57" s="53">
        <f t="shared" si="4"/>
        <v>107.03</v>
      </c>
      <c r="D57" s="53">
        <f t="shared" si="0"/>
        <v>-4.2342857142856758</v>
      </c>
      <c r="E57" s="53">
        <f t="shared" si="1"/>
        <v>-1.730000000000004</v>
      </c>
      <c r="F57" s="4">
        <f t="shared" si="2"/>
        <v>7.3253142857142359</v>
      </c>
      <c r="G57" s="4">
        <f t="shared" si="5"/>
        <v>17.929175510203756</v>
      </c>
      <c r="H57" s="4">
        <f t="shared" si="5"/>
        <v>2.9929000000000139</v>
      </c>
    </row>
    <row r="58" spans="1:8" x14ac:dyDescent="0.25">
      <c r="A58" s="38">
        <v>55</v>
      </c>
      <c r="B58" s="55">
        <v>131.22</v>
      </c>
      <c r="C58" s="53">
        <f t="shared" si="4"/>
        <v>106.61</v>
      </c>
      <c r="D58" s="53">
        <f t="shared" si="0"/>
        <v>-2.3142857142856883</v>
      </c>
      <c r="E58" s="53">
        <f t="shared" si="1"/>
        <v>-2.1500000000000057</v>
      </c>
      <c r="F58" s="4">
        <f t="shared" si="2"/>
        <v>4.9757142857142433</v>
      </c>
      <c r="G58" s="4">
        <f t="shared" si="5"/>
        <v>5.3559183673468187</v>
      </c>
      <c r="H58" s="4">
        <f t="shared" si="5"/>
        <v>4.6225000000000245</v>
      </c>
    </row>
    <row r="59" spans="1:8" x14ac:dyDescent="0.25">
      <c r="A59" s="38">
        <v>56</v>
      </c>
      <c r="B59" s="55">
        <v>132.52000000000001</v>
      </c>
      <c r="C59" s="53">
        <f t="shared" si="4"/>
        <v>106.57</v>
      </c>
      <c r="D59" s="53">
        <f t="shared" si="0"/>
        <v>-1.0142857142856769</v>
      </c>
      <c r="E59" s="53">
        <f t="shared" si="1"/>
        <v>-2.1900000000000119</v>
      </c>
      <c r="F59" s="4">
        <f t="shared" si="2"/>
        <v>2.2212857142856448</v>
      </c>
      <c r="G59" s="4">
        <f t="shared" si="5"/>
        <v>1.0287755102040059</v>
      </c>
      <c r="H59" s="4">
        <f t="shared" si="5"/>
        <v>4.7961000000000524</v>
      </c>
    </row>
    <row r="60" spans="1:8" x14ac:dyDescent="0.25">
      <c r="A60" s="38">
        <v>57</v>
      </c>
      <c r="B60" s="55">
        <v>134.25</v>
      </c>
      <c r="C60" s="53">
        <f t="shared" si="4"/>
        <v>106.49</v>
      </c>
      <c r="D60" s="53">
        <f t="shared" si="0"/>
        <v>0.71571428571431284</v>
      </c>
      <c r="E60" s="53">
        <f t="shared" si="1"/>
        <v>-2.2700000000000102</v>
      </c>
      <c r="F60" s="4">
        <f t="shared" si="2"/>
        <v>-1.6246714285714974</v>
      </c>
      <c r="G60" s="4">
        <f t="shared" si="5"/>
        <v>0.51224693877554905</v>
      </c>
      <c r="H60" s="4">
        <f t="shared" si="5"/>
        <v>5.1529000000000469</v>
      </c>
    </row>
    <row r="61" spans="1:8" x14ac:dyDescent="0.25">
      <c r="A61" s="38">
        <v>58</v>
      </c>
      <c r="B61" s="55">
        <v>136.06</v>
      </c>
      <c r="C61" s="53">
        <f t="shared" si="4"/>
        <v>107.04</v>
      </c>
      <c r="D61" s="53">
        <f t="shared" si="0"/>
        <v>2.5257142857143151</v>
      </c>
      <c r="E61" s="53">
        <f t="shared" si="1"/>
        <v>-1.7199999999999989</v>
      </c>
      <c r="F61" s="4">
        <f t="shared" si="2"/>
        <v>-4.3442285714286193</v>
      </c>
      <c r="G61" s="4">
        <f t="shared" si="5"/>
        <v>6.379232653061373</v>
      </c>
      <c r="H61" s="4">
        <f t="shared" si="5"/>
        <v>2.9583999999999961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3045.28</v>
      </c>
      <c r="D62" s="49">
        <f t="shared" si="6"/>
        <v>7.2475359047530219E-13</v>
      </c>
      <c r="E62" s="49">
        <f t="shared" si="6"/>
        <v>-1.9895196601282805E-13</v>
      </c>
      <c r="F62" s="49">
        <f t="shared" si="6"/>
        <v>234.49570000000003</v>
      </c>
      <c r="G62" s="49">
        <f t="shared" si="6"/>
        <v>403.29128571428561</v>
      </c>
      <c r="H62" s="49">
        <f t="shared" si="6"/>
        <v>610.07839999999987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108.76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343</v>
      </c>
      <c r="B65" s="49">
        <f>SUM(B34:B61)/28</f>
        <v>133.53428571428569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344</v>
      </c>
      <c r="B66" s="38">
        <f>SUM(C34:C61)/28</f>
        <v>108.76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345</v>
      </c>
      <c r="B68" s="38">
        <f>F62/SQRT(G62*H62)</f>
        <v>0.47275120004372773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5" workbookViewId="0">
      <selection activeCell="C70" sqref="C70"/>
    </sheetView>
  </sheetViews>
  <sheetFormatPr defaultRowHeight="15" x14ac:dyDescent="0.25"/>
  <cols>
    <col min="6" max="6" width="18.1406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337</v>
      </c>
      <c r="D3" s="45" t="s">
        <v>338</v>
      </c>
      <c r="E3" s="45" t="s">
        <v>339</v>
      </c>
      <c r="F3" s="46" t="s">
        <v>340</v>
      </c>
      <c r="G3" s="45" t="s">
        <v>341</v>
      </c>
      <c r="H3" s="45" t="s">
        <v>342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53">
        <f>B4</f>
        <v>102.32</v>
      </c>
      <c r="D35" s="53">
        <f t="shared" ref="D35:D61" si="0">B35-$B$65</f>
        <v>-5.7800000000000296</v>
      </c>
      <c r="E35" s="53">
        <f t="shared" ref="E35:E61" si="1">C35-$B$66</f>
        <v>-6.5037037037037209</v>
      </c>
      <c r="F35" s="4">
        <f t="shared" ref="F35:F61" si="2">D35*E35</f>
        <v>37.591407407407701</v>
      </c>
      <c r="G35" s="4">
        <f t="shared" ref="G35:H49" si="3">D35*D35</f>
        <v>33.408400000000341</v>
      </c>
      <c r="H35" s="4">
        <f t="shared" si="3"/>
        <v>42.298161865569497</v>
      </c>
    </row>
    <row r="36" spans="1:8" x14ac:dyDescent="0.25">
      <c r="A36" s="38">
        <v>33</v>
      </c>
      <c r="B36" s="55">
        <v>132.86000000000001</v>
      </c>
      <c r="C36" s="53">
        <f t="shared" ref="C36:C61" si="4">B5</f>
        <v>102.21</v>
      </c>
      <c r="D36" s="53">
        <f t="shared" si="0"/>
        <v>-1.0800000000000125</v>
      </c>
      <c r="E36" s="53">
        <f t="shared" si="1"/>
        <v>-6.6137037037037203</v>
      </c>
      <c r="F36" s="4">
        <f t="shared" si="2"/>
        <v>7.1428000000001006</v>
      </c>
      <c r="G36" s="4">
        <f t="shared" si="3"/>
        <v>1.166400000000027</v>
      </c>
      <c r="H36" s="4">
        <f t="shared" si="3"/>
        <v>43.74107668038431</v>
      </c>
    </row>
    <row r="37" spans="1:8" x14ac:dyDescent="0.25">
      <c r="A37" s="38">
        <v>34</v>
      </c>
      <c r="B37" s="55">
        <v>134.91999999999999</v>
      </c>
      <c r="C37" s="53">
        <f t="shared" si="4"/>
        <v>102.16</v>
      </c>
      <c r="D37" s="53">
        <f t="shared" si="0"/>
        <v>0.97999999999996135</v>
      </c>
      <c r="E37" s="53">
        <f t="shared" si="1"/>
        <v>-6.6637037037037175</v>
      </c>
      <c r="F37" s="4">
        <f t="shared" si="2"/>
        <v>-6.5304296296293858</v>
      </c>
      <c r="G37" s="4">
        <f t="shared" si="3"/>
        <v>0.9603999999999242</v>
      </c>
      <c r="H37" s="4">
        <f t="shared" si="3"/>
        <v>44.404947050754643</v>
      </c>
    </row>
    <row r="38" spans="1:8" x14ac:dyDescent="0.25">
      <c r="A38" s="38">
        <v>35</v>
      </c>
      <c r="B38" s="55">
        <v>135.69999999999999</v>
      </c>
      <c r="C38" s="53">
        <f t="shared" si="4"/>
        <v>102.06</v>
      </c>
      <c r="D38" s="53">
        <f t="shared" si="0"/>
        <v>1.7599999999999625</v>
      </c>
      <c r="E38" s="53">
        <f t="shared" si="1"/>
        <v>-6.7637037037037118</v>
      </c>
      <c r="F38" s="4">
        <f t="shared" si="2"/>
        <v>-11.904118518518279</v>
      </c>
      <c r="G38" s="4">
        <f t="shared" si="3"/>
        <v>3.097599999999868</v>
      </c>
      <c r="H38" s="4">
        <f t="shared" si="3"/>
        <v>45.747687791495309</v>
      </c>
    </row>
    <row r="39" spans="1:8" x14ac:dyDescent="0.25">
      <c r="A39" s="38">
        <v>36</v>
      </c>
      <c r="B39" s="55">
        <v>136.13999999999999</v>
      </c>
      <c r="C39" s="53">
        <f t="shared" si="4"/>
        <v>102.55</v>
      </c>
      <c r="D39" s="53">
        <f t="shared" si="0"/>
        <v>2.1999999999999602</v>
      </c>
      <c r="E39" s="53">
        <f t="shared" si="1"/>
        <v>-6.2737037037037169</v>
      </c>
      <c r="F39" s="4">
        <f t="shared" si="2"/>
        <v>-13.802148148147927</v>
      </c>
      <c r="G39" s="4">
        <f t="shared" si="3"/>
        <v>4.8399999999998249</v>
      </c>
      <c r="H39" s="4">
        <f t="shared" si="3"/>
        <v>39.359358161865735</v>
      </c>
    </row>
    <row r="40" spans="1:8" x14ac:dyDescent="0.25">
      <c r="A40" s="38">
        <v>37</v>
      </c>
      <c r="B40" s="55">
        <v>140.15</v>
      </c>
      <c r="C40" s="53">
        <f t="shared" si="4"/>
        <v>104.35</v>
      </c>
      <c r="D40" s="53">
        <f t="shared" si="0"/>
        <v>6.2099999999999795</v>
      </c>
      <c r="E40" s="53">
        <f t="shared" si="1"/>
        <v>-4.4737037037037197</v>
      </c>
      <c r="F40" s="4">
        <f t="shared" si="2"/>
        <v>-27.781700000000008</v>
      </c>
      <c r="G40" s="4">
        <f t="shared" si="3"/>
        <v>38.564099999999748</v>
      </c>
      <c r="H40" s="4">
        <f t="shared" si="3"/>
        <v>20.014024828532378</v>
      </c>
    </row>
    <row r="41" spans="1:8" x14ac:dyDescent="0.25">
      <c r="A41" s="38">
        <v>38</v>
      </c>
      <c r="B41" s="55">
        <v>140.09</v>
      </c>
      <c r="C41" s="53">
        <f t="shared" si="4"/>
        <v>107.57</v>
      </c>
      <c r="D41" s="53">
        <f t="shared" si="0"/>
        <v>6.1499999999999773</v>
      </c>
      <c r="E41" s="53">
        <f t="shared" si="1"/>
        <v>-1.2537037037037209</v>
      </c>
      <c r="F41" s="4">
        <f t="shared" si="2"/>
        <v>-7.7102777777778551</v>
      </c>
      <c r="G41" s="4">
        <f t="shared" si="3"/>
        <v>37.822499999999721</v>
      </c>
      <c r="H41" s="4">
        <f t="shared" si="3"/>
        <v>1.5717729766804271</v>
      </c>
    </row>
    <row r="42" spans="1:8" x14ac:dyDescent="0.25">
      <c r="A42" s="38">
        <v>39</v>
      </c>
      <c r="B42" s="55">
        <v>139.1</v>
      </c>
      <c r="C42" s="53">
        <f t="shared" si="4"/>
        <v>111.96</v>
      </c>
      <c r="D42" s="53">
        <f t="shared" si="0"/>
        <v>5.1599999999999682</v>
      </c>
      <c r="E42" s="53">
        <f t="shared" si="1"/>
        <v>3.1362962962962797</v>
      </c>
      <c r="F42" s="4">
        <f t="shared" si="2"/>
        <v>16.183288888888704</v>
      </c>
      <c r="G42" s="4">
        <f t="shared" si="3"/>
        <v>26.625599999999672</v>
      </c>
      <c r="H42" s="4">
        <f t="shared" si="3"/>
        <v>9.836354458161761</v>
      </c>
    </row>
    <row r="43" spans="1:8" x14ac:dyDescent="0.25">
      <c r="A43" s="38">
        <v>40</v>
      </c>
      <c r="B43" s="55">
        <v>137.5</v>
      </c>
      <c r="C43" s="53">
        <f t="shared" si="4"/>
        <v>115.27</v>
      </c>
      <c r="D43" s="53">
        <f t="shared" si="0"/>
        <v>3.5599999999999739</v>
      </c>
      <c r="E43" s="53">
        <f t="shared" si="1"/>
        <v>6.446296296296282</v>
      </c>
      <c r="F43" s="4">
        <f t="shared" si="2"/>
        <v>22.948814814814597</v>
      </c>
      <c r="G43" s="4">
        <f t="shared" si="3"/>
        <v>12.673599999999814</v>
      </c>
      <c r="H43" s="4">
        <f t="shared" si="3"/>
        <v>41.554735939643166</v>
      </c>
    </row>
    <row r="44" spans="1:8" x14ac:dyDescent="0.25">
      <c r="A44" s="38">
        <v>41</v>
      </c>
      <c r="B44" s="55">
        <v>136.12</v>
      </c>
      <c r="C44" s="53">
        <f t="shared" si="4"/>
        <v>117.17</v>
      </c>
      <c r="D44" s="53">
        <f t="shared" si="0"/>
        <v>2.1799999999999784</v>
      </c>
      <c r="E44" s="53">
        <f t="shared" si="1"/>
        <v>8.3462962962962877</v>
      </c>
      <c r="F44" s="4">
        <f t="shared" si="2"/>
        <v>18.194925925925727</v>
      </c>
      <c r="G44" s="4">
        <f t="shared" si="3"/>
        <v>4.7523999999999056</v>
      </c>
      <c r="H44" s="4">
        <f t="shared" si="3"/>
        <v>69.660661865569125</v>
      </c>
    </row>
    <row r="45" spans="1:8" x14ac:dyDescent="0.25">
      <c r="A45" s="38">
        <v>42</v>
      </c>
      <c r="B45" s="55">
        <v>135.22</v>
      </c>
      <c r="C45" s="53">
        <f t="shared" si="4"/>
        <v>117.61</v>
      </c>
      <c r="D45" s="53">
        <f t="shared" si="0"/>
        <v>1.2799999999999727</v>
      </c>
      <c r="E45" s="53">
        <f t="shared" si="1"/>
        <v>8.7862962962962854</v>
      </c>
      <c r="F45" s="4">
        <f t="shared" si="2"/>
        <v>11.246459259259005</v>
      </c>
      <c r="G45" s="4">
        <f t="shared" si="3"/>
        <v>1.6383999999999301</v>
      </c>
      <c r="H45" s="4">
        <f t="shared" si="3"/>
        <v>77.199002606309818</v>
      </c>
    </row>
    <row r="46" spans="1:8" x14ac:dyDescent="0.25">
      <c r="A46" s="38">
        <v>43</v>
      </c>
      <c r="B46" s="55">
        <v>134.72999999999999</v>
      </c>
      <c r="C46" s="53">
        <f t="shared" si="4"/>
        <v>117.26</v>
      </c>
      <c r="D46" s="53">
        <f t="shared" si="0"/>
        <v>0.78999999999996362</v>
      </c>
      <c r="E46" s="53">
        <f t="shared" si="1"/>
        <v>8.4362962962962911</v>
      </c>
      <c r="F46" s="4">
        <f t="shared" si="2"/>
        <v>6.6646740740737629</v>
      </c>
      <c r="G46" s="4">
        <f t="shared" si="3"/>
        <v>0.62409999999994248</v>
      </c>
      <c r="H46" s="4">
        <f t="shared" si="3"/>
        <v>71.17109519890252</v>
      </c>
    </row>
    <row r="47" spans="1:8" x14ac:dyDescent="0.25">
      <c r="A47" s="38">
        <v>44</v>
      </c>
      <c r="B47" s="55">
        <v>134.38999999999999</v>
      </c>
      <c r="C47" s="53">
        <f t="shared" si="4"/>
        <v>115.88</v>
      </c>
      <c r="D47" s="53">
        <f t="shared" si="0"/>
        <v>0.44999999999996021</v>
      </c>
      <c r="E47" s="53">
        <f t="shared" si="1"/>
        <v>7.0562962962962814</v>
      </c>
      <c r="F47" s="4">
        <f t="shared" si="2"/>
        <v>3.1753333333330458</v>
      </c>
      <c r="G47" s="4">
        <f t="shared" si="3"/>
        <v>0.20249999999996418</v>
      </c>
      <c r="H47" s="4">
        <f t="shared" si="3"/>
        <v>49.791317421124617</v>
      </c>
    </row>
    <row r="48" spans="1:8" x14ac:dyDescent="0.25">
      <c r="A48" s="38">
        <v>45</v>
      </c>
      <c r="B48" s="55">
        <v>134.51</v>
      </c>
      <c r="C48" s="53">
        <f t="shared" si="4"/>
        <v>113.35</v>
      </c>
      <c r="D48" s="53">
        <f t="shared" si="0"/>
        <v>0.56999999999996476</v>
      </c>
      <c r="E48" s="53">
        <f t="shared" si="1"/>
        <v>4.5262962962962803</v>
      </c>
      <c r="F48" s="4">
        <f t="shared" si="2"/>
        <v>2.5799888888887201</v>
      </c>
      <c r="G48" s="4">
        <f t="shared" si="3"/>
        <v>0.32489999999995983</v>
      </c>
      <c r="H48" s="4">
        <f t="shared" si="3"/>
        <v>20.487358161865423</v>
      </c>
    </row>
    <row r="49" spans="1:8" x14ac:dyDescent="0.25">
      <c r="A49" s="38">
        <v>46</v>
      </c>
      <c r="B49" s="55">
        <v>134.46</v>
      </c>
      <c r="C49" s="53">
        <f t="shared" si="4"/>
        <v>111.39</v>
      </c>
      <c r="D49" s="53">
        <f t="shared" si="0"/>
        <v>0.51999999999998181</v>
      </c>
      <c r="E49" s="53">
        <f t="shared" si="1"/>
        <v>2.5662962962962865</v>
      </c>
      <c r="F49" s="4">
        <f t="shared" si="2"/>
        <v>1.3344740740740224</v>
      </c>
      <c r="G49" s="4">
        <f t="shared" si="3"/>
        <v>0.2703999999999811</v>
      </c>
      <c r="H49" s="4">
        <f t="shared" si="3"/>
        <v>6.5858766803840378</v>
      </c>
    </row>
    <row r="50" spans="1:8" x14ac:dyDescent="0.25">
      <c r="A50" s="38">
        <v>47</v>
      </c>
      <c r="B50" s="55">
        <v>134.27000000000001</v>
      </c>
      <c r="C50" s="53">
        <f t="shared" si="4"/>
        <v>109.76</v>
      </c>
      <c r="D50" s="53">
        <f t="shared" si="0"/>
        <v>0.32999999999998408</v>
      </c>
      <c r="E50" s="53">
        <f t="shared" si="1"/>
        <v>0.93629629629629108</v>
      </c>
      <c r="F50" s="4">
        <f t="shared" si="2"/>
        <v>0.30897777777776114</v>
      </c>
      <c r="G50" s="4">
        <f t="shared" ref="G50:H61" si="5">D50*D50</f>
        <v>0.10889999999998949</v>
      </c>
      <c r="H50" s="4">
        <f t="shared" si="5"/>
        <v>0.8766507544581521</v>
      </c>
    </row>
    <row r="51" spans="1:8" x14ac:dyDescent="0.25">
      <c r="A51" s="38">
        <v>48</v>
      </c>
      <c r="B51" s="55">
        <v>133.72999999999999</v>
      </c>
      <c r="C51" s="53">
        <f t="shared" si="4"/>
        <v>109.5</v>
      </c>
      <c r="D51" s="53">
        <f t="shared" si="0"/>
        <v>-0.21000000000003638</v>
      </c>
      <c r="E51" s="53">
        <f t="shared" si="1"/>
        <v>0.67629629629628596</v>
      </c>
      <c r="F51" s="4">
        <f t="shared" si="2"/>
        <v>-0.14202222222224464</v>
      </c>
      <c r="G51" s="4">
        <f t="shared" si="5"/>
        <v>4.410000000001528E-2</v>
      </c>
      <c r="H51" s="4">
        <f t="shared" si="5"/>
        <v>0.45737668038407381</v>
      </c>
    </row>
    <row r="52" spans="1:8" x14ac:dyDescent="0.25">
      <c r="A52" s="38">
        <v>49</v>
      </c>
      <c r="B52" s="55">
        <v>132.01</v>
      </c>
      <c r="C52" s="53">
        <f t="shared" si="4"/>
        <v>108.86</v>
      </c>
      <c r="D52" s="53">
        <f t="shared" si="0"/>
        <v>-1.9300000000000352</v>
      </c>
      <c r="E52" s="53">
        <f t="shared" si="1"/>
        <v>3.6296296296285391E-2</v>
      </c>
      <c r="F52" s="4">
        <f t="shared" si="2"/>
        <v>-7.0051851851832089E-2</v>
      </c>
      <c r="G52" s="4">
        <f t="shared" si="5"/>
        <v>3.7249000000001362</v>
      </c>
      <c r="H52" s="4">
        <f t="shared" si="5"/>
        <v>1.3174211248277406E-3</v>
      </c>
    </row>
    <row r="53" spans="1:8" x14ac:dyDescent="0.25">
      <c r="A53" s="38">
        <v>50</v>
      </c>
      <c r="B53" s="55">
        <v>130.59</v>
      </c>
      <c r="C53" s="53">
        <f t="shared" si="4"/>
        <v>108.49</v>
      </c>
      <c r="D53" s="53">
        <f t="shared" si="0"/>
        <v>-3.3500000000000227</v>
      </c>
      <c r="E53" s="53">
        <f t="shared" si="1"/>
        <v>-0.33370370370371916</v>
      </c>
      <c r="F53" s="4">
        <f t="shared" si="2"/>
        <v>1.1179074074074669</v>
      </c>
      <c r="G53" s="4">
        <f t="shared" si="5"/>
        <v>11.222500000000153</v>
      </c>
      <c r="H53" s="4">
        <f t="shared" si="5"/>
        <v>0.11135816186557959</v>
      </c>
    </row>
    <row r="54" spans="1:8" x14ac:dyDescent="0.25">
      <c r="A54" s="38">
        <v>51</v>
      </c>
      <c r="B54" s="55">
        <v>130.28</v>
      </c>
      <c r="C54" s="53">
        <f t="shared" si="4"/>
        <v>108.36</v>
      </c>
      <c r="D54" s="53">
        <f t="shared" si="0"/>
        <v>-3.660000000000025</v>
      </c>
      <c r="E54" s="53">
        <f t="shared" si="1"/>
        <v>-0.46370370370371461</v>
      </c>
      <c r="F54" s="4">
        <f t="shared" si="2"/>
        <v>1.697155555555607</v>
      </c>
      <c r="G54" s="4">
        <f t="shared" si="5"/>
        <v>13.395600000000183</v>
      </c>
      <c r="H54" s="4">
        <f t="shared" si="5"/>
        <v>0.21502112482854235</v>
      </c>
    </row>
    <row r="55" spans="1:8" x14ac:dyDescent="0.25">
      <c r="A55" s="38">
        <v>52</v>
      </c>
      <c r="B55" s="55">
        <v>129.16</v>
      </c>
      <c r="C55" s="53">
        <f t="shared" si="4"/>
        <v>108.19</v>
      </c>
      <c r="D55" s="53">
        <f t="shared" si="0"/>
        <v>-4.7800000000000296</v>
      </c>
      <c r="E55" s="53">
        <f t="shared" si="1"/>
        <v>-0.63370370370371631</v>
      </c>
      <c r="F55" s="4">
        <f t="shared" si="2"/>
        <v>3.0291037037037829</v>
      </c>
      <c r="G55" s="4">
        <f t="shared" si="5"/>
        <v>22.848400000000282</v>
      </c>
      <c r="H55" s="4">
        <f t="shared" si="5"/>
        <v>0.4015803840878075</v>
      </c>
    </row>
    <row r="56" spans="1:8" x14ac:dyDescent="0.25">
      <c r="A56" s="38">
        <v>53</v>
      </c>
      <c r="B56" s="55">
        <v>128.94</v>
      </c>
      <c r="C56" s="53">
        <f t="shared" si="4"/>
        <v>107.8</v>
      </c>
      <c r="D56" s="53">
        <f t="shared" si="0"/>
        <v>-5.0000000000000284</v>
      </c>
      <c r="E56" s="53">
        <f t="shared" si="1"/>
        <v>-1.0237037037037169</v>
      </c>
      <c r="F56" s="4">
        <f t="shared" si="2"/>
        <v>5.1185185185186137</v>
      </c>
      <c r="G56" s="4">
        <f t="shared" si="5"/>
        <v>25.000000000000284</v>
      </c>
      <c r="H56" s="4">
        <f t="shared" si="5"/>
        <v>1.0479692729767074</v>
      </c>
    </row>
    <row r="57" spans="1:8" x14ac:dyDescent="0.25">
      <c r="A57" s="38">
        <v>54</v>
      </c>
      <c r="B57" s="55">
        <v>129.30000000000001</v>
      </c>
      <c r="C57" s="53">
        <f t="shared" si="4"/>
        <v>107.47</v>
      </c>
      <c r="D57" s="53">
        <f t="shared" si="0"/>
        <v>-4.6400000000000148</v>
      </c>
      <c r="E57" s="53">
        <f t="shared" si="1"/>
        <v>-1.3537037037037152</v>
      </c>
      <c r="F57" s="4">
        <f t="shared" si="2"/>
        <v>6.281185185185258</v>
      </c>
      <c r="G57" s="4">
        <f t="shared" si="5"/>
        <v>21.529600000000137</v>
      </c>
      <c r="H57" s="4">
        <f t="shared" si="5"/>
        <v>1.8325137174211559</v>
      </c>
    </row>
    <row r="58" spans="1:8" x14ac:dyDescent="0.25">
      <c r="A58" s="38">
        <v>55</v>
      </c>
      <c r="B58" s="55">
        <v>131.22</v>
      </c>
      <c r="C58" s="53">
        <f t="shared" si="4"/>
        <v>107.03</v>
      </c>
      <c r="D58" s="53">
        <f t="shared" si="0"/>
        <v>-2.7200000000000273</v>
      </c>
      <c r="E58" s="53">
        <f t="shared" si="1"/>
        <v>-1.7937037037037129</v>
      </c>
      <c r="F58" s="4">
        <f t="shared" si="2"/>
        <v>4.8788740740741483</v>
      </c>
      <c r="G58" s="4">
        <f t="shared" si="5"/>
        <v>7.3984000000001489</v>
      </c>
      <c r="H58" s="4">
        <f t="shared" si="5"/>
        <v>3.2173729766804171</v>
      </c>
    </row>
    <row r="59" spans="1:8" x14ac:dyDescent="0.25">
      <c r="A59" s="38">
        <v>56</v>
      </c>
      <c r="B59" s="55">
        <v>132.52000000000001</v>
      </c>
      <c r="C59" s="53">
        <f t="shared" si="4"/>
        <v>106.61</v>
      </c>
      <c r="D59" s="53">
        <f t="shared" si="0"/>
        <v>-1.4200000000000159</v>
      </c>
      <c r="E59" s="53">
        <f t="shared" si="1"/>
        <v>-2.2137037037037146</v>
      </c>
      <c r="F59" s="4">
        <f t="shared" si="2"/>
        <v>3.14345925925931</v>
      </c>
      <c r="G59" s="4">
        <f t="shared" si="5"/>
        <v>2.0164000000000453</v>
      </c>
      <c r="H59" s="4">
        <f t="shared" si="5"/>
        <v>4.9004840877915434</v>
      </c>
    </row>
    <row r="60" spans="1:8" x14ac:dyDescent="0.25">
      <c r="A60" s="38">
        <v>57</v>
      </c>
      <c r="B60" s="55">
        <v>134.25</v>
      </c>
      <c r="C60" s="53">
        <f t="shared" si="4"/>
        <v>106.57</v>
      </c>
      <c r="D60" s="53">
        <f t="shared" si="0"/>
        <v>0.30999999999997385</v>
      </c>
      <c r="E60" s="53">
        <f t="shared" si="1"/>
        <v>-2.2537037037037209</v>
      </c>
      <c r="F60" s="4">
        <f t="shared" si="2"/>
        <v>-0.69864814814809451</v>
      </c>
      <c r="G60" s="4">
        <f t="shared" si="5"/>
        <v>9.6099999999983782E-2</v>
      </c>
      <c r="H60" s="4">
        <f t="shared" si="5"/>
        <v>5.0791803840878691</v>
      </c>
    </row>
    <row r="61" spans="1:8" x14ac:dyDescent="0.25">
      <c r="A61" s="38">
        <v>58</v>
      </c>
      <c r="B61" s="55">
        <v>136.06</v>
      </c>
      <c r="C61" s="53">
        <f t="shared" si="4"/>
        <v>106.49</v>
      </c>
      <c r="D61" s="53">
        <f t="shared" si="0"/>
        <v>2.1199999999999761</v>
      </c>
      <c r="E61" s="53">
        <f t="shared" si="1"/>
        <v>-2.3337037037037192</v>
      </c>
      <c r="F61" s="4">
        <f t="shared" si="2"/>
        <v>-4.9474518518518291</v>
      </c>
      <c r="G61" s="4">
        <f t="shared" si="5"/>
        <v>4.4943999999998985</v>
      </c>
      <c r="H61" s="4">
        <f t="shared" si="5"/>
        <v>5.4461729766804563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2938.2400000000002</v>
      </c>
      <c r="D62" s="49">
        <f t="shared" si="6"/>
        <v>-7.3896444519050419E-13</v>
      </c>
      <c r="E62" s="49">
        <f t="shared" si="6"/>
        <v>-3.4106051316484809E-13</v>
      </c>
      <c r="F62" s="49">
        <f t="shared" si="6"/>
        <v>79.050499999999886</v>
      </c>
      <c r="G62" s="49">
        <f t="shared" si="6"/>
        <v>278.85059999999982</v>
      </c>
      <c r="H62" s="49">
        <f t="shared" si="6"/>
        <v>607.01042962963004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108.82370370370371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346</v>
      </c>
      <c r="B65" s="49">
        <f>SUM(B35:B61)/27</f>
        <v>133.94000000000003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347</v>
      </c>
      <c r="B66" s="38">
        <f>SUM(C35:C61)/27</f>
        <v>108.82370370370371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348</v>
      </c>
      <c r="B68" s="38">
        <f>F62/SQRT(G62*H62)</f>
        <v>0.19214131249336247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49" workbookViewId="0">
      <selection activeCell="F66" sqref="F66"/>
    </sheetView>
  </sheetViews>
  <sheetFormatPr defaultRowHeight="15" x14ac:dyDescent="0.25"/>
  <cols>
    <col min="6" max="6" width="18.1406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349</v>
      </c>
      <c r="D3" s="45" t="s">
        <v>350</v>
      </c>
      <c r="E3" s="45" t="s">
        <v>351</v>
      </c>
      <c r="F3" s="46" t="s">
        <v>352</v>
      </c>
      <c r="G3" s="45" t="s">
        <v>353</v>
      </c>
      <c r="H3" s="45" t="s">
        <v>354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53">
        <f>B4</f>
        <v>102.32</v>
      </c>
      <c r="D36" s="53">
        <f t="shared" ref="D36:D61" si="0">B36-$B$65</f>
        <v>-1.3023076923076644</v>
      </c>
      <c r="E36" s="53">
        <f t="shared" ref="E36:E61" si="1">C36-$B$66</f>
        <v>-6.5934615384615682</v>
      </c>
      <c r="F36" s="4">
        <f t="shared" ref="F36:F61" si="2">D36*E36</f>
        <v>8.5867156804732279</v>
      </c>
      <c r="G36" s="4">
        <f t="shared" ref="G36:H50" si="3">D36*D36</f>
        <v>1.6960053254437144</v>
      </c>
      <c r="H36" s="4">
        <f t="shared" si="3"/>
        <v>43.473735059171993</v>
      </c>
    </row>
    <row r="37" spans="1:8" x14ac:dyDescent="0.25">
      <c r="A37" s="38">
        <v>34</v>
      </c>
      <c r="B37" s="55">
        <v>134.91999999999999</v>
      </c>
      <c r="C37" s="53">
        <f t="shared" ref="C37:C61" si="4">B5</f>
        <v>102.21</v>
      </c>
      <c r="D37" s="53">
        <f t="shared" si="0"/>
        <v>0.75769230769230944</v>
      </c>
      <c r="E37" s="53">
        <f t="shared" si="1"/>
        <v>-6.7034615384615677</v>
      </c>
      <c r="F37" s="4">
        <f t="shared" si="2"/>
        <v>-5.0791612426035844</v>
      </c>
      <c r="G37" s="4">
        <f t="shared" si="3"/>
        <v>0.5740976331360973</v>
      </c>
      <c r="H37" s="4">
        <f t="shared" si="3"/>
        <v>44.936396597633525</v>
      </c>
    </row>
    <row r="38" spans="1:8" x14ac:dyDescent="0.25">
      <c r="A38" s="38">
        <v>35</v>
      </c>
      <c r="B38" s="55">
        <v>135.69999999999999</v>
      </c>
      <c r="C38" s="53">
        <f t="shared" si="4"/>
        <v>102.16</v>
      </c>
      <c r="D38" s="53">
        <f t="shared" si="0"/>
        <v>1.5376923076923106</v>
      </c>
      <c r="E38" s="53">
        <f t="shared" si="1"/>
        <v>-6.7534615384615648</v>
      </c>
      <c r="F38" s="4">
        <f t="shared" si="2"/>
        <v>-10.384745857988225</v>
      </c>
      <c r="G38" s="4">
        <f t="shared" si="3"/>
        <v>2.3644976331361036</v>
      </c>
      <c r="H38" s="4">
        <f t="shared" si="3"/>
        <v>45.609242751479648</v>
      </c>
    </row>
    <row r="39" spans="1:8" x14ac:dyDescent="0.25">
      <c r="A39" s="38">
        <v>36</v>
      </c>
      <c r="B39" s="55">
        <v>136.13999999999999</v>
      </c>
      <c r="C39" s="53">
        <f t="shared" si="4"/>
        <v>102.06</v>
      </c>
      <c r="D39" s="53">
        <f t="shared" si="0"/>
        <v>1.9776923076923083</v>
      </c>
      <c r="E39" s="53">
        <f t="shared" si="1"/>
        <v>-6.8534615384615591</v>
      </c>
      <c r="F39" s="4">
        <f t="shared" si="2"/>
        <v>-13.554038165680518</v>
      </c>
      <c r="G39" s="4">
        <f t="shared" si="3"/>
        <v>3.9112668639053281</v>
      </c>
      <c r="H39" s="4">
        <f t="shared" si="3"/>
        <v>46.969935059171881</v>
      </c>
    </row>
    <row r="40" spans="1:8" x14ac:dyDescent="0.25">
      <c r="A40" s="38">
        <v>37</v>
      </c>
      <c r="B40" s="55">
        <v>140.15</v>
      </c>
      <c r="C40" s="53">
        <f t="shared" si="4"/>
        <v>102.55</v>
      </c>
      <c r="D40" s="53">
        <f t="shared" si="0"/>
        <v>5.9876923076923276</v>
      </c>
      <c r="E40" s="53">
        <f t="shared" si="1"/>
        <v>-6.3634615384615643</v>
      </c>
      <c r="F40" s="4">
        <f t="shared" si="2"/>
        <v>-38.102449704142295</v>
      </c>
      <c r="G40" s="4">
        <f t="shared" si="3"/>
        <v>35.852459171597872</v>
      </c>
      <c r="H40" s="4">
        <f t="shared" si="3"/>
        <v>40.493642751479619</v>
      </c>
    </row>
    <row r="41" spans="1:8" x14ac:dyDescent="0.25">
      <c r="A41" s="38">
        <v>38</v>
      </c>
      <c r="B41" s="55">
        <v>140.09</v>
      </c>
      <c r="C41" s="53">
        <f t="shared" si="4"/>
        <v>104.35</v>
      </c>
      <c r="D41" s="53">
        <f t="shared" si="0"/>
        <v>5.9276923076923254</v>
      </c>
      <c r="E41" s="53">
        <f t="shared" si="1"/>
        <v>-4.5634615384615671</v>
      </c>
      <c r="F41" s="4">
        <f t="shared" si="2"/>
        <v>-27.050795857988415</v>
      </c>
      <c r="G41" s="4">
        <f t="shared" si="3"/>
        <v>35.137536094674765</v>
      </c>
      <c r="H41" s="4">
        <f t="shared" si="3"/>
        <v>20.825181213018013</v>
      </c>
    </row>
    <row r="42" spans="1:8" x14ac:dyDescent="0.25">
      <c r="A42" s="38">
        <v>39</v>
      </c>
      <c r="B42" s="55">
        <v>139.1</v>
      </c>
      <c r="C42" s="53">
        <f t="shared" si="4"/>
        <v>107.57</v>
      </c>
      <c r="D42" s="53">
        <f t="shared" si="0"/>
        <v>4.9376923076923163</v>
      </c>
      <c r="E42" s="53">
        <f t="shared" si="1"/>
        <v>-1.3434615384615682</v>
      </c>
      <c r="F42" s="4">
        <f t="shared" si="2"/>
        <v>-6.6335997041421706</v>
      </c>
      <c r="G42" s="4">
        <f t="shared" si="3"/>
        <v>24.380805325443873</v>
      </c>
      <c r="H42" s="4">
        <f t="shared" si="3"/>
        <v>1.8048889053255237</v>
      </c>
    </row>
    <row r="43" spans="1:8" x14ac:dyDescent="0.25">
      <c r="A43" s="38">
        <v>40</v>
      </c>
      <c r="B43" s="55">
        <v>137.5</v>
      </c>
      <c r="C43" s="53">
        <f t="shared" si="4"/>
        <v>111.96</v>
      </c>
      <c r="D43" s="53">
        <f t="shared" si="0"/>
        <v>3.3376923076923219</v>
      </c>
      <c r="E43" s="53">
        <f t="shared" si="1"/>
        <v>3.0465384615384323</v>
      </c>
      <c r="F43" s="4">
        <f t="shared" si="2"/>
        <v>10.168407988165626</v>
      </c>
      <c r="G43" s="4">
        <f t="shared" si="3"/>
        <v>11.140189940828497</v>
      </c>
      <c r="H43" s="4">
        <f t="shared" si="3"/>
        <v>9.2813965976329573</v>
      </c>
    </row>
    <row r="44" spans="1:8" x14ac:dyDescent="0.25">
      <c r="A44" s="38">
        <v>41</v>
      </c>
      <c r="B44" s="55">
        <v>136.12</v>
      </c>
      <c r="C44" s="53">
        <f t="shared" si="4"/>
        <v>115.27</v>
      </c>
      <c r="D44" s="53">
        <f t="shared" si="0"/>
        <v>1.9576923076923265</v>
      </c>
      <c r="E44" s="53">
        <f t="shared" si="1"/>
        <v>6.3565384615384346</v>
      </c>
      <c r="F44" s="4">
        <f t="shared" si="2"/>
        <v>12.444146449704208</v>
      </c>
      <c r="G44" s="4">
        <f t="shared" si="3"/>
        <v>3.8325591715977065</v>
      </c>
      <c r="H44" s="4">
        <f t="shared" si="3"/>
        <v>40.405581213017406</v>
      </c>
    </row>
    <row r="45" spans="1:8" x14ac:dyDescent="0.25">
      <c r="A45" s="38">
        <v>42</v>
      </c>
      <c r="B45" s="55">
        <v>135.22</v>
      </c>
      <c r="C45" s="53">
        <f t="shared" si="4"/>
        <v>117.17</v>
      </c>
      <c r="D45" s="53">
        <f t="shared" si="0"/>
        <v>1.0576923076923208</v>
      </c>
      <c r="E45" s="53">
        <f t="shared" si="1"/>
        <v>8.2565384615384403</v>
      </c>
      <c r="F45" s="4">
        <f t="shared" si="2"/>
        <v>8.7328772189349966</v>
      </c>
      <c r="G45" s="4">
        <f t="shared" si="3"/>
        <v>1.118713017751507</v>
      </c>
      <c r="H45" s="4">
        <f t="shared" si="3"/>
        <v>68.170427366863549</v>
      </c>
    </row>
    <row r="46" spans="1:8" x14ac:dyDescent="0.25">
      <c r="A46" s="38">
        <v>43</v>
      </c>
      <c r="B46" s="55">
        <v>134.72999999999999</v>
      </c>
      <c r="C46" s="53">
        <f t="shared" si="4"/>
        <v>117.61</v>
      </c>
      <c r="D46" s="53">
        <f t="shared" si="0"/>
        <v>0.56769230769231172</v>
      </c>
      <c r="E46" s="53">
        <f t="shared" si="1"/>
        <v>8.696538461538438</v>
      </c>
      <c r="F46" s="4">
        <f t="shared" si="2"/>
        <v>4.9369579881657017</v>
      </c>
      <c r="G46" s="4">
        <f t="shared" si="3"/>
        <v>0.32227455621302231</v>
      </c>
      <c r="H46" s="4">
        <f t="shared" si="3"/>
        <v>75.629781213017338</v>
      </c>
    </row>
    <row r="47" spans="1:8" x14ac:dyDescent="0.25">
      <c r="A47" s="38">
        <v>44</v>
      </c>
      <c r="B47" s="55">
        <v>134.38999999999999</v>
      </c>
      <c r="C47" s="53">
        <f t="shared" si="4"/>
        <v>117.26</v>
      </c>
      <c r="D47" s="53">
        <f t="shared" si="0"/>
        <v>0.2276923076923083</v>
      </c>
      <c r="E47" s="53">
        <f t="shared" si="1"/>
        <v>8.3465384615384437</v>
      </c>
      <c r="F47" s="4">
        <f t="shared" si="2"/>
        <v>1.9004426035502968</v>
      </c>
      <c r="G47" s="4">
        <f t="shared" si="3"/>
        <v>5.1843786982248799E-2</v>
      </c>
      <c r="H47" s="4">
        <f t="shared" si="3"/>
        <v>69.664704289940531</v>
      </c>
    </row>
    <row r="48" spans="1:8" x14ac:dyDescent="0.25">
      <c r="A48" s="38">
        <v>45</v>
      </c>
      <c r="B48" s="55">
        <v>134.51</v>
      </c>
      <c r="C48" s="53">
        <f t="shared" si="4"/>
        <v>115.88</v>
      </c>
      <c r="D48" s="53">
        <f t="shared" si="0"/>
        <v>0.34769230769231285</v>
      </c>
      <c r="E48" s="53">
        <f t="shared" si="1"/>
        <v>6.966538461538434</v>
      </c>
      <c r="F48" s="4">
        <f t="shared" si="2"/>
        <v>2.4222118343195529</v>
      </c>
      <c r="G48" s="4">
        <f t="shared" si="3"/>
        <v>0.12088994082840596</v>
      </c>
      <c r="H48" s="4">
        <f t="shared" si="3"/>
        <v>48.532658136094291</v>
      </c>
    </row>
    <row r="49" spans="1:8" x14ac:dyDescent="0.25">
      <c r="A49" s="38">
        <v>46</v>
      </c>
      <c r="B49" s="55">
        <v>134.46</v>
      </c>
      <c r="C49" s="53">
        <f t="shared" si="4"/>
        <v>113.35</v>
      </c>
      <c r="D49" s="53">
        <f t="shared" si="0"/>
        <v>0.2976923076923299</v>
      </c>
      <c r="E49" s="53">
        <f t="shared" si="1"/>
        <v>4.4365384615384329</v>
      </c>
      <c r="F49" s="4">
        <f t="shared" si="2"/>
        <v>1.3207233727811551</v>
      </c>
      <c r="G49" s="4">
        <f t="shared" si="3"/>
        <v>8.8620710059184829E-2</v>
      </c>
      <c r="H49" s="4">
        <f t="shared" si="3"/>
        <v>19.682873520709805</v>
      </c>
    </row>
    <row r="50" spans="1:8" x14ac:dyDescent="0.25">
      <c r="A50" s="38">
        <v>47</v>
      </c>
      <c r="B50" s="55">
        <v>134.27000000000001</v>
      </c>
      <c r="C50" s="53">
        <f t="shared" si="4"/>
        <v>111.39</v>
      </c>
      <c r="D50" s="53">
        <f t="shared" si="0"/>
        <v>0.10769230769233218</v>
      </c>
      <c r="E50" s="53">
        <f t="shared" si="1"/>
        <v>2.4765384615384392</v>
      </c>
      <c r="F50" s="4">
        <f t="shared" si="2"/>
        <v>0.26670414201189258</v>
      </c>
      <c r="G50" s="4">
        <f t="shared" si="3"/>
        <v>1.1597633136099949E-2</v>
      </c>
      <c r="H50" s="4">
        <f t="shared" si="3"/>
        <v>6.1332427514791794</v>
      </c>
    </row>
    <row r="51" spans="1:8" x14ac:dyDescent="0.25">
      <c r="A51" s="38">
        <v>48</v>
      </c>
      <c r="B51" s="55">
        <v>133.72999999999999</v>
      </c>
      <c r="C51" s="53">
        <f t="shared" si="4"/>
        <v>109.76</v>
      </c>
      <c r="D51" s="53">
        <f t="shared" si="0"/>
        <v>-0.43230769230768828</v>
      </c>
      <c r="E51" s="53">
        <f t="shared" si="1"/>
        <v>0.8465384615384437</v>
      </c>
      <c r="F51" s="4">
        <f t="shared" si="2"/>
        <v>-0.36596508875738532</v>
      </c>
      <c r="G51" s="4">
        <f t="shared" ref="G51:H61" si="5">D51*D51</f>
        <v>0.18688994082839888</v>
      </c>
      <c r="H51" s="4">
        <f t="shared" si="5"/>
        <v>0.71662736686387507</v>
      </c>
    </row>
    <row r="52" spans="1:8" x14ac:dyDescent="0.25">
      <c r="A52" s="38">
        <v>49</v>
      </c>
      <c r="B52" s="55">
        <v>132.01</v>
      </c>
      <c r="C52" s="53">
        <f t="shared" si="4"/>
        <v>109.5</v>
      </c>
      <c r="D52" s="53">
        <f t="shared" si="0"/>
        <v>-2.1523076923076871</v>
      </c>
      <c r="E52" s="53">
        <f t="shared" si="1"/>
        <v>0.58653846153843858</v>
      </c>
      <c r="F52" s="4">
        <f t="shared" si="2"/>
        <v>-1.2624112426034979</v>
      </c>
      <c r="G52" s="4">
        <f t="shared" si="5"/>
        <v>4.6324284023668421</v>
      </c>
      <c r="H52" s="4">
        <f t="shared" si="5"/>
        <v>0.34402736686387841</v>
      </c>
    </row>
    <row r="53" spans="1:8" x14ac:dyDescent="0.25">
      <c r="A53" s="38">
        <v>50</v>
      </c>
      <c r="B53" s="55">
        <v>130.59</v>
      </c>
      <c r="C53" s="53">
        <f t="shared" si="4"/>
        <v>108.86</v>
      </c>
      <c r="D53" s="53">
        <f t="shared" si="0"/>
        <v>-3.5723076923076746</v>
      </c>
      <c r="E53" s="53">
        <f t="shared" si="1"/>
        <v>-5.3461538461561986E-2</v>
      </c>
      <c r="F53" s="4">
        <f t="shared" si="2"/>
        <v>0.1909810650888405</v>
      </c>
      <c r="G53" s="4">
        <f t="shared" si="5"/>
        <v>12.761382248520583</v>
      </c>
      <c r="H53" s="4">
        <f t="shared" si="5"/>
        <v>2.8581360946770716E-3</v>
      </c>
    </row>
    <row r="54" spans="1:8" x14ac:dyDescent="0.25">
      <c r="A54" s="38">
        <v>51</v>
      </c>
      <c r="B54" s="55">
        <v>130.28</v>
      </c>
      <c r="C54" s="53">
        <f t="shared" si="4"/>
        <v>108.49</v>
      </c>
      <c r="D54" s="53">
        <f t="shared" si="0"/>
        <v>-3.8823076923076769</v>
      </c>
      <c r="E54" s="53">
        <f t="shared" si="1"/>
        <v>-0.42346153846156653</v>
      </c>
      <c r="F54" s="4">
        <f t="shared" si="2"/>
        <v>1.644007988165783</v>
      </c>
      <c r="G54" s="4">
        <f t="shared" si="5"/>
        <v>15.072313017751359</v>
      </c>
      <c r="H54" s="4">
        <f t="shared" si="5"/>
        <v>0.17931967455623679</v>
      </c>
    </row>
    <row r="55" spans="1:8" x14ac:dyDescent="0.25">
      <c r="A55" s="38">
        <v>52</v>
      </c>
      <c r="B55" s="55">
        <v>129.16</v>
      </c>
      <c r="C55" s="53">
        <f t="shared" si="4"/>
        <v>108.36</v>
      </c>
      <c r="D55" s="53">
        <f t="shared" si="0"/>
        <v>-5.0023076923076815</v>
      </c>
      <c r="E55" s="53">
        <f t="shared" si="1"/>
        <v>-0.55346153846156199</v>
      </c>
      <c r="F55" s="4">
        <f t="shared" si="2"/>
        <v>2.7685849112427152</v>
      </c>
      <c r="G55" s="4">
        <f t="shared" si="5"/>
        <v>25.023082248520602</v>
      </c>
      <c r="H55" s="4">
        <f t="shared" si="5"/>
        <v>0.30631967455623904</v>
      </c>
    </row>
    <row r="56" spans="1:8" x14ac:dyDescent="0.25">
      <c r="A56" s="38">
        <v>53</v>
      </c>
      <c r="B56" s="55">
        <v>128.94</v>
      </c>
      <c r="C56" s="53">
        <f t="shared" si="4"/>
        <v>108.19</v>
      </c>
      <c r="D56" s="53">
        <f t="shared" si="0"/>
        <v>-5.2223076923076803</v>
      </c>
      <c r="E56" s="53">
        <f t="shared" si="1"/>
        <v>-0.72346153846156369</v>
      </c>
      <c r="F56" s="4">
        <f t="shared" si="2"/>
        <v>3.7781387573965728</v>
      </c>
      <c r="G56" s="4">
        <f t="shared" si="5"/>
        <v>27.27249763313597</v>
      </c>
      <c r="H56" s="4">
        <f t="shared" si="5"/>
        <v>0.52339659763317259</v>
      </c>
    </row>
    <row r="57" spans="1:8" x14ac:dyDescent="0.25">
      <c r="A57" s="38">
        <v>54</v>
      </c>
      <c r="B57" s="55">
        <v>129.30000000000001</v>
      </c>
      <c r="C57" s="53">
        <f t="shared" si="4"/>
        <v>107.8</v>
      </c>
      <c r="D57" s="53">
        <f t="shared" si="0"/>
        <v>-4.8623076923076667</v>
      </c>
      <c r="E57" s="53">
        <f t="shared" si="1"/>
        <v>-1.1134615384615643</v>
      </c>
      <c r="F57" s="4">
        <f t="shared" si="2"/>
        <v>5.4139926035503931</v>
      </c>
      <c r="G57" s="4">
        <f t="shared" si="5"/>
        <v>23.642036094674307</v>
      </c>
      <c r="H57" s="4">
        <f t="shared" si="5"/>
        <v>1.2397965976331935</v>
      </c>
    </row>
    <row r="58" spans="1:8" x14ac:dyDescent="0.25">
      <c r="A58" s="38">
        <v>55</v>
      </c>
      <c r="B58" s="55">
        <v>131.22</v>
      </c>
      <c r="C58" s="53">
        <f t="shared" si="4"/>
        <v>107.47</v>
      </c>
      <c r="D58" s="53">
        <f t="shared" si="0"/>
        <v>-2.9423076923076792</v>
      </c>
      <c r="E58" s="53">
        <f t="shared" si="1"/>
        <v>-1.4434615384615626</v>
      </c>
      <c r="F58" s="4">
        <f t="shared" si="2"/>
        <v>4.2471079881657321</v>
      </c>
      <c r="G58" s="4">
        <f t="shared" si="5"/>
        <v>8.6571745562129401</v>
      </c>
      <c r="H58" s="4">
        <f t="shared" si="5"/>
        <v>2.0835812130178208</v>
      </c>
    </row>
    <row r="59" spans="1:8" x14ac:dyDescent="0.25">
      <c r="A59" s="38">
        <v>56</v>
      </c>
      <c r="B59" s="55">
        <v>132.52000000000001</v>
      </c>
      <c r="C59" s="53">
        <f t="shared" si="4"/>
        <v>107.03</v>
      </c>
      <c r="D59" s="53">
        <f t="shared" si="0"/>
        <v>-1.6423076923076678</v>
      </c>
      <c r="E59" s="53">
        <f t="shared" si="1"/>
        <v>-1.8834615384615603</v>
      </c>
      <c r="F59" s="4">
        <f t="shared" si="2"/>
        <v>3.093223372781055</v>
      </c>
      <c r="G59" s="4">
        <f t="shared" si="5"/>
        <v>2.6971745562129374</v>
      </c>
      <c r="H59" s="4">
        <f t="shared" si="5"/>
        <v>3.5474273668639875</v>
      </c>
    </row>
    <row r="60" spans="1:8" x14ac:dyDescent="0.25">
      <c r="A60" s="38">
        <v>57</v>
      </c>
      <c r="B60" s="55">
        <v>134.25</v>
      </c>
      <c r="C60" s="53">
        <f t="shared" si="4"/>
        <v>106.61</v>
      </c>
      <c r="D60" s="53">
        <f t="shared" si="0"/>
        <v>8.7692307692321947E-2</v>
      </c>
      <c r="E60" s="53">
        <f t="shared" si="1"/>
        <v>-2.303461538461562</v>
      </c>
      <c r="F60" s="4">
        <f t="shared" si="2"/>
        <v>-0.20199585798820058</v>
      </c>
      <c r="G60" s="4">
        <f t="shared" si="5"/>
        <v>7.6899408284048665E-3</v>
      </c>
      <c r="H60" s="4">
        <f t="shared" si="5"/>
        <v>5.3059350591717056</v>
      </c>
    </row>
    <row r="61" spans="1:8" x14ac:dyDescent="0.25">
      <c r="A61" s="38">
        <v>58</v>
      </c>
      <c r="B61" s="55">
        <v>136.06</v>
      </c>
      <c r="C61" s="53">
        <f t="shared" si="4"/>
        <v>106.57</v>
      </c>
      <c r="D61" s="53">
        <f t="shared" si="0"/>
        <v>1.8976923076923242</v>
      </c>
      <c r="E61" s="53">
        <f t="shared" si="1"/>
        <v>-2.3434615384615682</v>
      </c>
      <c r="F61" s="4">
        <f t="shared" si="2"/>
        <v>-4.4471689349113381</v>
      </c>
      <c r="G61" s="4">
        <f t="shared" si="5"/>
        <v>3.6012360946746189</v>
      </c>
      <c r="H61" s="4">
        <f t="shared" si="5"/>
        <v>5.4918119822486604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2831.7500000000005</v>
      </c>
      <c r="D62" s="49">
        <f t="shared" si="6"/>
        <v>3.4106051316484809E-13</v>
      </c>
      <c r="E62" s="49">
        <f t="shared" si="6"/>
        <v>-6.5369931689929217E-13</v>
      </c>
      <c r="F62" s="49">
        <f t="shared" si="6"/>
        <v>-35.167107692307894</v>
      </c>
      <c r="G62" s="49">
        <f t="shared" si="6"/>
        <v>244.15726153846137</v>
      </c>
      <c r="H62" s="49">
        <f t="shared" si="6"/>
        <v>601.35478846153887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108.91346153846156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355</v>
      </c>
      <c r="B65" s="49">
        <f>SUM(B36:B61)/26</f>
        <v>134.16230769230768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356</v>
      </c>
      <c r="B66" s="38">
        <f>SUM(C36:C61)/26</f>
        <v>108.91346153846156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357</v>
      </c>
      <c r="B68" s="38">
        <f>F62/SQRT(G62*H62)</f>
        <v>-9.1777546185930856E-2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61" workbookViewId="0">
      <selection activeCell="C73" sqref="C73"/>
    </sheetView>
  </sheetViews>
  <sheetFormatPr defaultRowHeight="15" x14ac:dyDescent="0.25"/>
  <cols>
    <col min="6" max="6" width="18.1406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358</v>
      </c>
      <c r="D3" s="45" t="s">
        <v>359</v>
      </c>
      <c r="E3" s="45" t="s">
        <v>360</v>
      </c>
      <c r="F3" s="46" t="s">
        <v>361</v>
      </c>
      <c r="G3" s="45" t="s">
        <v>362</v>
      </c>
      <c r="H3" s="45" t="s">
        <v>363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53">
        <f>B4</f>
        <v>102.32</v>
      </c>
      <c r="D37" s="53">
        <f t="shared" ref="D37:D61" si="0">B37-$B$65</f>
        <v>0.70559999999997558</v>
      </c>
      <c r="E37" s="53">
        <f t="shared" ref="E37:E61" si="1">C37-$B$66</f>
        <v>-6.6872000000000185</v>
      </c>
      <c r="F37" s="4">
        <f t="shared" ref="F37:F61" si="2">D37*E37</f>
        <v>-4.7184883199998495</v>
      </c>
      <c r="G37" s="4">
        <f t="shared" ref="G37:H51" si="3">D37*D37</f>
        <v>0.49787135999996551</v>
      </c>
      <c r="H37" s="4">
        <f t="shared" si="3"/>
        <v>44.718643840000247</v>
      </c>
    </row>
    <row r="38" spans="1:8" x14ac:dyDescent="0.25">
      <c r="A38" s="38">
        <v>35</v>
      </c>
      <c r="B38" s="55">
        <v>135.69999999999999</v>
      </c>
      <c r="C38" s="53">
        <f t="shared" ref="C38:C61" si="4">B5</f>
        <v>102.21</v>
      </c>
      <c r="D38" s="53">
        <f t="shared" si="0"/>
        <v>1.4855999999999767</v>
      </c>
      <c r="E38" s="53">
        <f t="shared" si="1"/>
        <v>-6.7972000000000179</v>
      </c>
      <c r="F38" s="4">
        <f t="shared" si="2"/>
        <v>-10.097920319999869</v>
      </c>
      <c r="G38" s="4">
        <f t="shared" si="3"/>
        <v>2.2070073599999307</v>
      </c>
      <c r="H38" s="4">
        <f t="shared" si="3"/>
        <v>46.201927840000245</v>
      </c>
    </row>
    <row r="39" spans="1:8" x14ac:dyDescent="0.25">
      <c r="A39" s="38">
        <v>36</v>
      </c>
      <c r="B39" s="55">
        <v>136.13999999999999</v>
      </c>
      <c r="C39" s="53">
        <f t="shared" si="4"/>
        <v>102.16</v>
      </c>
      <c r="D39" s="53">
        <f t="shared" si="0"/>
        <v>1.9255999999999744</v>
      </c>
      <c r="E39" s="53">
        <f t="shared" si="1"/>
        <v>-6.8472000000000151</v>
      </c>
      <c r="F39" s="4">
        <f t="shared" si="2"/>
        <v>-13.184968319999854</v>
      </c>
      <c r="G39" s="4">
        <f t="shared" si="3"/>
        <v>3.7079353599999014</v>
      </c>
      <c r="H39" s="4">
        <f t="shared" si="3"/>
        <v>46.884147840000203</v>
      </c>
    </row>
    <row r="40" spans="1:8" x14ac:dyDescent="0.25">
      <c r="A40" s="38">
        <v>37</v>
      </c>
      <c r="B40" s="55">
        <v>140.15</v>
      </c>
      <c r="C40" s="53">
        <f t="shared" si="4"/>
        <v>102.06</v>
      </c>
      <c r="D40" s="53">
        <f t="shared" si="0"/>
        <v>5.9355999999999938</v>
      </c>
      <c r="E40" s="53">
        <f t="shared" si="1"/>
        <v>-6.9472000000000094</v>
      </c>
      <c r="F40" s="4">
        <f t="shared" si="2"/>
        <v>-41.23580032000001</v>
      </c>
      <c r="G40" s="4">
        <f t="shared" si="3"/>
        <v>35.231347359999923</v>
      </c>
      <c r="H40" s="4">
        <f t="shared" si="3"/>
        <v>48.263587840000127</v>
      </c>
    </row>
    <row r="41" spans="1:8" x14ac:dyDescent="0.25">
      <c r="A41" s="38">
        <v>38</v>
      </c>
      <c r="B41" s="55">
        <v>140.09</v>
      </c>
      <c r="C41" s="53">
        <f t="shared" si="4"/>
        <v>102.55</v>
      </c>
      <c r="D41" s="53">
        <f t="shared" si="0"/>
        <v>5.8755999999999915</v>
      </c>
      <c r="E41" s="53">
        <f t="shared" si="1"/>
        <v>-6.4572000000000145</v>
      </c>
      <c r="F41" s="4">
        <f t="shared" si="2"/>
        <v>-37.939924320000031</v>
      </c>
      <c r="G41" s="4">
        <f t="shared" si="3"/>
        <v>34.522675359999901</v>
      </c>
      <c r="H41" s="4">
        <f t="shared" si="3"/>
        <v>41.69543184000019</v>
      </c>
    </row>
    <row r="42" spans="1:8" x14ac:dyDescent="0.25">
      <c r="A42" s="38">
        <v>39</v>
      </c>
      <c r="B42" s="55">
        <v>139.1</v>
      </c>
      <c r="C42" s="53">
        <f t="shared" si="4"/>
        <v>104.35</v>
      </c>
      <c r="D42" s="53">
        <f t="shared" si="0"/>
        <v>4.8855999999999824</v>
      </c>
      <c r="E42" s="53">
        <f t="shared" si="1"/>
        <v>-4.6572000000000173</v>
      </c>
      <c r="F42" s="4">
        <f t="shared" si="2"/>
        <v>-22.753216320000003</v>
      </c>
      <c r="G42" s="4">
        <f t="shared" si="3"/>
        <v>23.869087359999828</v>
      </c>
      <c r="H42" s="4">
        <f t="shared" si="3"/>
        <v>21.689511840000161</v>
      </c>
    </row>
    <row r="43" spans="1:8" x14ac:dyDescent="0.25">
      <c r="A43" s="38">
        <v>40</v>
      </c>
      <c r="B43" s="55">
        <v>137.5</v>
      </c>
      <c r="C43" s="53">
        <f t="shared" si="4"/>
        <v>107.57</v>
      </c>
      <c r="D43" s="53">
        <f t="shared" si="0"/>
        <v>3.2855999999999881</v>
      </c>
      <c r="E43" s="53">
        <f t="shared" si="1"/>
        <v>-1.4372000000000185</v>
      </c>
      <c r="F43" s="4">
        <f t="shared" si="2"/>
        <v>-4.7220643200000438</v>
      </c>
      <c r="G43" s="4">
        <f t="shared" si="3"/>
        <v>10.795167359999922</v>
      </c>
      <c r="H43" s="4">
        <f t="shared" si="3"/>
        <v>2.065543840000053</v>
      </c>
    </row>
    <row r="44" spans="1:8" x14ac:dyDescent="0.25">
      <c r="A44" s="38">
        <v>41</v>
      </c>
      <c r="B44" s="55">
        <v>136.12</v>
      </c>
      <c r="C44" s="53">
        <f t="shared" si="4"/>
        <v>111.96</v>
      </c>
      <c r="D44" s="53">
        <f t="shared" si="0"/>
        <v>1.9055999999999926</v>
      </c>
      <c r="E44" s="53">
        <f t="shared" si="1"/>
        <v>2.9527999999999821</v>
      </c>
      <c r="F44" s="4">
        <f t="shared" si="2"/>
        <v>5.6268556799999443</v>
      </c>
      <c r="G44" s="4">
        <f t="shared" si="3"/>
        <v>3.6313113599999718</v>
      </c>
      <c r="H44" s="4">
        <f t="shared" si="3"/>
        <v>8.7190278399998942</v>
      </c>
    </row>
    <row r="45" spans="1:8" x14ac:dyDescent="0.25">
      <c r="A45" s="38">
        <v>42</v>
      </c>
      <c r="B45" s="55">
        <v>135.22</v>
      </c>
      <c r="C45" s="53">
        <f t="shared" si="4"/>
        <v>115.27</v>
      </c>
      <c r="D45" s="53">
        <f t="shared" si="0"/>
        <v>1.0055999999999869</v>
      </c>
      <c r="E45" s="53">
        <f t="shared" si="1"/>
        <v>6.2627999999999844</v>
      </c>
      <c r="F45" s="4">
        <f t="shared" si="2"/>
        <v>6.2978716799999024</v>
      </c>
      <c r="G45" s="4">
        <f t="shared" si="3"/>
        <v>1.0112313599999738</v>
      </c>
      <c r="H45" s="4">
        <f t="shared" si="3"/>
        <v>39.222663839999804</v>
      </c>
    </row>
    <row r="46" spans="1:8" x14ac:dyDescent="0.25">
      <c r="A46" s="38">
        <v>43</v>
      </c>
      <c r="B46" s="55">
        <v>134.72999999999999</v>
      </c>
      <c r="C46" s="53">
        <f t="shared" si="4"/>
        <v>117.17</v>
      </c>
      <c r="D46" s="53">
        <f t="shared" si="0"/>
        <v>0.51559999999997785</v>
      </c>
      <c r="E46" s="53">
        <f t="shared" si="1"/>
        <v>8.1627999999999901</v>
      </c>
      <c r="F46" s="4">
        <f t="shared" si="2"/>
        <v>4.2087396799998142</v>
      </c>
      <c r="G46" s="4">
        <f t="shared" si="3"/>
        <v>0.26584335999997716</v>
      </c>
      <c r="H46" s="4">
        <f t="shared" si="3"/>
        <v>66.631303839999845</v>
      </c>
    </row>
    <row r="47" spans="1:8" x14ac:dyDescent="0.25">
      <c r="A47" s="38">
        <v>44</v>
      </c>
      <c r="B47" s="55">
        <v>134.38999999999999</v>
      </c>
      <c r="C47" s="53">
        <f t="shared" si="4"/>
        <v>117.61</v>
      </c>
      <c r="D47" s="53">
        <f t="shared" si="0"/>
        <v>0.17559999999997444</v>
      </c>
      <c r="E47" s="53">
        <f t="shared" si="1"/>
        <v>8.6027999999999878</v>
      </c>
      <c r="F47" s="4">
        <f t="shared" si="2"/>
        <v>1.510651679999778</v>
      </c>
      <c r="G47" s="4">
        <f t="shared" si="3"/>
        <v>3.0835359999991024E-2</v>
      </c>
      <c r="H47" s="4">
        <f t="shared" si="3"/>
        <v>74.008167839999786</v>
      </c>
    </row>
    <row r="48" spans="1:8" x14ac:dyDescent="0.25">
      <c r="A48" s="38">
        <v>45</v>
      </c>
      <c r="B48" s="55">
        <v>134.51</v>
      </c>
      <c r="C48" s="53">
        <f t="shared" si="4"/>
        <v>117.26</v>
      </c>
      <c r="D48" s="53">
        <f t="shared" si="0"/>
        <v>0.29559999999997899</v>
      </c>
      <c r="E48" s="53">
        <f t="shared" si="1"/>
        <v>8.2527999999999935</v>
      </c>
      <c r="F48" s="4">
        <f t="shared" si="2"/>
        <v>2.4395276799998249</v>
      </c>
      <c r="G48" s="4">
        <f t="shared" si="3"/>
        <v>8.7379359999987583E-2</v>
      </c>
      <c r="H48" s="4">
        <f t="shared" si="3"/>
        <v>68.108707839999894</v>
      </c>
    </row>
    <row r="49" spans="1:8" x14ac:dyDescent="0.25">
      <c r="A49" s="38">
        <v>46</v>
      </c>
      <c r="B49" s="55">
        <v>134.46</v>
      </c>
      <c r="C49" s="53">
        <f t="shared" si="4"/>
        <v>115.88</v>
      </c>
      <c r="D49" s="53">
        <f t="shared" si="0"/>
        <v>0.24559999999999604</v>
      </c>
      <c r="E49" s="53">
        <f t="shared" si="1"/>
        <v>6.8727999999999838</v>
      </c>
      <c r="F49" s="4">
        <f t="shared" si="2"/>
        <v>1.6879596799999688</v>
      </c>
      <c r="G49" s="4">
        <f t="shared" si="3"/>
        <v>6.031935999999806E-2</v>
      </c>
      <c r="H49" s="4">
        <f t="shared" si="3"/>
        <v>47.23537983999978</v>
      </c>
    </row>
    <row r="50" spans="1:8" x14ac:dyDescent="0.25">
      <c r="A50" s="38">
        <v>47</v>
      </c>
      <c r="B50" s="55">
        <v>134.27000000000001</v>
      </c>
      <c r="C50" s="53">
        <f t="shared" si="4"/>
        <v>113.35</v>
      </c>
      <c r="D50" s="53">
        <f t="shared" si="0"/>
        <v>5.5599999999998317E-2</v>
      </c>
      <c r="E50" s="53">
        <f t="shared" si="1"/>
        <v>4.3427999999999827</v>
      </c>
      <c r="F50" s="4">
        <f t="shared" si="2"/>
        <v>0.24145967999999174</v>
      </c>
      <c r="G50" s="4">
        <f t="shared" si="3"/>
        <v>3.0913599999998131E-3</v>
      </c>
      <c r="H50" s="4">
        <f t="shared" si="3"/>
        <v>18.85991183999985</v>
      </c>
    </row>
    <row r="51" spans="1:8" x14ac:dyDescent="0.25">
      <c r="A51" s="38">
        <v>48</v>
      </c>
      <c r="B51" s="55">
        <v>133.72999999999999</v>
      </c>
      <c r="C51" s="53">
        <f t="shared" si="4"/>
        <v>111.39</v>
      </c>
      <c r="D51" s="53">
        <f t="shared" si="0"/>
        <v>-0.48440000000002215</v>
      </c>
      <c r="E51" s="53">
        <f t="shared" si="1"/>
        <v>2.3827999999999889</v>
      </c>
      <c r="F51" s="4">
        <f t="shared" si="2"/>
        <v>-1.1542283200000474</v>
      </c>
      <c r="G51" s="4">
        <f t="shared" si="3"/>
        <v>0.23464336000002145</v>
      </c>
      <c r="H51" s="4">
        <f t="shared" si="3"/>
        <v>5.6777358399999471</v>
      </c>
    </row>
    <row r="52" spans="1:8" x14ac:dyDescent="0.25">
      <c r="A52" s="38">
        <v>49</v>
      </c>
      <c r="B52" s="55">
        <v>132.01</v>
      </c>
      <c r="C52" s="53">
        <f t="shared" si="4"/>
        <v>109.76</v>
      </c>
      <c r="D52" s="53">
        <f t="shared" si="0"/>
        <v>-2.204400000000021</v>
      </c>
      <c r="E52" s="53">
        <f t="shared" si="1"/>
        <v>0.75279999999999347</v>
      </c>
      <c r="F52" s="4">
        <f t="shared" si="2"/>
        <v>-1.6594723200000014</v>
      </c>
      <c r="G52" s="4">
        <f t="shared" ref="G52:H61" si="5">D52*D52</f>
        <v>4.8593793600000925</v>
      </c>
      <c r="H52" s="4">
        <f t="shared" si="5"/>
        <v>0.56670783999999019</v>
      </c>
    </row>
    <row r="53" spans="1:8" x14ac:dyDescent="0.25">
      <c r="A53" s="38">
        <v>50</v>
      </c>
      <c r="B53" s="55">
        <v>130.59</v>
      </c>
      <c r="C53" s="53">
        <f t="shared" si="4"/>
        <v>109.5</v>
      </c>
      <c r="D53" s="53">
        <f t="shared" si="0"/>
        <v>-3.6244000000000085</v>
      </c>
      <c r="E53" s="53">
        <f t="shared" si="1"/>
        <v>0.49279999999998836</v>
      </c>
      <c r="F53" s="4">
        <f t="shared" si="2"/>
        <v>-1.786104319999962</v>
      </c>
      <c r="G53" s="4">
        <f t="shared" si="5"/>
        <v>13.136275360000061</v>
      </c>
      <c r="H53" s="4">
        <f t="shared" si="5"/>
        <v>0.24285183999998852</v>
      </c>
    </row>
    <row r="54" spans="1:8" x14ac:dyDescent="0.25">
      <c r="A54" s="38">
        <v>51</v>
      </c>
      <c r="B54" s="55">
        <v>130.28</v>
      </c>
      <c r="C54" s="53">
        <f t="shared" si="4"/>
        <v>108.86</v>
      </c>
      <c r="D54" s="53">
        <f t="shared" si="0"/>
        <v>-3.9344000000000108</v>
      </c>
      <c r="E54" s="53">
        <f t="shared" si="1"/>
        <v>-0.14720000000001221</v>
      </c>
      <c r="F54" s="4">
        <f t="shared" si="2"/>
        <v>0.57914368000004968</v>
      </c>
      <c r="G54" s="4">
        <f t="shared" si="5"/>
        <v>15.479503360000084</v>
      </c>
      <c r="H54" s="4">
        <f t="shared" si="5"/>
        <v>2.1667840000003595E-2</v>
      </c>
    </row>
    <row r="55" spans="1:8" x14ac:dyDescent="0.25">
      <c r="A55" s="38">
        <v>52</v>
      </c>
      <c r="B55" s="55">
        <v>129.16</v>
      </c>
      <c r="C55" s="53">
        <f t="shared" si="4"/>
        <v>108.49</v>
      </c>
      <c r="D55" s="53">
        <f t="shared" si="0"/>
        <v>-5.0544000000000153</v>
      </c>
      <c r="E55" s="53">
        <f t="shared" si="1"/>
        <v>-0.51720000000001676</v>
      </c>
      <c r="F55" s="4">
        <f t="shared" si="2"/>
        <v>2.6141356800000928</v>
      </c>
      <c r="G55" s="4">
        <f t="shared" si="5"/>
        <v>25.546959360000155</v>
      </c>
      <c r="H55" s="4">
        <f t="shared" si="5"/>
        <v>0.26749584000001736</v>
      </c>
    </row>
    <row r="56" spans="1:8" x14ac:dyDescent="0.25">
      <c r="A56" s="38">
        <v>53</v>
      </c>
      <c r="B56" s="55">
        <v>128.94</v>
      </c>
      <c r="C56" s="53">
        <f t="shared" si="4"/>
        <v>108.36</v>
      </c>
      <c r="D56" s="53">
        <f t="shared" si="0"/>
        <v>-5.2744000000000142</v>
      </c>
      <c r="E56" s="53">
        <f t="shared" si="1"/>
        <v>-0.64720000000001221</v>
      </c>
      <c r="F56" s="4">
        <f t="shared" si="2"/>
        <v>3.4135916800000734</v>
      </c>
      <c r="G56" s="4">
        <f t="shared" si="5"/>
        <v>27.819295360000151</v>
      </c>
      <c r="H56" s="4">
        <f t="shared" si="5"/>
        <v>0.41886784000001581</v>
      </c>
    </row>
    <row r="57" spans="1:8" x14ac:dyDescent="0.25">
      <c r="A57" s="38">
        <v>54</v>
      </c>
      <c r="B57" s="55">
        <v>129.30000000000001</v>
      </c>
      <c r="C57" s="53">
        <f t="shared" si="4"/>
        <v>108.19</v>
      </c>
      <c r="D57" s="53">
        <f t="shared" si="0"/>
        <v>-4.9144000000000005</v>
      </c>
      <c r="E57" s="53">
        <f t="shared" si="1"/>
        <v>-0.81720000000001392</v>
      </c>
      <c r="F57" s="4">
        <f t="shared" si="2"/>
        <v>4.0160476800000691</v>
      </c>
      <c r="G57" s="4">
        <f t="shared" si="5"/>
        <v>24.151327360000007</v>
      </c>
      <c r="H57" s="4">
        <f t="shared" si="5"/>
        <v>0.6678158400000227</v>
      </c>
    </row>
    <row r="58" spans="1:8" x14ac:dyDescent="0.25">
      <c r="A58" s="38">
        <v>55</v>
      </c>
      <c r="B58" s="55">
        <v>131.22</v>
      </c>
      <c r="C58" s="53">
        <f t="shared" si="4"/>
        <v>107.8</v>
      </c>
      <c r="D58" s="53">
        <f t="shared" si="0"/>
        <v>-2.9944000000000131</v>
      </c>
      <c r="E58" s="53">
        <f t="shared" si="1"/>
        <v>-1.2072000000000145</v>
      </c>
      <c r="F58" s="4">
        <f t="shared" si="2"/>
        <v>3.6148396800000593</v>
      </c>
      <c r="G58" s="4">
        <f t="shared" si="5"/>
        <v>8.9664313600000778</v>
      </c>
      <c r="H58" s="4">
        <f t="shared" si="5"/>
        <v>1.457331840000035</v>
      </c>
    </row>
    <row r="59" spans="1:8" x14ac:dyDescent="0.25">
      <c r="A59" s="38">
        <v>56</v>
      </c>
      <c r="B59" s="55">
        <v>132.52000000000001</v>
      </c>
      <c r="C59" s="53">
        <f t="shared" si="4"/>
        <v>107.47</v>
      </c>
      <c r="D59" s="53">
        <f t="shared" si="0"/>
        <v>-1.6944000000000017</v>
      </c>
      <c r="E59" s="53">
        <f t="shared" si="1"/>
        <v>-1.5372000000000128</v>
      </c>
      <c r="F59" s="4">
        <f t="shared" si="2"/>
        <v>2.6046316800000242</v>
      </c>
      <c r="G59" s="4">
        <f t="shared" si="5"/>
        <v>2.8709913600000059</v>
      </c>
      <c r="H59" s="4">
        <f t="shared" si="5"/>
        <v>2.3629838400000391</v>
      </c>
    </row>
    <row r="60" spans="1:8" x14ac:dyDescent="0.25">
      <c r="A60" s="38">
        <v>57</v>
      </c>
      <c r="B60" s="55">
        <v>134.25</v>
      </c>
      <c r="C60" s="53">
        <f t="shared" si="4"/>
        <v>107.03</v>
      </c>
      <c r="D60" s="53">
        <f t="shared" si="0"/>
        <v>3.5599999999988086E-2</v>
      </c>
      <c r="E60" s="53">
        <f t="shared" si="1"/>
        <v>-1.9772000000000105</v>
      </c>
      <c r="F60" s="4">
        <f t="shared" si="2"/>
        <v>-7.0388319999976814E-2</v>
      </c>
      <c r="G60" s="4">
        <f t="shared" si="5"/>
        <v>1.2673599999991516E-3</v>
      </c>
      <c r="H60" s="4">
        <f t="shared" si="5"/>
        <v>3.9093198400000415</v>
      </c>
    </row>
    <row r="61" spans="1:8" x14ac:dyDescent="0.25">
      <c r="A61" s="38">
        <v>58</v>
      </c>
      <c r="B61" s="55">
        <v>136.06</v>
      </c>
      <c r="C61" s="53">
        <f t="shared" si="4"/>
        <v>106.61</v>
      </c>
      <c r="D61" s="53">
        <f t="shared" si="0"/>
        <v>1.8455999999999904</v>
      </c>
      <c r="E61" s="53">
        <f t="shared" si="1"/>
        <v>-2.3972000000000122</v>
      </c>
      <c r="F61" s="4">
        <f t="shared" si="2"/>
        <v>-4.4242723199999991</v>
      </c>
      <c r="G61" s="4">
        <f t="shared" si="5"/>
        <v>3.4062393599999643</v>
      </c>
      <c r="H61" s="4">
        <f t="shared" si="5"/>
        <v>5.7465678400000586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2725.1800000000003</v>
      </c>
      <c r="D62" s="49">
        <f t="shared" si="6"/>
        <v>-3.4106051316484809E-13</v>
      </c>
      <c r="E62" s="49">
        <f t="shared" si="6"/>
        <v>-3.4106051316484809E-13</v>
      </c>
      <c r="F62" s="49">
        <f t="shared" si="6"/>
        <v>-104.89139200000008</v>
      </c>
      <c r="G62" s="49">
        <f t="shared" si="6"/>
        <v>242.39341599999989</v>
      </c>
      <c r="H62" s="49">
        <f t="shared" si="6"/>
        <v>595.64330400000017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109.00720000000001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364</v>
      </c>
      <c r="B65" s="49">
        <f>SUM(B37:B61)/25</f>
        <v>134.21440000000001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365</v>
      </c>
      <c r="B66" s="38">
        <f>SUM(C37:C61)/25</f>
        <v>109.00720000000001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366</v>
      </c>
      <c r="B68" s="38">
        <f>F62/SQRT(G62*H62)</f>
        <v>-0.27604908207666873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62" workbookViewId="0">
      <selection activeCell="C73" sqref="C73"/>
    </sheetView>
  </sheetViews>
  <sheetFormatPr defaultRowHeight="15" x14ac:dyDescent="0.25"/>
  <cols>
    <col min="6" max="6" width="18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367</v>
      </c>
      <c r="D3" s="45" t="s">
        <v>368</v>
      </c>
      <c r="E3" s="45" t="s">
        <v>369</v>
      </c>
      <c r="F3" s="46" t="s">
        <v>370</v>
      </c>
      <c r="G3" s="45" t="s">
        <v>371</v>
      </c>
      <c r="H3" s="45" t="s">
        <v>372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53">
        <f>B4</f>
        <v>102.32</v>
      </c>
      <c r="D38" s="53">
        <f t="shared" ref="D38:D61" si="0">B38-$B$65</f>
        <v>1.5149999999999864</v>
      </c>
      <c r="E38" s="53">
        <f t="shared" ref="E38:E61" si="1">C38-$B$66</f>
        <v>-6.7870833333333422</v>
      </c>
      <c r="F38" s="4">
        <f t="shared" ref="F38:F61" si="2">D38*E38</f>
        <v>-10.28243124999992</v>
      </c>
      <c r="G38" s="4">
        <f t="shared" ref="G38:H52" si="3">D38*D38</f>
        <v>2.2952249999999585</v>
      </c>
      <c r="H38" s="4">
        <f t="shared" si="3"/>
        <v>46.064500173611229</v>
      </c>
    </row>
    <row r="39" spans="1:8" x14ac:dyDescent="0.25">
      <c r="A39" s="38">
        <v>36</v>
      </c>
      <c r="B39" s="55">
        <v>136.13999999999999</v>
      </c>
      <c r="C39" s="53">
        <f t="shared" ref="C39:C61" si="4">B5</f>
        <v>102.21</v>
      </c>
      <c r="D39" s="53">
        <f t="shared" si="0"/>
        <v>1.9549999999999841</v>
      </c>
      <c r="E39" s="53">
        <f t="shared" si="1"/>
        <v>-6.8970833333333417</v>
      </c>
      <c r="F39" s="4">
        <f t="shared" si="2"/>
        <v>-13.483797916666573</v>
      </c>
      <c r="G39" s="4">
        <f t="shared" si="3"/>
        <v>3.8220249999999378</v>
      </c>
      <c r="H39" s="4">
        <f t="shared" si="3"/>
        <v>47.569758506944559</v>
      </c>
    </row>
    <row r="40" spans="1:8" x14ac:dyDescent="0.25">
      <c r="A40" s="38">
        <v>37</v>
      </c>
      <c r="B40" s="55">
        <v>140.15</v>
      </c>
      <c r="C40" s="53">
        <f t="shared" si="4"/>
        <v>102.16</v>
      </c>
      <c r="D40" s="53">
        <f t="shared" si="0"/>
        <v>5.9650000000000034</v>
      </c>
      <c r="E40" s="53">
        <f t="shared" si="1"/>
        <v>-6.9470833333333388</v>
      </c>
      <c r="F40" s="4">
        <f t="shared" si="2"/>
        <v>-41.439352083333389</v>
      </c>
      <c r="G40" s="4">
        <f t="shared" si="3"/>
        <v>35.581225000000039</v>
      </c>
      <c r="H40" s="4">
        <f t="shared" si="3"/>
        <v>48.261966840277857</v>
      </c>
    </row>
    <row r="41" spans="1:8" x14ac:dyDescent="0.25">
      <c r="A41" s="38">
        <v>38</v>
      </c>
      <c r="B41" s="55">
        <v>140.09</v>
      </c>
      <c r="C41" s="53">
        <f t="shared" si="4"/>
        <v>102.06</v>
      </c>
      <c r="D41" s="53">
        <f t="shared" si="0"/>
        <v>5.9050000000000011</v>
      </c>
      <c r="E41" s="53">
        <f t="shared" si="1"/>
        <v>-7.0470833333333331</v>
      </c>
      <c r="F41" s="4">
        <f t="shared" si="2"/>
        <v>-41.613027083333343</v>
      </c>
      <c r="G41" s="4">
        <f t="shared" si="3"/>
        <v>34.869025000000015</v>
      </c>
      <c r="H41" s="4">
        <f t="shared" si="3"/>
        <v>49.661383506944439</v>
      </c>
    </row>
    <row r="42" spans="1:8" x14ac:dyDescent="0.25">
      <c r="A42" s="38">
        <v>39</v>
      </c>
      <c r="B42" s="55">
        <v>139.1</v>
      </c>
      <c r="C42" s="53">
        <f t="shared" si="4"/>
        <v>102.55</v>
      </c>
      <c r="D42" s="53">
        <f t="shared" si="0"/>
        <v>4.914999999999992</v>
      </c>
      <c r="E42" s="53">
        <f t="shared" si="1"/>
        <v>-6.5570833333333383</v>
      </c>
      <c r="F42" s="4">
        <f t="shared" si="2"/>
        <v>-32.228064583333307</v>
      </c>
      <c r="G42" s="4">
        <f t="shared" si="3"/>
        <v>24.157224999999922</v>
      </c>
      <c r="H42" s="4">
        <f t="shared" si="3"/>
        <v>42.995341840277845</v>
      </c>
    </row>
    <row r="43" spans="1:8" x14ac:dyDescent="0.25">
      <c r="A43" s="38">
        <v>40</v>
      </c>
      <c r="B43" s="55">
        <v>137.5</v>
      </c>
      <c r="C43" s="53">
        <f t="shared" si="4"/>
        <v>104.35</v>
      </c>
      <c r="D43" s="53">
        <f t="shared" si="0"/>
        <v>3.3149999999999977</v>
      </c>
      <c r="E43" s="53">
        <f t="shared" si="1"/>
        <v>-4.7570833333333411</v>
      </c>
      <c r="F43" s="4">
        <f t="shared" si="2"/>
        <v>-15.769731250000016</v>
      </c>
      <c r="G43" s="4">
        <f t="shared" si="3"/>
        <v>10.989224999999985</v>
      </c>
      <c r="H43" s="4">
        <f t="shared" si="3"/>
        <v>22.629841840277852</v>
      </c>
    </row>
    <row r="44" spans="1:8" x14ac:dyDescent="0.25">
      <c r="A44" s="38">
        <v>41</v>
      </c>
      <c r="B44" s="55">
        <v>136.12</v>
      </c>
      <c r="C44" s="53">
        <f t="shared" si="4"/>
        <v>107.57</v>
      </c>
      <c r="D44" s="53">
        <f t="shared" si="0"/>
        <v>1.9350000000000023</v>
      </c>
      <c r="E44" s="53">
        <f t="shared" si="1"/>
        <v>-1.5370833333333422</v>
      </c>
      <c r="F44" s="4">
        <f t="shared" si="2"/>
        <v>-2.9742562500000207</v>
      </c>
      <c r="G44" s="4">
        <f t="shared" si="3"/>
        <v>3.744225000000009</v>
      </c>
      <c r="H44" s="4">
        <f t="shared" si="3"/>
        <v>2.3626251736111383</v>
      </c>
    </row>
    <row r="45" spans="1:8" x14ac:dyDescent="0.25">
      <c r="A45" s="38">
        <v>42</v>
      </c>
      <c r="B45" s="55">
        <v>135.22</v>
      </c>
      <c r="C45" s="53">
        <f t="shared" si="4"/>
        <v>111.96</v>
      </c>
      <c r="D45" s="53">
        <f t="shared" si="0"/>
        <v>1.0349999999999966</v>
      </c>
      <c r="E45" s="53">
        <f t="shared" si="1"/>
        <v>2.8529166666666583</v>
      </c>
      <c r="F45" s="4">
        <f t="shared" si="2"/>
        <v>2.9527687499999815</v>
      </c>
      <c r="G45" s="4">
        <f t="shared" si="3"/>
        <v>1.071224999999993</v>
      </c>
      <c r="H45" s="4">
        <f t="shared" si="3"/>
        <v>8.1391335069443969</v>
      </c>
    </row>
    <row r="46" spans="1:8" x14ac:dyDescent="0.25">
      <c r="A46" s="38">
        <v>43</v>
      </c>
      <c r="B46" s="55">
        <v>134.72999999999999</v>
      </c>
      <c r="C46" s="53">
        <f t="shared" si="4"/>
        <v>115.27</v>
      </c>
      <c r="D46" s="53">
        <f t="shared" si="0"/>
        <v>0.54499999999998749</v>
      </c>
      <c r="E46" s="53">
        <f t="shared" si="1"/>
        <v>6.1629166666666606</v>
      </c>
      <c r="F46" s="4">
        <f t="shared" si="2"/>
        <v>3.3587895833332531</v>
      </c>
      <c r="G46" s="4">
        <f t="shared" si="3"/>
        <v>0.29702499999998638</v>
      </c>
      <c r="H46" s="4">
        <f t="shared" si="3"/>
        <v>37.9815418402777</v>
      </c>
    </row>
    <row r="47" spans="1:8" x14ac:dyDescent="0.25">
      <c r="A47" s="38">
        <v>44</v>
      </c>
      <c r="B47" s="55">
        <v>134.38999999999999</v>
      </c>
      <c r="C47" s="53">
        <f t="shared" si="4"/>
        <v>117.17</v>
      </c>
      <c r="D47" s="53">
        <f t="shared" si="0"/>
        <v>0.20499999999998408</v>
      </c>
      <c r="E47" s="53">
        <f t="shared" si="1"/>
        <v>8.0629166666666663</v>
      </c>
      <c r="F47" s="4">
        <f t="shared" si="2"/>
        <v>1.6528979166665383</v>
      </c>
      <c r="G47" s="4">
        <f t="shared" si="3"/>
        <v>4.2024999999993477E-2</v>
      </c>
      <c r="H47" s="4">
        <f t="shared" si="3"/>
        <v>65.010625173611103</v>
      </c>
    </row>
    <row r="48" spans="1:8" x14ac:dyDescent="0.25">
      <c r="A48" s="38">
        <v>45</v>
      </c>
      <c r="B48" s="55">
        <v>134.51</v>
      </c>
      <c r="C48" s="53">
        <f t="shared" si="4"/>
        <v>117.61</v>
      </c>
      <c r="D48" s="53">
        <f t="shared" si="0"/>
        <v>0.32499999999998863</v>
      </c>
      <c r="E48" s="53">
        <f t="shared" si="1"/>
        <v>8.502916666666664</v>
      </c>
      <c r="F48" s="4">
        <f t="shared" si="2"/>
        <v>2.7634479166665691</v>
      </c>
      <c r="G48" s="4">
        <f t="shared" si="3"/>
        <v>0.10562499999999261</v>
      </c>
      <c r="H48" s="4">
        <f t="shared" si="3"/>
        <v>72.299591840277728</v>
      </c>
    </row>
    <row r="49" spans="1:8" x14ac:dyDescent="0.25">
      <c r="A49" s="38">
        <v>46</v>
      </c>
      <c r="B49" s="55">
        <v>134.46</v>
      </c>
      <c r="C49" s="53">
        <f t="shared" si="4"/>
        <v>117.26</v>
      </c>
      <c r="D49" s="53">
        <f t="shared" si="0"/>
        <v>0.27500000000000568</v>
      </c>
      <c r="E49" s="53">
        <f t="shared" si="1"/>
        <v>8.1529166666666697</v>
      </c>
      <c r="F49" s="4">
        <f t="shared" si="2"/>
        <v>2.2420520833333804</v>
      </c>
      <c r="G49" s="4">
        <f t="shared" si="3"/>
        <v>7.562500000000312E-2</v>
      </c>
      <c r="H49" s="4">
        <f t="shared" si="3"/>
        <v>66.470050173611156</v>
      </c>
    </row>
    <row r="50" spans="1:8" x14ac:dyDescent="0.25">
      <c r="A50" s="38">
        <v>47</v>
      </c>
      <c r="B50" s="55">
        <v>134.27000000000001</v>
      </c>
      <c r="C50" s="53">
        <f t="shared" si="4"/>
        <v>115.88</v>
      </c>
      <c r="D50" s="53">
        <f t="shared" si="0"/>
        <v>8.5000000000007958E-2</v>
      </c>
      <c r="E50" s="53">
        <f t="shared" si="1"/>
        <v>6.77291666666666</v>
      </c>
      <c r="F50" s="4">
        <f t="shared" si="2"/>
        <v>0.57569791666671999</v>
      </c>
      <c r="G50" s="4">
        <f t="shared" si="3"/>
        <v>7.2250000000013527E-3</v>
      </c>
      <c r="H50" s="4">
        <f t="shared" si="3"/>
        <v>45.87240017361102</v>
      </c>
    </row>
    <row r="51" spans="1:8" x14ac:dyDescent="0.25">
      <c r="A51" s="38">
        <v>48</v>
      </c>
      <c r="B51" s="55">
        <v>133.72999999999999</v>
      </c>
      <c r="C51" s="53">
        <f t="shared" si="4"/>
        <v>113.35</v>
      </c>
      <c r="D51" s="53">
        <f t="shared" si="0"/>
        <v>-0.45500000000001251</v>
      </c>
      <c r="E51" s="53">
        <f t="shared" si="1"/>
        <v>4.2429166666666589</v>
      </c>
      <c r="F51" s="4">
        <f t="shared" si="2"/>
        <v>-1.930527083333383</v>
      </c>
      <c r="G51" s="4">
        <f t="shared" si="3"/>
        <v>0.20702500000001137</v>
      </c>
      <c r="H51" s="4">
        <f t="shared" si="3"/>
        <v>18.002341840277712</v>
      </c>
    </row>
    <row r="52" spans="1:8" x14ac:dyDescent="0.25">
      <c r="A52" s="38">
        <v>49</v>
      </c>
      <c r="B52" s="55">
        <v>132.01</v>
      </c>
      <c r="C52" s="53">
        <f t="shared" si="4"/>
        <v>111.39</v>
      </c>
      <c r="D52" s="53">
        <f t="shared" si="0"/>
        <v>-2.1750000000000114</v>
      </c>
      <c r="E52" s="53">
        <f t="shared" si="1"/>
        <v>2.2829166666666652</v>
      </c>
      <c r="F52" s="4">
        <f t="shared" si="2"/>
        <v>-4.9653437500000228</v>
      </c>
      <c r="G52" s="4">
        <f t="shared" si="3"/>
        <v>4.7306250000000496</v>
      </c>
      <c r="H52" s="4">
        <f t="shared" si="3"/>
        <v>5.2117085069444373</v>
      </c>
    </row>
    <row r="53" spans="1:8" x14ac:dyDescent="0.25">
      <c r="A53" s="38">
        <v>50</v>
      </c>
      <c r="B53" s="55">
        <v>130.59</v>
      </c>
      <c r="C53" s="53">
        <f t="shared" si="4"/>
        <v>109.76</v>
      </c>
      <c r="D53" s="53">
        <f t="shared" si="0"/>
        <v>-3.5949999999999989</v>
      </c>
      <c r="E53" s="53">
        <f t="shared" si="1"/>
        <v>0.6529166666666697</v>
      </c>
      <c r="F53" s="4">
        <f t="shared" si="2"/>
        <v>-2.3472354166666767</v>
      </c>
      <c r="G53" s="4">
        <f t="shared" ref="G53:H61" si="5">D53*D53</f>
        <v>12.924024999999991</v>
      </c>
      <c r="H53" s="4">
        <f t="shared" si="5"/>
        <v>0.42630017361111505</v>
      </c>
    </row>
    <row r="54" spans="1:8" x14ac:dyDescent="0.25">
      <c r="A54" s="38">
        <v>51</v>
      </c>
      <c r="B54" s="55">
        <v>130.28</v>
      </c>
      <c r="C54" s="53">
        <f t="shared" si="4"/>
        <v>109.5</v>
      </c>
      <c r="D54" s="53">
        <f t="shared" si="0"/>
        <v>-3.9050000000000011</v>
      </c>
      <c r="E54" s="53">
        <f t="shared" si="1"/>
        <v>0.39291666666666458</v>
      </c>
      <c r="F54" s="4">
        <f t="shared" si="2"/>
        <v>-1.5343395833333255</v>
      </c>
      <c r="G54" s="4">
        <f t="shared" si="5"/>
        <v>15.249025000000008</v>
      </c>
      <c r="H54" s="4">
        <f t="shared" si="5"/>
        <v>0.15438350694444281</v>
      </c>
    </row>
    <row r="55" spans="1:8" x14ac:dyDescent="0.25">
      <c r="A55" s="38">
        <v>52</v>
      </c>
      <c r="B55" s="55">
        <v>129.16</v>
      </c>
      <c r="C55" s="53">
        <f t="shared" si="4"/>
        <v>108.86</v>
      </c>
      <c r="D55" s="53">
        <f t="shared" si="0"/>
        <v>-5.0250000000000057</v>
      </c>
      <c r="E55" s="53">
        <f t="shared" si="1"/>
        <v>-0.24708333333333599</v>
      </c>
      <c r="F55" s="4">
        <f t="shared" si="2"/>
        <v>1.2415937500000147</v>
      </c>
      <c r="G55" s="4">
        <f t="shared" si="5"/>
        <v>25.250625000000056</v>
      </c>
      <c r="H55" s="4">
        <f t="shared" si="5"/>
        <v>6.1050173611112424E-2</v>
      </c>
    </row>
    <row r="56" spans="1:8" x14ac:dyDescent="0.25">
      <c r="A56" s="38">
        <v>53</v>
      </c>
      <c r="B56" s="55">
        <v>128.94</v>
      </c>
      <c r="C56" s="53">
        <f t="shared" si="4"/>
        <v>108.49</v>
      </c>
      <c r="D56" s="53">
        <f t="shared" si="0"/>
        <v>-5.2450000000000045</v>
      </c>
      <c r="E56" s="53">
        <f t="shared" si="1"/>
        <v>-0.61708333333334053</v>
      </c>
      <c r="F56" s="4">
        <f t="shared" si="2"/>
        <v>3.236602083333374</v>
      </c>
      <c r="G56" s="4">
        <f t="shared" si="5"/>
        <v>27.510025000000049</v>
      </c>
      <c r="H56" s="4">
        <f t="shared" si="5"/>
        <v>0.38079184027778668</v>
      </c>
    </row>
    <row r="57" spans="1:8" x14ac:dyDescent="0.25">
      <c r="A57" s="38">
        <v>54</v>
      </c>
      <c r="B57" s="55">
        <v>129.30000000000001</v>
      </c>
      <c r="C57" s="53">
        <f t="shared" si="4"/>
        <v>108.36</v>
      </c>
      <c r="D57" s="53">
        <f t="shared" si="0"/>
        <v>-4.8849999999999909</v>
      </c>
      <c r="E57" s="53">
        <f t="shared" si="1"/>
        <v>-0.74708333333333599</v>
      </c>
      <c r="F57" s="4">
        <f t="shared" si="2"/>
        <v>3.6495020833333394</v>
      </c>
      <c r="G57" s="4">
        <f t="shared" si="5"/>
        <v>23.863224999999911</v>
      </c>
      <c r="H57" s="4">
        <f t="shared" si="5"/>
        <v>0.55813350694444841</v>
      </c>
    </row>
    <row r="58" spans="1:8" x14ac:dyDescent="0.25">
      <c r="A58" s="38">
        <v>55</v>
      </c>
      <c r="B58" s="55">
        <v>131.22</v>
      </c>
      <c r="C58" s="53">
        <f t="shared" si="4"/>
        <v>108.19</v>
      </c>
      <c r="D58" s="53">
        <f t="shared" si="0"/>
        <v>-2.9650000000000034</v>
      </c>
      <c r="E58" s="53">
        <f t="shared" si="1"/>
        <v>-0.91708333333333769</v>
      </c>
      <c r="F58" s="4">
        <f t="shared" si="2"/>
        <v>2.7191520833333493</v>
      </c>
      <c r="G58" s="4">
        <f t="shared" si="5"/>
        <v>8.7912250000000203</v>
      </c>
      <c r="H58" s="4">
        <f t="shared" si="5"/>
        <v>0.84104184027778572</v>
      </c>
    </row>
    <row r="59" spans="1:8" x14ac:dyDescent="0.25">
      <c r="A59" s="38">
        <v>56</v>
      </c>
      <c r="B59" s="55">
        <v>132.52000000000001</v>
      </c>
      <c r="C59" s="53">
        <f t="shared" si="4"/>
        <v>107.8</v>
      </c>
      <c r="D59" s="53">
        <f t="shared" si="0"/>
        <v>-1.664999999999992</v>
      </c>
      <c r="E59" s="53">
        <f t="shared" si="1"/>
        <v>-1.3070833333333383</v>
      </c>
      <c r="F59" s="4">
        <f t="shared" si="2"/>
        <v>2.1762937499999979</v>
      </c>
      <c r="G59" s="4">
        <f t="shared" si="5"/>
        <v>2.7722249999999735</v>
      </c>
      <c r="H59" s="4">
        <f t="shared" si="5"/>
        <v>1.7084668402777907</v>
      </c>
    </row>
    <row r="60" spans="1:8" x14ac:dyDescent="0.25">
      <c r="A60" s="38">
        <v>57</v>
      </c>
      <c r="B60" s="55">
        <v>134.25</v>
      </c>
      <c r="C60" s="53">
        <f t="shared" si="4"/>
        <v>107.47</v>
      </c>
      <c r="D60" s="53">
        <f t="shared" si="0"/>
        <v>6.4999999999997726E-2</v>
      </c>
      <c r="E60" s="53">
        <f t="shared" si="1"/>
        <v>-1.6370833333333366</v>
      </c>
      <c r="F60" s="4">
        <f t="shared" si="2"/>
        <v>-0.10641041666666315</v>
      </c>
      <c r="G60" s="4">
        <f t="shared" si="5"/>
        <v>4.2249999999997047E-3</v>
      </c>
      <c r="H60" s="4">
        <f t="shared" si="5"/>
        <v>2.6800418402777884</v>
      </c>
    </row>
    <row r="61" spans="1:8" x14ac:dyDescent="0.25">
      <c r="A61" s="38">
        <v>58</v>
      </c>
      <c r="B61" s="55">
        <v>136.06</v>
      </c>
      <c r="C61" s="53">
        <f t="shared" si="4"/>
        <v>107.03</v>
      </c>
      <c r="D61" s="53">
        <f t="shared" si="0"/>
        <v>1.875</v>
      </c>
      <c r="E61" s="53">
        <f t="shared" si="1"/>
        <v>-2.0770833333333343</v>
      </c>
      <c r="F61" s="4">
        <f t="shared" si="2"/>
        <v>-3.8945312500000018</v>
      </c>
      <c r="G61" s="4">
        <f t="shared" si="5"/>
        <v>3.515625</v>
      </c>
      <c r="H61" s="4">
        <f t="shared" si="5"/>
        <v>4.3142751736111151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2618.5700000000002</v>
      </c>
      <c r="D62" s="49">
        <f t="shared" si="6"/>
        <v>-8.5265128291212022E-14</v>
      </c>
      <c r="E62" s="49">
        <f t="shared" si="6"/>
        <v>-9.9475983006414026E-14</v>
      </c>
      <c r="F62" s="49">
        <f t="shared" si="6"/>
        <v>-146.00025000000011</v>
      </c>
      <c r="G62" s="49">
        <f t="shared" si="6"/>
        <v>241.87479999999994</v>
      </c>
      <c r="H62" s="49">
        <f t="shared" si="6"/>
        <v>589.65729583333359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109.10708333333334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373</v>
      </c>
      <c r="B65" s="49">
        <f>SUM(B38:B61)/24</f>
        <v>134.185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374</v>
      </c>
      <c r="B66" s="38">
        <f>SUM(C38:C61)/24</f>
        <v>109.10708333333334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375</v>
      </c>
      <c r="B68" s="38">
        <f>F62/SQRT(G62*H62)</f>
        <v>-0.38659697331235243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4" workbookViewId="0">
      <selection activeCell="D72" sqref="D72"/>
    </sheetView>
  </sheetViews>
  <sheetFormatPr defaultRowHeight="15" x14ac:dyDescent="0.25"/>
  <cols>
    <col min="6" max="6" width="18.42578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376</v>
      </c>
      <c r="D3" s="45" t="s">
        <v>377</v>
      </c>
      <c r="E3" s="45" t="s">
        <v>378</v>
      </c>
      <c r="F3" s="46" t="s">
        <v>379</v>
      </c>
      <c r="G3" s="45" t="s">
        <v>380</v>
      </c>
      <c r="H3" s="45" t="s">
        <v>381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53">
        <f>B4</f>
        <v>102.32</v>
      </c>
      <c r="D39" s="53">
        <f t="shared" ref="D39:D61" si="0">B39-$B$65</f>
        <v>2.0208695652173958</v>
      </c>
      <c r="E39" s="53">
        <f t="shared" ref="E39:E61" si="1">C39-$B$66</f>
        <v>-6.8773913043478245</v>
      </c>
      <c r="F39" s="4">
        <f t="shared" ref="F39:F61" si="2">D39*E39</f>
        <v>-13.898310775047287</v>
      </c>
      <c r="G39" s="4">
        <f t="shared" ref="G39:H53" si="3">D39*D39</f>
        <v>4.0839137996219463</v>
      </c>
      <c r="H39" s="4">
        <f t="shared" si="3"/>
        <v>47.298511153119073</v>
      </c>
    </row>
    <row r="40" spans="1:8" x14ac:dyDescent="0.25">
      <c r="A40" s="38">
        <v>37</v>
      </c>
      <c r="B40" s="55">
        <v>140.15</v>
      </c>
      <c r="C40" s="53">
        <f t="shared" ref="C40:C61" si="4">B5</f>
        <v>102.21</v>
      </c>
      <c r="D40" s="53">
        <f t="shared" si="0"/>
        <v>6.0308695652174151</v>
      </c>
      <c r="E40" s="53">
        <f t="shared" si="1"/>
        <v>-6.987391304347824</v>
      </c>
      <c r="F40" s="4">
        <f t="shared" si="2"/>
        <v>-42.140045557656109</v>
      </c>
      <c r="G40" s="4">
        <f t="shared" si="3"/>
        <v>36.371387712665694</v>
      </c>
      <c r="H40" s="4">
        <f t="shared" si="3"/>
        <v>48.823637240075584</v>
      </c>
    </row>
    <row r="41" spans="1:8" x14ac:dyDescent="0.25">
      <c r="A41" s="38">
        <v>38</v>
      </c>
      <c r="B41" s="55">
        <v>140.09</v>
      </c>
      <c r="C41" s="53">
        <f t="shared" si="4"/>
        <v>102.16</v>
      </c>
      <c r="D41" s="53">
        <f t="shared" si="0"/>
        <v>5.9708695652174129</v>
      </c>
      <c r="E41" s="53">
        <f t="shared" si="1"/>
        <v>-7.0373913043478211</v>
      </c>
      <c r="F41" s="4">
        <f t="shared" si="2"/>
        <v>-42.019345557656074</v>
      </c>
      <c r="G41" s="4">
        <f t="shared" si="3"/>
        <v>35.651283364839578</v>
      </c>
      <c r="H41" s="4">
        <f t="shared" si="3"/>
        <v>49.524876370510327</v>
      </c>
    </row>
    <row r="42" spans="1:8" x14ac:dyDescent="0.25">
      <c r="A42" s="38">
        <v>39</v>
      </c>
      <c r="B42" s="55">
        <v>139.1</v>
      </c>
      <c r="C42" s="53">
        <f t="shared" si="4"/>
        <v>102.06</v>
      </c>
      <c r="D42" s="53">
        <f t="shared" si="0"/>
        <v>4.9808695652174038</v>
      </c>
      <c r="E42" s="53">
        <f t="shared" si="1"/>
        <v>-7.1373913043478154</v>
      </c>
      <c r="F42" s="4">
        <f t="shared" si="2"/>
        <v>-35.550415122873382</v>
      </c>
      <c r="G42" s="4">
        <f t="shared" si="3"/>
        <v>24.80906162570901</v>
      </c>
      <c r="H42" s="4">
        <f t="shared" si="3"/>
        <v>50.942354631379807</v>
      </c>
    </row>
    <row r="43" spans="1:8" x14ac:dyDescent="0.25">
      <c r="A43" s="38">
        <v>40</v>
      </c>
      <c r="B43" s="55">
        <v>137.5</v>
      </c>
      <c r="C43" s="53">
        <f t="shared" si="4"/>
        <v>102.55</v>
      </c>
      <c r="D43" s="53">
        <f t="shared" si="0"/>
        <v>3.3808695652174094</v>
      </c>
      <c r="E43" s="53">
        <f t="shared" si="1"/>
        <v>-6.6473913043478206</v>
      </c>
      <c r="F43" s="4">
        <f t="shared" si="2"/>
        <v>-22.473962948960406</v>
      </c>
      <c r="G43" s="4">
        <f t="shared" si="3"/>
        <v>11.430279017013355</v>
      </c>
      <c r="H43" s="4">
        <f t="shared" si="3"/>
        <v>44.187811153119021</v>
      </c>
    </row>
    <row r="44" spans="1:8" x14ac:dyDescent="0.25">
      <c r="A44" s="38">
        <v>41</v>
      </c>
      <c r="B44" s="55">
        <v>136.12</v>
      </c>
      <c r="C44" s="53">
        <f t="shared" si="4"/>
        <v>104.35</v>
      </c>
      <c r="D44" s="53">
        <f t="shared" si="0"/>
        <v>2.000869565217414</v>
      </c>
      <c r="E44" s="53">
        <f t="shared" si="1"/>
        <v>-4.8473913043478234</v>
      </c>
      <c r="F44" s="4">
        <f t="shared" si="2"/>
        <v>-9.6989977315691025</v>
      </c>
      <c r="G44" s="4">
        <f t="shared" si="3"/>
        <v>4.0034790170133236</v>
      </c>
      <c r="H44" s="4">
        <f t="shared" si="3"/>
        <v>23.497202457466894</v>
      </c>
    </row>
    <row r="45" spans="1:8" x14ac:dyDescent="0.25">
      <c r="A45" s="38">
        <v>42</v>
      </c>
      <c r="B45" s="55">
        <v>135.22</v>
      </c>
      <c r="C45" s="53">
        <f t="shared" si="4"/>
        <v>107.57</v>
      </c>
      <c r="D45" s="53">
        <f t="shared" si="0"/>
        <v>1.1008695652174083</v>
      </c>
      <c r="E45" s="53">
        <f t="shared" si="1"/>
        <v>-1.6273913043478245</v>
      </c>
      <c r="F45" s="4">
        <f t="shared" si="2"/>
        <v>-1.7915455576559807</v>
      </c>
      <c r="G45" s="4">
        <f t="shared" si="3"/>
        <v>1.2119137996219655</v>
      </c>
      <c r="H45" s="4">
        <f t="shared" si="3"/>
        <v>2.6484024574669136</v>
      </c>
    </row>
    <row r="46" spans="1:8" x14ac:dyDescent="0.25">
      <c r="A46" s="38">
        <v>43</v>
      </c>
      <c r="B46" s="55">
        <v>134.72999999999999</v>
      </c>
      <c r="C46" s="53">
        <f t="shared" si="4"/>
        <v>111.96</v>
      </c>
      <c r="D46" s="53">
        <f t="shared" si="0"/>
        <v>0.61086956521739921</v>
      </c>
      <c r="E46" s="53">
        <f t="shared" si="1"/>
        <v>2.762608695652176</v>
      </c>
      <c r="F46" s="4">
        <f t="shared" si="2"/>
        <v>1.6875935727788511</v>
      </c>
      <c r="G46" s="4">
        <f t="shared" si="3"/>
        <v>0.37316162570889433</v>
      </c>
      <c r="H46" s="4">
        <f t="shared" si="3"/>
        <v>7.6320068052930177</v>
      </c>
    </row>
    <row r="47" spans="1:8" x14ac:dyDescent="0.25">
      <c r="A47" s="38">
        <v>44</v>
      </c>
      <c r="B47" s="55">
        <v>134.38999999999999</v>
      </c>
      <c r="C47" s="53">
        <f t="shared" si="4"/>
        <v>115.27</v>
      </c>
      <c r="D47" s="53">
        <f t="shared" si="0"/>
        <v>0.2708695652173958</v>
      </c>
      <c r="E47" s="53">
        <f t="shared" si="1"/>
        <v>6.0726086956521783</v>
      </c>
      <c r="F47" s="4">
        <f t="shared" si="2"/>
        <v>1.6448848771266826</v>
      </c>
      <c r="G47" s="4">
        <f t="shared" si="3"/>
        <v>7.3370321361061044E-2</v>
      </c>
      <c r="H47" s="4">
        <f t="shared" si="3"/>
        <v>36.876576370510449</v>
      </c>
    </row>
    <row r="48" spans="1:8" x14ac:dyDescent="0.25">
      <c r="A48" s="38">
        <v>45</v>
      </c>
      <c r="B48" s="55">
        <v>134.51</v>
      </c>
      <c r="C48" s="53">
        <f t="shared" si="4"/>
        <v>117.17</v>
      </c>
      <c r="D48" s="53">
        <f t="shared" si="0"/>
        <v>0.39086956521740035</v>
      </c>
      <c r="E48" s="53">
        <f t="shared" si="1"/>
        <v>7.972608695652184</v>
      </c>
      <c r="F48" s="4">
        <f t="shared" si="2"/>
        <v>3.1162500945180343</v>
      </c>
      <c r="G48" s="4">
        <f t="shared" si="3"/>
        <v>0.15277901701323959</v>
      </c>
      <c r="H48" s="4">
        <f t="shared" si="3"/>
        <v>63.562489413988821</v>
      </c>
    </row>
    <row r="49" spans="1:8" x14ac:dyDescent="0.25">
      <c r="A49" s="38">
        <v>46</v>
      </c>
      <c r="B49" s="55">
        <v>134.46</v>
      </c>
      <c r="C49" s="53">
        <f t="shared" si="4"/>
        <v>117.61</v>
      </c>
      <c r="D49" s="53">
        <f t="shared" si="0"/>
        <v>0.3408695652174174</v>
      </c>
      <c r="E49" s="53">
        <f t="shared" si="1"/>
        <v>8.4126086956521817</v>
      </c>
      <c r="F49" s="4">
        <f t="shared" si="2"/>
        <v>2.8676022684312241</v>
      </c>
      <c r="G49" s="4">
        <f t="shared" si="3"/>
        <v>0.11619206049151118</v>
      </c>
      <c r="H49" s="4">
        <f t="shared" si="3"/>
        <v>70.771985066162699</v>
      </c>
    </row>
    <row r="50" spans="1:8" x14ac:dyDescent="0.25">
      <c r="A50" s="38">
        <v>47</v>
      </c>
      <c r="B50" s="55">
        <v>134.27000000000001</v>
      </c>
      <c r="C50" s="53">
        <f t="shared" si="4"/>
        <v>117.26</v>
      </c>
      <c r="D50" s="53">
        <f t="shared" si="0"/>
        <v>0.15086956521741968</v>
      </c>
      <c r="E50" s="53">
        <f t="shared" si="1"/>
        <v>8.0626086956521874</v>
      </c>
      <c r="F50" s="4">
        <f t="shared" si="2"/>
        <v>1.2164022684312328</v>
      </c>
      <c r="G50" s="4">
        <f t="shared" si="3"/>
        <v>2.276162570889325E-2</v>
      </c>
      <c r="H50" s="4">
        <f t="shared" si="3"/>
        <v>65.005658979206274</v>
      </c>
    </row>
    <row r="51" spans="1:8" x14ac:dyDescent="0.25">
      <c r="A51" s="38">
        <v>48</v>
      </c>
      <c r="B51" s="55">
        <v>133.72999999999999</v>
      </c>
      <c r="C51" s="53">
        <f t="shared" si="4"/>
        <v>115.88</v>
      </c>
      <c r="D51" s="53">
        <f t="shared" si="0"/>
        <v>-0.38913043478260079</v>
      </c>
      <c r="E51" s="53">
        <f t="shared" si="1"/>
        <v>6.6826086956521777</v>
      </c>
      <c r="F51" s="4">
        <f t="shared" si="2"/>
        <v>-2.6004064272211207</v>
      </c>
      <c r="G51" s="4">
        <f t="shared" si="3"/>
        <v>0.15142249527409593</v>
      </c>
      <c r="H51" s="4">
        <f t="shared" si="3"/>
        <v>44.657258979206098</v>
      </c>
    </row>
    <row r="52" spans="1:8" x14ac:dyDescent="0.25">
      <c r="A52" s="38">
        <v>49</v>
      </c>
      <c r="B52" s="55">
        <v>132.01</v>
      </c>
      <c r="C52" s="53">
        <f t="shared" si="4"/>
        <v>113.35</v>
      </c>
      <c r="D52" s="53">
        <f t="shared" si="0"/>
        <v>-2.1091304347825997</v>
      </c>
      <c r="E52" s="53">
        <f t="shared" si="1"/>
        <v>4.1526086956521766</v>
      </c>
      <c r="F52" s="4">
        <f t="shared" si="2"/>
        <v>-8.7583933837428791</v>
      </c>
      <c r="G52" s="4">
        <f t="shared" si="3"/>
        <v>4.4484311909262377</v>
      </c>
      <c r="H52" s="4">
        <f t="shared" si="3"/>
        <v>17.244158979206073</v>
      </c>
    </row>
    <row r="53" spans="1:8" x14ac:dyDescent="0.25">
      <c r="A53" s="38">
        <v>50</v>
      </c>
      <c r="B53" s="55">
        <v>130.59</v>
      </c>
      <c r="C53" s="53">
        <f t="shared" si="4"/>
        <v>111.39</v>
      </c>
      <c r="D53" s="53">
        <f t="shared" si="0"/>
        <v>-3.5291304347825871</v>
      </c>
      <c r="E53" s="53">
        <f t="shared" si="1"/>
        <v>2.1926086956521829</v>
      </c>
      <c r="F53" s="4">
        <f t="shared" si="2"/>
        <v>-7.738002079395069</v>
      </c>
      <c r="G53" s="4">
        <f t="shared" si="3"/>
        <v>12.454761625708732</v>
      </c>
      <c r="H53" s="4">
        <f t="shared" si="3"/>
        <v>4.8075328922495668</v>
      </c>
    </row>
    <row r="54" spans="1:8" x14ac:dyDescent="0.25">
      <c r="A54" s="38">
        <v>51</v>
      </c>
      <c r="B54" s="55">
        <v>130.28</v>
      </c>
      <c r="C54" s="53">
        <f t="shared" si="4"/>
        <v>109.76</v>
      </c>
      <c r="D54" s="53">
        <f t="shared" si="0"/>
        <v>-3.8391304347825894</v>
      </c>
      <c r="E54" s="53">
        <f t="shared" si="1"/>
        <v>0.56260869565218741</v>
      </c>
      <c r="F54" s="4">
        <f t="shared" si="2"/>
        <v>-2.1599281663516479</v>
      </c>
      <c r="G54" s="4">
        <f t="shared" ref="G54:H61" si="5">D54*D54</f>
        <v>14.738922495273954</v>
      </c>
      <c r="H54" s="4">
        <f t="shared" si="5"/>
        <v>0.31652854442345563</v>
      </c>
    </row>
    <row r="55" spans="1:8" x14ac:dyDescent="0.25">
      <c r="A55" s="38">
        <v>52</v>
      </c>
      <c r="B55" s="55">
        <v>129.16</v>
      </c>
      <c r="C55" s="53">
        <f t="shared" si="4"/>
        <v>109.5</v>
      </c>
      <c r="D55" s="53">
        <f t="shared" si="0"/>
        <v>-4.959130434782594</v>
      </c>
      <c r="E55" s="53">
        <f t="shared" si="1"/>
        <v>0.30260869565218229</v>
      </c>
      <c r="F55" s="4">
        <f t="shared" si="2"/>
        <v>-1.5006759924386004</v>
      </c>
      <c r="G55" s="4">
        <f t="shared" si="5"/>
        <v>24.592974669187001</v>
      </c>
      <c r="H55" s="4">
        <f t="shared" si="5"/>
        <v>9.1572022684315094E-2</v>
      </c>
    </row>
    <row r="56" spans="1:8" x14ac:dyDescent="0.25">
      <c r="A56" s="38">
        <v>53</v>
      </c>
      <c r="B56" s="55">
        <v>128.94</v>
      </c>
      <c r="C56" s="53">
        <f t="shared" si="4"/>
        <v>108.86</v>
      </c>
      <c r="D56" s="53">
        <f t="shared" si="0"/>
        <v>-5.1791304347825928</v>
      </c>
      <c r="E56" s="53">
        <f t="shared" si="1"/>
        <v>-0.33739130434781828</v>
      </c>
      <c r="F56" s="4">
        <f t="shared" si="2"/>
        <v>1.7473935727787822</v>
      </c>
      <c r="G56" s="4">
        <f t="shared" si="5"/>
        <v>26.823392060491329</v>
      </c>
      <c r="H56" s="4">
        <f t="shared" si="5"/>
        <v>0.11383289224952214</v>
      </c>
    </row>
    <row r="57" spans="1:8" x14ac:dyDescent="0.25">
      <c r="A57" s="38">
        <v>54</v>
      </c>
      <c r="B57" s="55">
        <v>129.30000000000001</v>
      </c>
      <c r="C57" s="53">
        <f t="shared" si="4"/>
        <v>108.49</v>
      </c>
      <c r="D57" s="53">
        <f t="shared" si="0"/>
        <v>-4.8191304347825792</v>
      </c>
      <c r="E57" s="53">
        <f t="shared" si="1"/>
        <v>-0.70739130434782282</v>
      </c>
      <c r="F57" s="4">
        <f t="shared" si="2"/>
        <v>3.4090109640831394</v>
      </c>
      <c r="G57" s="4">
        <f t="shared" si="5"/>
        <v>23.22401814744773</v>
      </c>
      <c r="H57" s="4">
        <f t="shared" si="5"/>
        <v>0.50040245746691414</v>
      </c>
    </row>
    <row r="58" spans="1:8" x14ac:dyDescent="0.25">
      <c r="A58" s="38">
        <v>55</v>
      </c>
      <c r="B58" s="55">
        <v>131.22</v>
      </c>
      <c r="C58" s="53">
        <f t="shared" si="4"/>
        <v>108.36</v>
      </c>
      <c r="D58" s="53">
        <f t="shared" si="0"/>
        <v>-2.8991304347825917</v>
      </c>
      <c r="E58" s="53">
        <f t="shared" si="1"/>
        <v>-0.83739130434781828</v>
      </c>
      <c r="F58" s="4">
        <f t="shared" si="2"/>
        <v>2.4277066162570518</v>
      </c>
      <c r="G58" s="4">
        <f t="shared" si="5"/>
        <v>8.4049572778826995</v>
      </c>
      <c r="H58" s="4">
        <f t="shared" si="5"/>
        <v>0.70122419659734037</v>
      </c>
    </row>
    <row r="59" spans="1:8" x14ac:dyDescent="0.25">
      <c r="A59" s="38">
        <v>56</v>
      </c>
      <c r="B59" s="55">
        <v>132.52000000000001</v>
      </c>
      <c r="C59" s="53">
        <f t="shared" si="4"/>
        <v>108.19</v>
      </c>
      <c r="D59" s="53">
        <f t="shared" si="0"/>
        <v>-1.5991304347825803</v>
      </c>
      <c r="E59" s="53">
        <f t="shared" si="1"/>
        <v>-1.00739130434782</v>
      </c>
      <c r="F59" s="4">
        <f t="shared" si="2"/>
        <v>1.61095009451792</v>
      </c>
      <c r="G59" s="4">
        <f t="shared" si="5"/>
        <v>2.5572181474479243</v>
      </c>
      <c r="H59" s="4">
        <f t="shared" si="5"/>
        <v>1.0148372400756021</v>
      </c>
    </row>
    <row r="60" spans="1:8" x14ac:dyDescent="0.25">
      <c r="A60" s="38">
        <v>57</v>
      </c>
      <c r="B60" s="55">
        <v>134.25</v>
      </c>
      <c r="C60" s="53">
        <f t="shared" si="4"/>
        <v>107.8</v>
      </c>
      <c r="D60" s="53">
        <f t="shared" si="0"/>
        <v>0.13086956521740944</v>
      </c>
      <c r="E60" s="53">
        <f t="shared" si="1"/>
        <v>-1.3973913043478206</v>
      </c>
      <c r="F60" s="4">
        <f t="shared" si="2"/>
        <v>-0.18287599243858796</v>
      </c>
      <c r="G60" s="4">
        <f t="shared" si="5"/>
        <v>1.7126843100193783E-2</v>
      </c>
      <c r="H60" s="4">
        <f t="shared" si="5"/>
        <v>1.9527024574669032</v>
      </c>
    </row>
    <row r="61" spans="1:8" x14ac:dyDescent="0.25">
      <c r="A61" s="38">
        <v>58</v>
      </c>
      <c r="B61" s="55">
        <v>136.06</v>
      </c>
      <c r="C61" s="53">
        <f t="shared" si="4"/>
        <v>107.47</v>
      </c>
      <c r="D61" s="53">
        <f t="shared" si="0"/>
        <v>1.9408695652174117</v>
      </c>
      <c r="E61" s="53">
        <f t="shared" si="1"/>
        <v>-1.7273913043478188</v>
      </c>
      <c r="F61" s="4">
        <f t="shared" si="2"/>
        <v>-3.3526412098298888</v>
      </c>
      <c r="G61" s="4">
        <f t="shared" si="5"/>
        <v>3.766974669187225</v>
      </c>
      <c r="H61" s="4">
        <f t="shared" si="5"/>
        <v>2.9838807183364588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2511.54</v>
      </c>
      <c r="D62" s="49">
        <f t="shared" si="6"/>
        <v>3.979039320256561E-13</v>
      </c>
      <c r="E62" s="49">
        <f t="shared" si="6"/>
        <v>1.4210854715202004E-13</v>
      </c>
      <c r="F62" s="49">
        <f t="shared" si="6"/>
        <v>-174.13775217391327</v>
      </c>
      <c r="G62" s="49">
        <f t="shared" si="6"/>
        <v>239.47978260869556</v>
      </c>
      <c r="H62" s="49">
        <f t="shared" si="6"/>
        <v>585.15544347826108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109.19739130434782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388</v>
      </c>
      <c r="B65" s="49">
        <f>SUM(B39:B61)/23</f>
        <v>134.11913043478259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389</v>
      </c>
      <c r="B66" s="38">
        <f>SUM(C39:C61)/23</f>
        <v>109.19739130434782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390</v>
      </c>
      <c r="B68" s="38">
        <f>F62/SQRT(G62*H62)</f>
        <v>-0.46518197883224244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2" workbookViewId="0">
      <selection activeCell="B70" sqref="B70"/>
    </sheetView>
  </sheetViews>
  <sheetFormatPr defaultRowHeight="15" x14ac:dyDescent="0.25"/>
  <cols>
    <col min="6" max="6" width="18.710937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382</v>
      </c>
      <c r="D3" s="45" t="s">
        <v>383</v>
      </c>
      <c r="E3" s="45" t="s">
        <v>384</v>
      </c>
      <c r="F3" s="46" t="s">
        <v>385</v>
      </c>
      <c r="G3" s="45" t="s">
        <v>386</v>
      </c>
      <c r="H3" s="45" t="s">
        <v>387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53">
        <f>B4</f>
        <v>102.32</v>
      </c>
      <c r="D40" s="53">
        <f t="shared" ref="D40:D61" si="0">B40-$B$65</f>
        <v>6.1227272727272748</v>
      </c>
      <c r="E40" s="53">
        <f t="shared" ref="E40:E61" si="1">C40-$B$66</f>
        <v>-6.9559090909091026</v>
      </c>
      <c r="F40" s="4">
        <f t="shared" ref="F40:F61" si="2">D40*E40</f>
        <v>-42.589134297520744</v>
      </c>
      <c r="G40" s="4">
        <f t="shared" ref="G40:H54" si="3">D40*D40</f>
        <v>37.487789256198376</v>
      </c>
      <c r="H40" s="4">
        <f t="shared" si="3"/>
        <v>48.384671280991896</v>
      </c>
    </row>
    <row r="41" spans="1:8" x14ac:dyDescent="0.25">
      <c r="A41" s="38">
        <v>38</v>
      </c>
      <c r="B41" s="55">
        <v>140.09</v>
      </c>
      <c r="C41" s="53">
        <f t="shared" ref="C41:C61" si="4">B5</f>
        <v>102.21</v>
      </c>
      <c r="D41" s="53">
        <f t="shared" si="0"/>
        <v>6.0627272727272725</v>
      </c>
      <c r="E41" s="53">
        <f t="shared" si="1"/>
        <v>-7.065909090909102</v>
      </c>
      <c r="F41" s="4">
        <f t="shared" si="2"/>
        <v>-42.838679752066184</v>
      </c>
      <c r="G41" s="4">
        <f t="shared" si="3"/>
        <v>36.756661983471069</v>
      </c>
      <c r="H41" s="4">
        <f t="shared" si="3"/>
        <v>49.927071280991889</v>
      </c>
    </row>
    <row r="42" spans="1:8" x14ac:dyDescent="0.25">
      <c r="A42" s="38">
        <v>39</v>
      </c>
      <c r="B42" s="55">
        <v>139.1</v>
      </c>
      <c r="C42" s="53">
        <f t="shared" si="4"/>
        <v>102.16</v>
      </c>
      <c r="D42" s="53">
        <f t="shared" si="0"/>
        <v>5.0727272727272634</v>
      </c>
      <c r="E42" s="53">
        <f t="shared" si="1"/>
        <v>-7.1159090909090992</v>
      </c>
      <c r="F42" s="4">
        <f t="shared" si="2"/>
        <v>-36.097066115702454</v>
      </c>
      <c r="G42" s="4">
        <f t="shared" si="3"/>
        <v>25.73256198347098</v>
      </c>
      <c r="H42" s="4">
        <f t="shared" si="3"/>
        <v>50.636162190082764</v>
      </c>
    </row>
    <row r="43" spans="1:8" x14ac:dyDescent="0.25">
      <c r="A43" s="38">
        <v>40</v>
      </c>
      <c r="B43" s="55">
        <v>137.5</v>
      </c>
      <c r="C43" s="53">
        <f t="shared" si="4"/>
        <v>102.06</v>
      </c>
      <c r="D43" s="53">
        <f t="shared" si="0"/>
        <v>3.4727272727272691</v>
      </c>
      <c r="E43" s="53">
        <f t="shared" si="1"/>
        <v>-7.2159090909090935</v>
      </c>
      <c r="F43" s="4">
        <f t="shared" si="2"/>
        <v>-25.058884297520645</v>
      </c>
      <c r="G43" s="4">
        <f t="shared" si="3"/>
        <v>12.059834710743777</v>
      </c>
      <c r="H43" s="4">
        <f t="shared" si="3"/>
        <v>52.069344008264501</v>
      </c>
    </row>
    <row r="44" spans="1:8" x14ac:dyDescent="0.25">
      <c r="A44" s="38">
        <v>41</v>
      </c>
      <c r="B44" s="55">
        <v>136.12</v>
      </c>
      <c r="C44" s="53">
        <f t="shared" si="4"/>
        <v>102.55</v>
      </c>
      <c r="D44" s="53">
        <f t="shared" si="0"/>
        <v>2.0927272727272737</v>
      </c>
      <c r="E44" s="53">
        <f t="shared" si="1"/>
        <v>-6.7259090909090986</v>
      </c>
      <c r="F44" s="4">
        <f t="shared" si="2"/>
        <v>-14.075493388429775</v>
      </c>
      <c r="G44" s="4">
        <f t="shared" si="3"/>
        <v>4.3795074380165326</v>
      </c>
      <c r="H44" s="4">
        <f t="shared" si="3"/>
        <v>45.237853099173655</v>
      </c>
    </row>
    <row r="45" spans="1:8" x14ac:dyDescent="0.25">
      <c r="A45" s="38">
        <v>42</v>
      </c>
      <c r="B45" s="55">
        <v>135.22</v>
      </c>
      <c r="C45" s="53">
        <f t="shared" si="4"/>
        <v>104.35</v>
      </c>
      <c r="D45" s="53">
        <f t="shared" si="0"/>
        <v>1.192727272727268</v>
      </c>
      <c r="E45" s="53">
        <f t="shared" si="1"/>
        <v>-4.9259090909091015</v>
      </c>
      <c r="F45" s="4">
        <f t="shared" si="2"/>
        <v>-5.8752661157024688</v>
      </c>
      <c r="G45" s="4">
        <f t="shared" si="3"/>
        <v>1.4225983471074266</v>
      </c>
      <c r="H45" s="4">
        <f t="shared" si="3"/>
        <v>24.26458037190093</v>
      </c>
    </row>
    <row r="46" spans="1:8" x14ac:dyDescent="0.25">
      <c r="A46" s="38">
        <v>43</v>
      </c>
      <c r="B46" s="55">
        <v>134.72999999999999</v>
      </c>
      <c r="C46" s="53">
        <f t="shared" si="4"/>
        <v>107.57</v>
      </c>
      <c r="D46" s="53">
        <f t="shared" si="0"/>
        <v>0.70272727272725888</v>
      </c>
      <c r="E46" s="53">
        <f t="shared" si="1"/>
        <v>-1.7059090909091026</v>
      </c>
      <c r="F46" s="4">
        <f t="shared" si="2"/>
        <v>-1.1987888429751912</v>
      </c>
      <c r="G46" s="4">
        <f t="shared" si="3"/>
        <v>0.49382561983469125</v>
      </c>
      <c r="H46" s="4">
        <f t="shared" si="3"/>
        <v>2.910125826446321</v>
      </c>
    </row>
    <row r="47" spans="1:8" x14ac:dyDescent="0.25">
      <c r="A47" s="38">
        <v>44</v>
      </c>
      <c r="B47" s="55">
        <v>134.38999999999999</v>
      </c>
      <c r="C47" s="53">
        <f t="shared" si="4"/>
        <v>111.96</v>
      </c>
      <c r="D47" s="53">
        <f t="shared" si="0"/>
        <v>0.36272727272725547</v>
      </c>
      <c r="E47" s="53">
        <f t="shared" si="1"/>
        <v>2.684090909090898</v>
      </c>
      <c r="F47" s="4">
        <f t="shared" si="2"/>
        <v>0.97359297520656118</v>
      </c>
      <c r="G47" s="4">
        <f t="shared" si="3"/>
        <v>0.13157107438015278</v>
      </c>
      <c r="H47" s="4">
        <f t="shared" si="3"/>
        <v>7.2043440082644032</v>
      </c>
    </row>
    <row r="48" spans="1:8" x14ac:dyDescent="0.25">
      <c r="A48" s="38">
        <v>45</v>
      </c>
      <c r="B48" s="55">
        <v>134.51</v>
      </c>
      <c r="C48" s="53">
        <f t="shared" si="4"/>
        <v>115.27</v>
      </c>
      <c r="D48" s="53">
        <f t="shared" si="0"/>
        <v>0.48272727272726002</v>
      </c>
      <c r="E48" s="53">
        <f t="shared" si="1"/>
        <v>5.9940909090909003</v>
      </c>
      <c r="F48" s="4">
        <f t="shared" si="2"/>
        <v>2.893511157024713</v>
      </c>
      <c r="G48" s="4">
        <f t="shared" si="3"/>
        <v>0.23302561983469847</v>
      </c>
      <c r="H48" s="4">
        <f t="shared" si="3"/>
        <v>35.929125826446175</v>
      </c>
    </row>
    <row r="49" spans="1:8" x14ac:dyDescent="0.25">
      <c r="A49" s="38">
        <v>46</v>
      </c>
      <c r="B49" s="55">
        <v>134.46</v>
      </c>
      <c r="C49" s="53">
        <f t="shared" si="4"/>
        <v>117.17</v>
      </c>
      <c r="D49" s="53">
        <f t="shared" si="0"/>
        <v>0.43272727272727707</v>
      </c>
      <c r="E49" s="53">
        <f t="shared" si="1"/>
        <v>7.8940909090909059</v>
      </c>
      <c r="F49" s="4">
        <f t="shared" si="2"/>
        <v>3.4159884297520988</v>
      </c>
      <c r="G49" s="4">
        <f t="shared" si="3"/>
        <v>0.18725289256198724</v>
      </c>
      <c r="H49" s="4">
        <f t="shared" si="3"/>
        <v>62.316671280991685</v>
      </c>
    </row>
    <row r="50" spans="1:8" x14ac:dyDescent="0.25">
      <c r="A50" s="38">
        <v>47</v>
      </c>
      <c r="B50" s="55">
        <v>134.27000000000001</v>
      </c>
      <c r="C50" s="53">
        <f t="shared" si="4"/>
        <v>117.61</v>
      </c>
      <c r="D50" s="53">
        <f t="shared" si="0"/>
        <v>0.24272727272727934</v>
      </c>
      <c r="E50" s="53">
        <f t="shared" si="1"/>
        <v>8.3340909090909037</v>
      </c>
      <c r="F50" s="4">
        <f t="shared" si="2"/>
        <v>2.022911157024847</v>
      </c>
      <c r="G50" s="4">
        <f t="shared" si="3"/>
        <v>5.8916528925623046E-2</v>
      </c>
      <c r="H50" s="4">
        <f t="shared" si="3"/>
        <v>69.457071280991642</v>
      </c>
    </row>
    <row r="51" spans="1:8" x14ac:dyDescent="0.25">
      <c r="A51" s="38">
        <v>48</v>
      </c>
      <c r="B51" s="55">
        <v>133.72999999999999</v>
      </c>
      <c r="C51" s="53">
        <f t="shared" si="4"/>
        <v>117.26</v>
      </c>
      <c r="D51" s="53">
        <f t="shared" si="0"/>
        <v>-0.29727272727274112</v>
      </c>
      <c r="E51" s="53">
        <f t="shared" si="1"/>
        <v>7.9840909090909093</v>
      </c>
      <c r="F51" s="4">
        <f t="shared" si="2"/>
        <v>-2.3734524793389538</v>
      </c>
      <c r="G51" s="4">
        <f t="shared" si="3"/>
        <v>8.8371074380173525E-2</v>
      </c>
      <c r="H51" s="4">
        <f t="shared" si="3"/>
        <v>63.745707644628105</v>
      </c>
    </row>
    <row r="52" spans="1:8" x14ac:dyDescent="0.25">
      <c r="A52" s="38">
        <v>49</v>
      </c>
      <c r="B52" s="55">
        <v>132.01</v>
      </c>
      <c r="C52" s="53">
        <f t="shared" si="4"/>
        <v>115.88</v>
      </c>
      <c r="D52" s="53">
        <f t="shared" si="0"/>
        <v>-2.01727272727274</v>
      </c>
      <c r="E52" s="53">
        <f t="shared" si="1"/>
        <v>6.6040909090908997</v>
      </c>
      <c r="F52" s="4">
        <f t="shared" si="2"/>
        <v>-13.322252479338909</v>
      </c>
      <c r="G52" s="4">
        <f t="shared" si="3"/>
        <v>4.0693892561983986</v>
      </c>
      <c r="H52" s="4">
        <f t="shared" si="3"/>
        <v>43.614016735537064</v>
      </c>
    </row>
    <row r="53" spans="1:8" x14ac:dyDescent="0.25">
      <c r="A53" s="38">
        <v>50</v>
      </c>
      <c r="B53" s="55">
        <v>130.59</v>
      </c>
      <c r="C53" s="53">
        <f t="shared" si="4"/>
        <v>113.35</v>
      </c>
      <c r="D53" s="53">
        <f t="shared" si="0"/>
        <v>-3.4372727272727275</v>
      </c>
      <c r="E53" s="53">
        <f t="shared" si="1"/>
        <v>4.0740909090908985</v>
      </c>
      <c r="F53" s="4">
        <f t="shared" si="2"/>
        <v>-14.003761570247898</v>
      </c>
      <c r="G53" s="4">
        <f t="shared" si="3"/>
        <v>11.814843801652893</v>
      </c>
      <c r="H53" s="4">
        <f t="shared" si="3"/>
        <v>16.598216735537104</v>
      </c>
    </row>
    <row r="54" spans="1:8" x14ac:dyDescent="0.25">
      <c r="A54" s="38">
        <v>51</v>
      </c>
      <c r="B54" s="55">
        <v>130.28</v>
      </c>
      <c r="C54" s="53">
        <f t="shared" si="4"/>
        <v>111.39</v>
      </c>
      <c r="D54" s="53">
        <f t="shared" si="0"/>
        <v>-3.7472727272727298</v>
      </c>
      <c r="E54" s="53">
        <f t="shared" si="1"/>
        <v>2.1140909090909048</v>
      </c>
      <c r="F54" s="4">
        <f t="shared" si="2"/>
        <v>-7.9220752066115594</v>
      </c>
      <c r="G54" s="4">
        <f t="shared" si="3"/>
        <v>14.042052892562001</v>
      </c>
      <c r="H54" s="4">
        <f t="shared" si="3"/>
        <v>4.4693803719008081</v>
      </c>
    </row>
    <row r="55" spans="1:8" x14ac:dyDescent="0.25">
      <c r="A55" s="38">
        <v>52</v>
      </c>
      <c r="B55" s="55">
        <v>129.16</v>
      </c>
      <c r="C55" s="53">
        <f t="shared" si="4"/>
        <v>109.76</v>
      </c>
      <c r="D55" s="53">
        <f t="shared" si="0"/>
        <v>-4.8672727272727343</v>
      </c>
      <c r="E55" s="53">
        <f t="shared" si="1"/>
        <v>0.48409090909090935</v>
      </c>
      <c r="F55" s="4">
        <f t="shared" si="2"/>
        <v>-2.3562024793388479</v>
      </c>
      <c r="G55" s="4">
        <f t="shared" ref="G55:H61" si="5">D55*D55</f>
        <v>23.690343801652961</v>
      </c>
      <c r="H55" s="4">
        <f t="shared" si="5"/>
        <v>0.23434400826446306</v>
      </c>
    </row>
    <row r="56" spans="1:8" x14ac:dyDescent="0.25">
      <c r="A56" s="38">
        <v>53</v>
      </c>
      <c r="B56" s="55">
        <v>128.94</v>
      </c>
      <c r="C56" s="53">
        <f t="shared" si="4"/>
        <v>109.5</v>
      </c>
      <c r="D56" s="53">
        <f t="shared" si="0"/>
        <v>-5.0872727272727332</v>
      </c>
      <c r="E56" s="53">
        <f t="shared" si="1"/>
        <v>0.22409090909090423</v>
      </c>
      <c r="F56" s="4">
        <f t="shared" si="2"/>
        <v>-1.1400115702479106</v>
      </c>
      <c r="G56" s="4">
        <f t="shared" si="5"/>
        <v>25.880343801652952</v>
      </c>
      <c r="H56" s="4">
        <f t="shared" si="5"/>
        <v>5.0216735537187904E-2</v>
      </c>
    </row>
    <row r="57" spans="1:8" x14ac:dyDescent="0.25">
      <c r="A57" s="38">
        <v>54</v>
      </c>
      <c r="B57" s="55">
        <v>129.30000000000001</v>
      </c>
      <c r="C57" s="53">
        <f t="shared" si="4"/>
        <v>108.86</v>
      </c>
      <c r="D57" s="53">
        <f t="shared" si="0"/>
        <v>-4.7272727272727195</v>
      </c>
      <c r="E57" s="53">
        <f t="shared" si="1"/>
        <v>-0.41590909090909634</v>
      </c>
      <c r="F57" s="4">
        <f t="shared" si="2"/>
        <v>1.9661157024793612</v>
      </c>
      <c r="G57" s="4">
        <f t="shared" si="5"/>
        <v>22.347107438016454</v>
      </c>
      <c r="H57" s="4">
        <f t="shared" si="5"/>
        <v>0.17298037190083096</v>
      </c>
    </row>
    <row r="58" spans="1:8" x14ac:dyDescent="0.25">
      <c r="A58" s="38">
        <v>55</v>
      </c>
      <c r="B58" s="55">
        <v>131.22</v>
      </c>
      <c r="C58" s="53">
        <f t="shared" si="4"/>
        <v>108.49</v>
      </c>
      <c r="D58" s="53">
        <f t="shared" si="0"/>
        <v>-2.807272727272732</v>
      </c>
      <c r="E58" s="53">
        <f t="shared" si="1"/>
        <v>-0.78590909090910088</v>
      </c>
      <c r="F58" s="4">
        <f t="shared" si="2"/>
        <v>2.2062611570248252</v>
      </c>
      <c r="G58" s="4">
        <f t="shared" si="5"/>
        <v>7.8807801652892833</v>
      </c>
      <c r="H58" s="4">
        <f t="shared" si="5"/>
        <v>0.61765309917356936</v>
      </c>
    </row>
    <row r="59" spans="1:8" x14ac:dyDescent="0.25">
      <c r="A59" s="38">
        <v>56</v>
      </c>
      <c r="B59" s="55">
        <v>132.52000000000001</v>
      </c>
      <c r="C59" s="53">
        <f t="shared" si="4"/>
        <v>108.36</v>
      </c>
      <c r="D59" s="53">
        <f t="shared" si="0"/>
        <v>-1.5072727272727207</v>
      </c>
      <c r="E59" s="53">
        <f t="shared" si="1"/>
        <v>-0.91590909090909634</v>
      </c>
      <c r="F59" s="4">
        <f t="shared" si="2"/>
        <v>1.3805247933884319</v>
      </c>
      <c r="G59" s="4">
        <f t="shared" si="5"/>
        <v>2.2718710743801451</v>
      </c>
      <c r="H59" s="4">
        <f t="shared" si="5"/>
        <v>0.83888946280992727</v>
      </c>
    </row>
    <row r="60" spans="1:8" x14ac:dyDescent="0.25">
      <c r="A60" s="38">
        <v>57</v>
      </c>
      <c r="B60" s="55">
        <v>134.25</v>
      </c>
      <c r="C60" s="53">
        <f t="shared" si="4"/>
        <v>108.19</v>
      </c>
      <c r="D60" s="53">
        <f t="shared" si="0"/>
        <v>0.22272727272726911</v>
      </c>
      <c r="E60" s="53">
        <f t="shared" si="1"/>
        <v>-1.085909090909098</v>
      </c>
      <c r="F60" s="4">
        <f t="shared" si="2"/>
        <v>-0.24186157024793153</v>
      </c>
      <c r="G60" s="4">
        <f t="shared" si="5"/>
        <v>4.9607438016527311E-2</v>
      </c>
      <c r="H60" s="4">
        <f t="shared" si="5"/>
        <v>1.1791985537190237</v>
      </c>
    </row>
    <row r="61" spans="1:8" x14ac:dyDescent="0.25">
      <c r="A61" s="38">
        <v>58</v>
      </c>
      <c r="B61" s="55">
        <v>136.06</v>
      </c>
      <c r="C61" s="53">
        <f t="shared" si="4"/>
        <v>107.8</v>
      </c>
      <c r="D61" s="53">
        <f t="shared" si="0"/>
        <v>2.0327272727272714</v>
      </c>
      <c r="E61" s="53">
        <f t="shared" si="1"/>
        <v>-1.4759090909090986</v>
      </c>
      <c r="F61" s="4">
        <f t="shared" si="2"/>
        <v>-3.0001206611570383</v>
      </c>
      <c r="G61" s="4">
        <f t="shared" si="5"/>
        <v>4.1319801652892512</v>
      </c>
      <c r="H61" s="4">
        <f t="shared" si="5"/>
        <v>2.1783076446281218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2404.0700000000002</v>
      </c>
      <c r="D62" s="49">
        <f t="shared" si="6"/>
        <v>-8.5265128291212022E-14</v>
      </c>
      <c r="E62" s="49">
        <f t="shared" si="6"/>
        <v>-1.5631940186722204E-13</v>
      </c>
      <c r="F62" s="49">
        <f t="shared" si="6"/>
        <v>-197.23414545454568</v>
      </c>
      <c r="G62" s="49">
        <f t="shared" si="6"/>
        <v>235.21023636363637</v>
      </c>
      <c r="H62" s="49">
        <f t="shared" si="6"/>
        <v>582.03593181818201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109.2759090909091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391</v>
      </c>
      <c r="B65" s="49">
        <f>SUM(B40:B61)/22</f>
        <v>134.02727272727273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392</v>
      </c>
      <c r="B66" s="38">
        <f>SUM(C40:C61)/22</f>
        <v>109.2759090909091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402</v>
      </c>
      <c r="B68" s="38">
        <f>F62/SQRT(G62*H62)</f>
        <v>-0.53306368275308957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62" workbookViewId="0">
      <selection activeCell="B68" sqref="B68"/>
    </sheetView>
  </sheetViews>
  <sheetFormatPr defaultRowHeight="15" x14ac:dyDescent="0.25"/>
  <cols>
    <col min="6" max="6" width="18.42578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393</v>
      </c>
      <c r="D3" s="45" t="s">
        <v>394</v>
      </c>
      <c r="E3" s="45" t="s">
        <v>395</v>
      </c>
      <c r="F3" s="46" t="s">
        <v>396</v>
      </c>
      <c r="G3" s="45" t="s">
        <v>397</v>
      </c>
      <c r="H3" s="45" t="s">
        <v>398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53">
        <f>B4</f>
        <v>102.32</v>
      </c>
      <c r="D41" s="53">
        <f t="shared" ref="D41:D61" si="0">B41-$B$65</f>
        <v>6.3542857142857372</v>
      </c>
      <c r="E41" s="53">
        <f t="shared" ref="E41:E61" si="1">C41-$B$66</f>
        <v>-7.0261904761904788</v>
      </c>
      <c r="F41" s="4">
        <f t="shared" ref="F41:F61" si="2">D41*E41</f>
        <v>-44.646421768707661</v>
      </c>
      <c r="G41" s="4">
        <f t="shared" ref="G41:H55" si="3">D41*D41</f>
        <v>40.376946938775802</v>
      </c>
      <c r="H41" s="4">
        <f t="shared" si="3"/>
        <v>49.367352607709783</v>
      </c>
    </row>
    <row r="42" spans="1:8" x14ac:dyDescent="0.25">
      <c r="A42" s="38">
        <v>39</v>
      </c>
      <c r="B42" s="55">
        <v>139.1</v>
      </c>
      <c r="C42" s="53">
        <f t="shared" ref="C42:C61" si="4">B5</f>
        <v>102.21</v>
      </c>
      <c r="D42" s="53">
        <f t="shared" si="0"/>
        <v>5.3642857142857281</v>
      </c>
      <c r="E42" s="53">
        <f t="shared" si="1"/>
        <v>-7.1361904761904782</v>
      </c>
      <c r="F42" s="4">
        <f t="shared" si="2"/>
        <v>-38.280564625850452</v>
      </c>
      <c r="G42" s="4">
        <f t="shared" si="3"/>
        <v>28.775561224489945</v>
      </c>
      <c r="H42" s="4">
        <f t="shared" si="3"/>
        <v>50.925214512471683</v>
      </c>
    </row>
    <row r="43" spans="1:8" x14ac:dyDescent="0.25">
      <c r="A43" s="38">
        <v>40</v>
      </c>
      <c r="B43" s="55">
        <v>137.5</v>
      </c>
      <c r="C43" s="53">
        <f t="shared" si="4"/>
        <v>102.16</v>
      </c>
      <c r="D43" s="53">
        <f t="shared" si="0"/>
        <v>3.7642857142857338</v>
      </c>
      <c r="E43" s="53">
        <f t="shared" si="1"/>
        <v>-7.1861904761904754</v>
      </c>
      <c r="F43" s="4">
        <f t="shared" si="2"/>
        <v>-27.05087414966</v>
      </c>
      <c r="G43" s="4">
        <f t="shared" si="3"/>
        <v>14.169846938775656</v>
      </c>
      <c r="H43" s="4">
        <f t="shared" si="3"/>
        <v>51.641333560090693</v>
      </c>
    </row>
    <row r="44" spans="1:8" x14ac:dyDescent="0.25">
      <c r="A44" s="38">
        <v>41</v>
      </c>
      <c r="B44" s="55">
        <v>136.12</v>
      </c>
      <c r="C44" s="53">
        <f t="shared" si="4"/>
        <v>102.06</v>
      </c>
      <c r="D44" s="53">
        <f t="shared" si="0"/>
        <v>2.3842857142857383</v>
      </c>
      <c r="E44" s="53">
        <f t="shared" si="1"/>
        <v>-7.2861904761904697</v>
      </c>
      <c r="F44" s="4">
        <f t="shared" si="2"/>
        <v>-17.372359863945739</v>
      </c>
      <c r="G44" s="4">
        <f t="shared" si="3"/>
        <v>5.6848183673470531</v>
      </c>
      <c r="H44" s="4">
        <f t="shared" si="3"/>
        <v>53.0885716553287</v>
      </c>
    </row>
    <row r="45" spans="1:8" x14ac:dyDescent="0.25">
      <c r="A45" s="38">
        <v>42</v>
      </c>
      <c r="B45" s="55">
        <v>135.22</v>
      </c>
      <c r="C45" s="53">
        <f t="shared" si="4"/>
        <v>102.55</v>
      </c>
      <c r="D45" s="53">
        <f t="shared" si="0"/>
        <v>1.4842857142857326</v>
      </c>
      <c r="E45" s="53">
        <f t="shared" si="1"/>
        <v>-6.7961904761904748</v>
      </c>
      <c r="F45" s="4">
        <f t="shared" si="2"/>
        <v>-10.087488435374272</v>
      </c>
      <c r="G45" s="4">
        <f t="shared" si="3"/>
        <v>2.2031040816327074</v>
      </c>
      <c r="H45" s="4">
        <f t="shared" si="3"/>
        <v>46.188204988662115</v>
      </c>
    </row>
    <row r="46" spans="1:8" x14ac:dyDescent="0.25">
      <c r="A46" s="38">
        <v>43</v>
      </c>
      <c r="B46" s="55">
        <v>134.72999999999999</v>
      </c>
      <c r="C46" s="53">
        <f t="shared" si="4"/>
        <v>104.35</v>
      </c>
      <c r="D46" s="53">
        <f t="shared" si="0"/>
        <v>0.99428571428572354</v>
      </c>
      <c r="E46" s="53">
        <f t="shared" si="1"/>
        <v>-4.9961904761904776</v>
      </c>
      <c r="F46" s="4">
        <f t="shared" si="2"/>
        <v>-4.9676408163265782</v>
      </c>
      <c r="G46" s="4">
        <f t="shared" si="3"/>
        <v>0.98860408163267144</v>
      </c>
      <c r="H46" s="4">
        <f t="shared" si="3"/>
        <v>24.961919274376431</v>
      </c>
    </row>
    <row r="47" spans="1:8" x14ac:dyDescent="0.25">
      <c r="A47" s="38">
        <v>44</v>
      </c>
      <c r="B47" s="55">
        <v>134.38999999999999</v>
      </c>
      <c r="C47" s="53">
        <f t="shared" si="4"/>
        <v>107.57</v>
      </c>
      <c r="D47" s="53">
        <f t="shared" si="0"/>
        <v>0.65428571428572013</v>
      </c>
      <c r="E47" s="53">
        <f t="shared" si="1"/>
        <v>-1.7761904761904788</v>
      </c>
      <c r="F47" s="4">
        <f t="shared" si="2"/>
        <v>-1.1621360544217807</v>
      </c>
      <c r="G47" s="4">
        <f t="shared" si="3"/>
        <v>0.42808979591837498</v>
      </c>
      <c r="H47" s="4">
        <f t="shared" si="3"/>
        <v>3.1548526077097598</v>
      </c>
    </row>
    <row r="48" spans="1:8" x14ac:dyDescent="0.25">
      <c r="A48" s="38">
        <v>45</v>
      </c>
      <c r="B48" s="55">
        <v>134.51</v>
      </c>
      <c r="C48" s="53">
        <f t="shared" si="4"/>
        <v>111.96</v>
      </c>
      <c r="D48" s="53">
        <f t="shared" si="0"/>
        <v>0.77428571428572468</v>
      </c>
      <c r="E48" s="53">
        <f t="shared" si="1"/>
        <v>2.6138095238095218</v>
      </c>
      <c r="F48" s="4">
        <f t="shared" si="2"/>
        <v>2.0238353741496855</v>
      </c>
      <c r="G48" s="4">
        <f t="shared" si="3"/>
        <v>0.59951836734695485</v>
      </c>
      <c r="H48" s="4">
        <f t="shared" si="3"/>
        <v>6.8320002267573594</v>
      </c>
    </row>
    <row r="49" spans="1:8" x14ac:dyDescent="0.25">
      <c r="A49" s="38">
        <v>46</v>
      </c>
      <c r="B49" s="55">
        <v>134.46</v>
      </c>
      <c r="C49" s="53">
        <f t="shared" si="4"/>
        <v>115.27</v>
      </c>
      <c r="D49" s="53">
        <f t="shared" si="0"/>
        <v>0.72428571428574173</v>
      </c>
      <c r="E49" s="53">
        <f t="shared" si="1"/>
        <v>5.9238095238095241</v>
      </c>
      <c r="F49" s="4">
        <f t="shared" si="2"/>
        <v>4.2905306122450604</v>
      </c>
      <c r="G49" s="4">
        <f t="shared" si="3"/>
        <v>0.52458979591840715</v>
      </c>
      <c r="H49" s="4">
        <f t="shared" si="3"/>
        <v>35.091519274376424</v>
      </c>
    </row>
    <row r="50" spans="1:8" x14ac:dyDescent="0.25">
      <c r="A50" s="38">
        <v>47</v>
      </c>
      <c r="B50" s="55">
        <v>134.27000000000001</v>
      </c>
      <c r="C50" s="53">
        <f t="shared" si="4"/>
        <v>117.17</v>
      </c>
      <c r="D50" s="53">
        <f t="shared" si="0"/>
        <v>0.53428571428574401</v>
      </c>
      <c r="E50" s="53">
        <f t="shared" si="1"/>
        <v>7.8238095238095298</v>
      </c>
      <c r="F50" s="4">
        <f t="shared" si="2"/>
        <v>4.1801496598641812</v>
      </c>
      <c r="G50" s="4">
        <f t="shared" si="3"/>
        <v>0.28546122448982769</v>
      </c>
      <c r="H50" s="4">
        <f t="shared" si="3"/>
        <v>61.211995464852698</v>
      </c>
    </row>
    <row r="51" spans="1:8" x14ac:dyDescent="0.25">
      <c r="A51" s="38">
        <v>48</v>
      </c>
      <c r="B51" s="55">
        <v>133.72999999999999</v>
      </c>
      <c r="C51" s="53">
        <f t="shared" si="4"/>
        <v>117.61</v>
      </c>
      <c r="D51" s="53">
        <f t="shared" si="0"/>
        <v>-5.7142857142764569E-3</v>
      </c>
      <c r="E51" s="53">
        <f t="shared" si="1"/>
        <v>8.2638095238095275</v>
      </c>
      <c r="F51" s="4">
        <f t="shared" si="2"/>
        <v>-4.7221768707406513E-2</v>
      </c>
      <c r="G51" s="4">
        <f t="shared" si="3"/>
        <v>3.2653061224383996E-5</v>
      </c>
      <c r="H51" s="4">
        <f t="shared" si="3"/>
        <v>68.290547845805051</v>
      </c>
    </row>
    <row r="52" spans="1:8" x14ac:dyDescent="0.25">
      <c r="A52" s="38">
        <v>49</v>
      </c>
      <c r="B52" s="55">
        <v>132.01</v>
      </c>
      <c r="C52" s="53">
        <f t="shared" si="4"/>
        <v>117.26</v>
      </c>
      <c r="D52" s="53">
        <f t="shared" si="0"/>
        <v>-1.7257142857142753</v>
      </c>
      <c r="E52" s="53">
        <f t="shared" si="1"/>
        <v>7.9138095238095332</v>
      </c>
      <c r="F52" s="4">
        <f t="shared" si="2"/>
        <v>-13.656974149659797</v>
      </c>
      <c r="G52" s="4">
        <f t="shared" si="3"/>
        <v>2.9780897959183315</v>
      </c>
      <c r="H52" s="4">
        <f t="shared" si="3"/>
        <v>62.628381179138472</v>
      </c>
    </row>
    <row r="53" spans="1:8" x14ac:dyDescent="0.25">
      <c r="A53" s="38">
        <v>50</v>
      </c>
      <c r="B53" s="55">
        <v>130.59</v>
      </c>
      <c r="C53" s="53">
        <f t="shared" si="4"/>
        <v>115.88</v>
      </c>
      <c r="D53" s="53">
        <f t="shared" si="0"/>
        <v>-3.1457142857142628</v>
      </c>
      <c r="E53" s="53">
        <f t="shared" si="1"/>
        <v>6.5338095238095235</v>
      </c>
      <c r="F53" s="4">
        <f t="shared" si="2"/>
        <v>-20.553497959183524</v>
      </c>
      <c r="G53" s="4">
        <f t="shared" si="3"/>
        <v>9.8955183673467939</v>
      </c>
      <c r="H53" s="4">
        <f t="shared" si="3"/>
        <v>42.69066689342403</v>
      </c>
    </row>
    <row r="54" spans="1:8" x14ac:dyDescent="0.25">
      <c r="A54" s="38">
        <v>51</v>
      </c>
      <c r="B54" s="55">
        <v>130.28</v>
      </c>
      <c r="C54" s="53">
        <f t="shared" si="4"/>
        <v>113.35</v>
      </c>
      <c r="D54" s="53">
        <f t="shared" si="0"/>
        <v>-3.4557142857142651</v>
      </c>
      <c r="E54" s="53">
        <f t="shared" si="1"/>
        <v>4.0038095238095224</v>
      </c>
      <c r="F54" s="4">
        <f t="shared" si="2"/>
        <v>-13.836021768707395</v>
      </c>
      <c r="G54" s="4">
        <f t="shared" si="3"/>
        <v>11.941961224489653</v>
      </c>
      <c r="H54" s="4">
        <f t="shared" si="3"/>
        <v>16.030490702947834</v>
      </c>
    </row>
    <row r="55" spans="1:8" x14ac:dyDescent="0.25">
      <c r="A55" s="38">
        <v>52</v>
      </c>
      <c r="B55" s="55">
        <v>129.16</v>
      </c>
      <c r="C55" s="53">
        <f t="shared" si="4"/>
        <v>111.39</v>
      </c>
      <c r="D55" s="53">
        <f t="shared" si="0"/>
        <v>-4.5757142857142696</v>
      </c>
      <c r="E55" s="53">
        <f t="shared" si="1"/>
        <v>2.0438095238095286</v>
      </c>
      <c r="F55" s="4">
        <f t="shared" si="2"/>
        <v>-9.3518884353741392</v>
      </c>
      <c r="G55" s="4">
        <f t="shared" si="3"/>
        <v>20.93716122448965</v>
      </c>
      <c r="H55" s="4">
        <f t="shared" si="3"/>
        <v>4.1771573696145321</v>
      </c>
    </row>
    <row r="56" spans="1:8" x14ac:dyDescent="0.25">
      <c r="A56" s="38">
        <v>53</v>
      </c>
      <c r="B56" s="55">
        <v>128.94</v>
      </c>
      <c r="C56" s="53">
        <f t="shared" si="4"/>
        <v>109.76</v>
      </c>
      <c r="D56" s="53">
        <f t="shared" si="0"/>
        <v>-4.7957142857142685</v>
      </c>
      <c r="E56" s="53">
        <f t="shared" si="1"/>
        <v>0.41380952380953318</v>
      </c>
      <c r="F56" s="4">
        <f t="shared" si="2"/>
        <v>-1.984512244897997</v>
      </c>
      <c r="G56" s="4">
        <f t="shared" ref="G56:H61" si="5">D56*D56</f>
        <v>22.998875510203916</v>
      </c>
      <c r="H56" s="4">
        <f t="shared" si="5"/>
        <v>0.17123832199547259</v>
      </c>
    </row>
    <row r="57" spans="1:8" x14ac:dyDescent="0.25">
      <c r="A57" s="38">
        <v>54</v>
      </c>
      <c r="B57" s="55">
        <v>129.30000000000001</v>
      </c>
      <c r="C57" s="53">
        <f t="shared" si="4"/>
        <v>109.5</v>
      </c>
      <c r="D57" s="53">
        <f t="shared" si="0"/>
        <v>-4.4357142857142549</v>
      </c>
      <c r="E57" s="53">
        <f t="shared" si="1"/>
        <v>0.15380952380952806</v>
      </c>
      <c r="F57" s="4">
        <f t="shared" si="2"/>
        <v>-0.6822551020408304</v>
      </c>
      <c r="G57" s="4">
        <f t="shared" si="5"/>
        <v>19.675561224489524</v>
      </c>
      <c r="H57" s="4">
        <f t="shared" si="5"/>
        <v>2.3657369614513778E-2</v>
      </c>
    </row>
    <row r="58" spans="1:8" x14ac:dyDescent="0.25">
      <c r="A58" s="38">
        <v>55</v>
      </c>
      <c r="B58" s="55">
        <v>131.22</v>
      </c>
      <c r="C58" s="53">
        <f t="shared" si="4"/>
        <v>108.86</v>
      </c>
      <c r="D58" s="53">
        <f t="shared" si="0"/>
        <v>-2.5157142857142674</v>
      </c>
      <c r="E58" s="53">
        <f t="shared" si="1"/>
        <v>-0.48619047619047251</v>
      </c>
      <c r="F58" s="4">
        <f t="shared" si="2"/>
        <v>1.223116326530594</v>
      </c>
      <c r="G58" s="4">
        <f t="shared" si="5"/>
        <v>6.3288183673468463</v>
      </c>
      <c r="H58" s="4">
        <f t="shared" si="5"/>
        <v>0.23638117913831841</v>
      </c>
    </row>
    <row r="59" spans="1:8" x14ac:dyDescent="0.25">
      <c r="A59" s="38">
        <v>56</v>
      </c>
      <c r="B59" s="55">
        <v>132.52000000000001</v>
      </c>
      <c r="C59" s="53">
        <f t="shared" si="4"/>
        <v>108.49</v>
      </c>
      <c r="D59" s="53">
        <f t="shared" si="0"/>
        <v>-1.215714285714256</v>
      </c>
      <c r="E59" s="53">
        <f t="shared" si="1"/>
        <v>-0.85619047619047706</v>
      </c>
      <c r="F59" s="4">
        <f t="shared" si="2"/>
        <v>1.0408829931972545</v>
      </c>
      <c r="G59" s="4">
        <f t="shared" si="5"/>
        <v>1.4779612244897236</v>
      </c>
      <c r="H59" s="4">
        <f t="shared" si="5"/>
        <v>0.73306213151927591</v>
      </c>
    </row>
    <row r="60" spans="1:8" x14ac:dyDescent="0.25">
      <c r="A60" s="38">
        <v>57</v>
      </c>
      <c r="B60" s="55">
        <v>134.25</v>
      </c>
      <c r="C60" s="53">
        <f t="shared" si="4"/>
        <v>108.36</v>
      </c>
      <c r="D60" s="53">
        <f t="shared" si="0"/>
        <v>0.51428571428573377</v>
      </c>
      <c r="E60" s="53">
        <f t="shared" si="1"/>
        <v>-0.98619047619047251</v>
      </c>
      <c r="F60" s="4">
        <f t="shared" si="2"/>
        <v>-0.50718367346940507</v>
      </c>
      <c r="G60" s="4">
        <f t="shared" si="5"/>
        <v>0.26448979591838739</v>
      </c>
      <c r="H60" s="4">
        <f t="shared" si="5"/>
        <v>0.97257165532879097</v>
      </c>
    </row>
    <row r="61" spans="1:8" x14ac:dyDescent="0.25">
      <c r="A61" s="38">
        <v>58</v>
      </c>
      <c r="B61" s="55">
        <v>136.06</v>
      </c>
      <c r="C61" s="53">
        <f t="shared" si="4"/>
        <v>108.19</v>
      </c>
      <c r="D61" s="53">
        <f t="shared" si="0"/>
        <v>2.324285714285736</v>
      </c>
      <c r="E61" s="53">
        <f t="shared" si="1"/>
        <v>-1.1561904761904742</v>
      </c>
      <c r="F61" s="4">
        <f t="shared" si="2"/>
        <v>-2.6873170068027417</v>
      </c>
      <c r="G61" s="4">
        <f t="shared" si="5"/>
        <v>5.4023040816327539</v>
      </c>
      <c r="H61" s="4">
        <f t="shared" si="5"/>
        <v>1.3367764172335554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2296.27</v>
      </c>
      <c r="D62" s="49">
        <f t="shared" si="6"/>
        <v>3.979039320256561E-13</v>
      </c>
      <c r="E62" s="49">
        <f t="shared" si="6"/>
        <v>4.2632564145606011E-14</v>
      </c>
      <c r="F62" s="49">
        <f t="shared" si="6"/>
        <v>-194.11584285714292</v>
      </c>
      <c r="G62" s="49">
        <f t="shared" si="6"/>
        <v>195.93731428571422</v>
      </c>
      <c r="H62" s="49">
        <f t="shared" si="6"/>
        <v>579.75389523809554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109.34619047619047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399</v>
      </c>
      <c r="B65" s="49">
        <f>SUM(B41:B61)/21</f>
        <v>133.73571428571427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400</v>
      </c>
      <c r="B66" s="38">
        <f>SUM(C41:C61)/21</f>
        <v>109.34619047619047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401</v>
      </c>
      <c r="B68" s="38">
        <f>F62/SQRT(G62*H62)</f>
        <v>-0.57594441194291157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4" workbookViewId="0">
      <selection activeCell="B68" sqref="B68"/>
    </sheetView>
  </sheetViews>
  <sheetFormatPr defaultRowHeight="15" x14ac:dyDescent="0.25"/>
  <cols>
    <col min="6" max="6" width="18.1406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404</v>
      </c>
      <c r="D3" s="45" t="s">
        <v>405</v>
      </c>
      <c r="E3" s="45" t="s">
        <v>406</v>
      </c>
      <c r="F3" s="46" t="s">
        <v>407</v>
      </c>
      <c r="G3" s="45" t="s">
        <v>408</v>
      </c>
      <c r="H3" s="45" t="s">
        <v>409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53">
        <f>B4</f>
        <v>102.32</v>
      </c>
      <c r="D42" s="53">
        <f t="shared" ref="D42:D61" si="0">B42-$B$65</f>
        <v>5.6820000000000164</v>
      </c>
      <c r="E42" s="53">
        <f t="shared" ref="E42:E61" si="1">C42-$B$66</f>
        <v>-7.0840000000000032</v>
      </c>
      <c r="F42" s="4">
        <f t="shared" ref="F42:F61" si="2">D42*E42</f>
        <v>-40.251288000000137</v>
      </c>
      <c r="G42" s="4">
        <f t="shared" ref="G42:H56" si="3">D42*D42</f>
        <v>32.285124000000188</v>
      </c>
      <c r="H42" s="4">
        <f t="shared" si="3"/>
        <v>50.183056000000043</v>
      </c>
    </row>
    <row r="43" spans="1:8" x14ac:dyDescent="0.25">
      <c r="A43" s="38">
        <v>40</v>
      </c>
      <c r="B43" s="55">
        <v>137.5</v>
      </c>
      <c r="C43" s="53">
        <f t="shared" ref="C43:C61" si="4">B5</f>
        <v>102.21</v>
      </c>
      <c r="D43" s="53">
        <f t="shared" si="0"/>
        <v>4.0820000000000221</v>
      </c>
      <c r="E43" s="53">
        <f t="shared" si="1"/>
        <v>-7.1940000000000026</v>
      </c>
      <c r="F43" s="4">
        <f t="shared" si="2"/>
        <v>-29.365908000000168</v>
      </c>
      <c r="G43" s="4">
        <f t="shared" si="3"/>
        <v>16.662724000000178</v>
      </c>
      <c r="H43" s="4">
        <f t="shared" si="3"/>
        <v>51.753636000000036</v>
      </c>
    </row>
    <row r="44" spans="1:8" x14ac:dyDescent="0.25">
      <c r="A44" s="38">
        <v>41</v>
      </c>
      <c r="B44" s="55">
        <v>136.12</v>
      </c>
      <c r="C44" s="53">
        <f t="shared" si="4"/>
        <v>102.16</v>
      </c>
      <c r="D44" s="53">
        <f t="shared" si="0"/>
        <v>2.7020000000000266</v>
      </c>
      <c r="E44" s="53">
        <f t="shared" si="1"/>
        <v>-7.2439999999999998</v>
      </c>
      <c r="F44" s="4">
        <f t="shared" si="2"/>
        <v>-19.573288000000193</v>
      </c>
      <c r="G44" s="4">
        <f t="shared" si="3"/>
        <v>7.3008040000001442</v>
      </c>
      <c r="H44" s="4">
        <f t="shared" si="3"/>
        <v>52.475535999999998</v>
      </c>
    </row>
    <row r="45" spans="1:8" x14ac:dyDescent="0.25">
      <c r="A45" s="38">
        <v>42</v>
      </c>
      <c r="B45" s="55">
        <v>135.22</v>
      </c>
      <c r="C45" s="53">
        <f t="shared" si="4"/>
        <v>102.06</v>
      </c>
      <c r="D45" s="53">
        <f t="shared" si="0"/>
        <v>1.8020000000000209</v>
      </c>
      <c r="E45" s="53">
        <f t="shared" si="1"/>
        <v>-7.3439999999999941</v>
      </c>
      <c r="F45" s="4">
        <f t="shared" si="2"/>
        <v>-13.233888000000142</v>
      </c>
      <c r="G45" s="4">
        <f t="shared" si="3"/>
        <v>3.2472040000000755</v>
      </c>
      <c r="H45" s="4">
        <f t="shared" si="3"/>
        <v>53.934335999999917</v>
      </c>
    </row>
    <row r="46" spans="1:8" x14ac:dyDescent="0.25">
      <c r="A46" s="38">
        <v>43</v>
      </c>
      <c r="B46" s="55">
        <v>134.72999999999999</v>
      </c>
      <c r="C46" s="53">
        <f t="shared" si="4"/>
        <v>102.55</v>
      </c>
      <c r="D46" s="53">
        <f t="shared" si="0"/>
        <v>1.3120000000000118</v>
      </c>
      <c r="E46" s="53">
        <f t="shared" si="1"/>
        <v>-6.8539999999999992</v>
      </c>
      <c r="F46" s="4">
        <f t="shared" si="2"/>
        <v>-8.9924480000000795</v>
      </c>
      <c r="G46" s="4">
        <f t="shared" si="3"/>
        <v>1.7213440000000311</v>
      </c>
      <c r="H46" s="4">
        <f t="shared" si="3"/>
        <v>46.977315999999988</v>
      </c>
    </row>
    <row r="47" spans="1:8" x14ac:dyDescent="0.25">
      <c r="A47" s="38">
        <v>44</v>
      </c>
      <c r="B47" s="55">
        <v>134.38999999999999</v>
      </c>
      <c r="C47" s="53">
        <f t="shared" si="4"/>
        <v>104.35</v>
      </c>
      <c r="D47" s="53">
        <f t="shared" si="0"/>
        <v>0.97200000000000841</v>
      </c>
      <c r="E47" s="53">
        <f t="shared" si="1"/>
        <v>-5.054000000000002</v>
      </c>
      <c r="F47" s="4">
        <f t="shared" si="2"/>
        <v>-4.9124880000000442</v>
      </c>
      <c r="G47" s="4">
        <f t="shared" si="3"/>
        <v>0.94478400000001639</v>
      </c>
      <c r="H47" s="4">
        <f t="shared" si="3"/>
        <v>25.542916000000019</v>
      </c>
    </row>
    <row r="48" spans="1:8" x14ac:dyDescent="0.25">
      <c r="A48" s="38">
        <v>45</v>
      </c>
      <c r="B48" s="55">
        <v>134.51</v>
      </c>
      <c r="C48" s="53">
        <f t="shared" si="4"/>
        <v>107.57</v>
      </c>
      <c r="D48" s="53">
        <f t="shared" si="0"/>
        <v>1.092000000000013</v>
      </c>
      <c r="E48" s="53">
        <f t="shared" si="1"/>
        <v>-1.8340000000000032</v>
      </c>
      <c r="F48" s="4">
        <f t="shared" si="2"/>
        <v>-2.0027280000000274</v>
      </c>
      <c r="G48" s="4">
        <f t="shared" si="3"/>
        <v>1.1924640000000284</v>
      </c>
      <c r="H48" s="4">
        <f t="shared" si="3"/>
        <v>3.3635560000000115</v>
      </c>
    </row>
    <row r="49" spans="1:8" x14ac:dyDescent="0.25">
      <c r="A49" s="38">
        <v>46</v>
      </c>
      <c r="B49" s="55">
        <v>134.46</v>
      </c>
      <c r="C49" s="53">
        <f t="shared" si="4"/>
        <v>111.96</v>
      </c>
      <c r="D49" s="53">
        <f t="shared" si="0"/>
        <v>1.04200000000003</v>
      </c>
      <c r="E49" s="53">
        <f t="shared" si="1"/>
        <v>2.5559999999999974</v>
      </c>
      <c r="F49" s="4">
        <f t="shared" si="2"/>
        <v>2.6633520000000739</v>
      </c>
      <c r="G49" s="4">
        <f t="shared" si="3"/>
        <v>1.0857640000000626</v>
      </c>
      <c r="H49" s="4">
        <f t="shared" si="3"/>
        <v>6.5331359999999865</v>
      </c>
    </row>
    <row r="50" spans="1:8" x14ac:dyDescent="0.25">
      <c r="A50" s="38">
        <v>47</v>
      </c>
      <c r="B50" s="55">
        <v>134.27000000000001</v>
      </c>
      <c r="C50" s="53">
        <f t="shared" si="4"/>
        <v>115.27</v>
      </c>
      <c r="D50" s="53">
        <f t="shared" si="0"/>
        <v>0.85200000000003229</v>
      </c>
      <c r="E50" s="53">
        <f t="shared" si="1"/>
        <v>5.8659999999999997</v>
      </c>
      <c r="F50" s="4">
        <f t="shared" si="2"/>
        <v>4.997832000000189</v>
      </c>
      <c r="G50" s="4">
        <f t="shared" si="3"/>
        <v>0.72590400000005506</v>
      </c>
      <c r="H50" s="4">
        <f t="shared" si="3"/>
        <v>34.409955999999994</v>
      </c>
    </row>
    <row r="51" spans="1:8" x14ac:dyDescent="0.25">
      <c r="A51" s="38">
        <v>48</v>
      </c>
      <c r="B51" s="55">
        <v>133.72999999999999</v>
      </c>
      <c r="C51" s="53">
        <f t="shared" si="4"/>
        <v>117.17</v>
      </c>
      <c r="D51" s="53">
        <f t="shared" si="0"/>
        <v>0.31200000000001182</v>
      </c>
      <c r="E51" s="53">
        <f t="shared" si="1"/>
        <v>7.7660000000000053</v>
      </c>
      <c r="F51" s="4">
        <f t="shared" si="2"/>
        <v>2.4229920000000935</v>
      </c>
      <c r="G51" s="4">
        <f t="shared" si="3"/>
        <v>9.7344000000007383E-2</v>
      </c>
      <c r="H51" s="4">
        <f t="shared" si="3"/>
        <v>60.310756000000083</v>
      </c>
    </row>
    <row r="52" spans="1:8" x14ac:dyDescent="0.25">
      <c r="A52" s="38">
        <v>49</v>
      </c>
      <c r="B52" s="55">
        <v>132.01</v>
      </c>
      <c r="C52" s="53">
        <f t="shared" si="4"/>
        <v>117.61</v>
      </c>
      <c r="D52" s="53">
        <f t="shared" si="0"/>
        <v>-1.407999999999987</v>
      </c>
      <c r="E52" s="53">
        <f t="shared" si="1"/>
        <v>8.2060000000000031</v>
      </c>
      <c r="F52" s="4">
        <f t="shared" si="2"/>
        <v>-11.554047999999899</v>
      </c>
      <c r="G52" s="4">
        <f t="shared" si="3"/>
        <v>1.9824639999999636</v>
      </c>
      <c r="H52" s="4">
        <f t="shared" si="3"/>
        <v>67.338436000000044</v>
      </c>
    </row>
    <row r="53" spans="1:8" x14ac:dyDescent="0.25">
      <c r="A53" s="38">
        <v>50</v>
      </c>
      <c r="B53" s="55">
        <v>130.59</v>
      </c>
      <c r="C53" s="53">
        <f t="shared" si="4"/>
        <v>117.26</v>
      </c>
      <c r="D53" s="53">
        <f t="shared" si="0"/>
        <v>-2.8279999999999745</v>
      </c>
      <c r="E53" s="53">
        <f t="shared" si="1"/>
        <v>7.8560000000000088</v>
      </c>
      <c r="F53" s="4">
        <f t="shared" si="2"/>
        <v>-22.216767999999824</v>
      </c>
      <c r="G53" s="4">
        <f t="shared" si="3"/>
        <v>7.9975839999998559</v>
      </c>
      <c r="H53" s="4">
        <f t="shared" si="3"/>
        <v>61.716736000000139</v>
      </c>
    </row>
    <row r="54" spans="1:8" x14ac:dyDescent="0.25">
      <c r="A54" s="38">
        <v>51</v>
      </c>
      <c r="B54" s="55">
        <v>130.28</v>
      </c>
      <c r="C54" s="53">
        <f t="shared" si="4"/>
        <v>115.88</v>
      </c>
      <c r="D54" s="53">
        <f t="shared" si="0"/>
        <v>-3.1379999999999768</v>
      </c>
      <c r="E54" s="53">
        <f t="shared" si="1"/>
        <v>6.4759999999999991</v>
      </c>
      <c r="F54" s="4">
        <f t="shared" si="2"/>
        <v>-20.321687999999845</v>
      </c>
      <c r="G54" s="4">
        <f t="shared" si="3"/>
        <v>9.8470439999998547</v>
      </c>
      <c r="H54" s="4">
        <f t="shared" si="3"/>
        <v>41.938575999999991</v>
      </c>
    </row>
    <row r="55" spans="1:8" x14ac:dyDescent="0.25">
      <c r="A55" s="38">
        <v>52</v>
      </c>
      <c r="B55" s="55">
        <v>129.16</v>
      </c>
      <c r="C55" s="53">
        <f t="shared" si="4"/>
        <v>113.35</v>
      </c>
      <c r="D55" s="53">
        <f t="shared" si="0"/>
        <v>-4.2579999999999814</v>
      </c>
      <c r="E55" s="53">
        <f t="shared" si="1"/>
        <v>3.945999999999998</v>
      </c>
      <c r="F55" s="4">
        <f t="shared" si="2"/>
        <v>-16.802067999999917</v>
      </c>
      <c r="G55" s="4">
        <f t="shared" si="3"/>
        <v>18.13056399999984</v>
      </c>
      <c r="H55" s="4">
        <f t="shared" si="3"/>
        <v>15.570915999999984</v>
      </c>
    </row>
    <row r="56" spans="1:8" x14ac:dyDescent="0.25">
      <c r="A56" s="38">
        <v>53</v>
      </c>
      <c r="B56" s="55">
        <v>128.94</v>
      </c>
      <c r="C56" s="53">
        <f t="shared" si="4"/>
        <v>111.39</v>
      </c>
      <c r="D56" s="53">
        <f t="shared" si="0"/>
        <v>-4.4779999999999802</v>
      </c>
      <c r="E56" s="53">
        <f t="shared" si="1"/>
        <v>1.9860000000000042</v>
      </c>
      <c r="F56" s="4">
        <f t="shared" si="2"/>
        <v>-8.8933079999999798</v>
      </c>
      <c r="G56" s="4">
        <f t="shared" si="3"/>
        <v>20.052483999999822</v>
      </c>
      <c r="H56" s="4">
        <f t="shared" si="3"/>
        <v>3.9441960000000167</v>
      </c>
    </row>
    <row r="57" spans="1:8" x14ac:dyDescent="0.25">
      <c r="A57" s="38">
        <v>54</v>
      </c>
      <c r="B57" s="55">
        <v>129.30000000000001</v>
      </c>
      <c r="C57" s="53">
        <f t="shared" si="4"/>
        <v>109.76</v>
      </c>
      <c r="D57" s="53">
        <f t="shared" si="0"/>
        <v>-4.1179999999999666</v>
      </c>
      <c r="E57" s="53">
        <f t="shared" si="1"/>
        <v>0.35600000000000875</v>
      </c>
      <c r="F57" s="4">
        <f t="shared" si="2"/>
        <v>-1.4660080000000242</v>
      </c>
      <c r="G57" s="4">
        <f t="shared" ref="G57:H61" si="5">D57*D57</f>
        <v>16.957923999999725</v>
      </c>
      <c r="H57" s="4">
        <f t="shared" si="5"/>
        <v>0.12673600000000623</v>
      </c>
    </row>
    <row r="58" spans="1:8" x14ac:dyDescent="0.25">
      <c r="A58" s="38">
        <v>55</v>
      </c>
      <c r="B58" s="55">
        <v>131.22</v>
      </c>
      <c r="C58" s="53">
        <f t="shared" si="4"/>
        <v>109.5</v>
      </c>
      <c r="D58" s="53">
        <f t="shared" si="0"/>
        <v>-2.1979999999999791</v>
      </c>
      <c r="E58" s="53">
        <f t="shared" si="1"/>
        <v>9.6000000000003638E-2</v>
      </c>
      <c r="F58" s="4">
        <f t="shared" si="2"/>
        <v>-0.211008000000006</v>
      </c>
      <c r="G58" s="4">
        <f t="shared" si="5"/>
        <v>4.8312039999999081</v>
      </c>
      <c r="H58" s="4">
        <f t="shared" si="5"/>
        <v>9.2160000000006993E-3</v>
      </c>
    </row>
    <row r="59" spans="1:8" x14ac:dyDescent="0.25">
      <c r="A59" s="38">
        <v>56</v>
      </c>
      <c r="B59" s="55">
        <v>132.52000000000001</v>
      </c>
      <c r="C59" s="53">
        <f t="shared" si="4"/>
        <v>108.86</v>
      </c>
      <c r="D59" s="53">
        <f t="shared" si="0"/>
        <v>-0.89799999999996771</v>
      </c>
      <c r="E59" s="53">
        <f t="shared" si="1"/>
        <v>-0.54399999999999693</v>
      </c>
      <c r="F59" s="4">
        <f t="shared" si="2"/>
        <v>0.48851199999997968</v>
      </c>
      <c r="G59" s="4">
        <f t="shared" si="5"/>
        <v>0.80640399999994206</v>
      </c>
      <c r="H59" s="4">
        <f t="shared" si="5"/>
        <v>0.29593599999999665</v>
      </c>
    </row>
    <row r="60" spans="1:8" x14ac:dyDescent="0.25">
      <c r="A60" s="38">
        <v>57</v>
      </c>
      <c r="B60" s="55">
        <v>134.25</v>
      </c>
      <c r="C60" s="53">
        <f t="shared" si="4"/>
        <v>108.49</v>
      </c>
      <c r="D60" s="53">
        <f t="shared" si="0"/>
        <v>0.83200000000002206</v>
      </c>
      <c r="E60" s="53">
        <f t="shared" si="1"/>
        <v>-0.91400000000000148</v>
      </c>
      <c r="F60" s="4">
        <f t="shared" si="2"/>
        <v>-0.76044800000002144</v>
      </c>
      <c r="G60" s="4">
        <f t="shared" si="5"/>
        <v>0.6922240000000367</v>
      </c>
      <c r="H60" s="4">
        <f t="shared" si="5"/>
        <v>0.83539600000000269</v>
      </c>
    </row>
    <row r="61" spans="1:8" x14ac:dyDescent="0.25">
      <c r="A61" s="38">
        <v>58</v>
      </c>
      <c r="B61" s="55">
        <v>136.06</v>
      </c>
      <c r="C61" s="53">
        <f t="shared" si="4"/>
        <v>108.36</v>
      </c>
      <c r="D61" s="53">
        <f t="shared" si="0"/>
        <v>2.6420000000000243</v>
      </c>
      <c r="E61" s="53">
        <f t="shared" si="1"/>
        <v>-1.0439999999999969</v>
      </c>
      <c r="F61" s="4">
        <f t="shared" si="2"/>
        <v>-2.7582480000000174</v>
      </c>
      <c r="G61" s="4">
        <f t="shared" si="5"/>
        <v>6.9801640000001282</v>
      </c>
      <c r="H61" s="4">
        <f t="shared" si="5"/>
        <v>1.0899359999999936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2188.08</v>
      </c>
      <c r="D62" s="49">
        <f t="shared" si="6"/>
        <v>4.2632564145606011E-13</v>
      </c>
      <c r="E62" s="49">
        <f t="shared" si="6"/>
        <v>2.8421709430404007E-14</v>
      </c>
      <c r="F62" s="49">
        <f t="shared" si="6"/>
        <v>-192.74293999999995</v>
      </c>
      <c r="G62" s="49">
        <f t="shared" si="6"/>
        <v>153.54151999999985</v>
      </c>
      <c r="H62" s="49">
        <f t="shared" si="6"/>
        <v>578.35028000000034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109.404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410</v>
      </c>
      <c r="B65" s="49">
        <f>SUM(B42:B61)/20</f>
        <v>133.41799999999998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411</v>
      </c>
      <c r="B66" s="38">
        <f>SUM(C42:C61)/20</f>
        <v>109.404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412</v>
      </c>
      <c r="B68" s="38">
        <f>F62/SQRT(G62*H62)</f>
        <v>-0.64680011178740748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0" workbookViewId="0">
      <selection activeCell="F67" sqref="F67"/>
    </sheetView>
  </sheetViews>
  <sheetFormatPr defaultRowHeight="15" x14ac:dyDescent="0.25"/>
  <cols>
    <col min="6" max="6" width="18.42578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413</v>
      </c>
      <c r="D3" s="45" t="s">
        <v>414</v>
      </c>
      <c r="E3" s="45" t="s">
        <v>415</v>
      </c>
      <c r="F3" s="46" t="s">
        <v>416</v>
      </c>
      <c r="G3" s="45" t="s">
        <v>417</v>
      </c>
      <c r="H3" s="45" t="s">
        <v>418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53">
        <f>B4</f>
        <v>102.32</v>
      </c>
      <c r="D43" s="53">
        <f t="shared" ref="D43:D61" si="0">B43-$B$65</f>
        <v>4.3810526315789673</v>
      </c>
      <c r="E43" s="53">
        <f t="shared" ref="E43:E61" si="1">C43-$B$66</f>
        <v>-7.1389473684210429</v>
      </c>
      <c r="F43" s="4">
        <f t="shared" ref="F43:F61" si="2">D43*E43</f>
        <v>-31.276104155124752</v>
      </c>
      <c r="G43" s="4">
        <f t="shared" ref="G43:H57" si="3">D43*D43</f>
        <v>19.193622160664994</v>
      </c>
      <c r="H43" s="4">
        <f t="shared" si="3"/>
        <v>50.964569529085736</v>
      </c>
    </row>
    <row r="44" spans="1:8" x14ac:dyDescent="0.25">
      <c r="A44" s="38">
        <v>41</v>
      </c>
      <c r="B44" s="55">
        <v>136.12</v>
      </c>
      <c r="C44" s="53">
        <f t="shared" ref="C44:C61" si="4">B5</f>
        <v>102.21</v>
      </c>
      <c r="D44" s="53">
        <f t="shared" si="0"/>
        <v>3.0010526315789718</v>
      </c>
      <c r="E44" s="53">
        <f t="shared" si="1"/>
        <v>-7.2489473684210424</v>
      </c>
      <c r="F44" s="4">
        <f t="shared" si="2"/>
        <v>-21.754472576177431</v>
      </c>
      <c r="G44" s="4">
        <f t="shared" si="3"/>
        <v>9.0063168975070713</v>
      </c>
      <c r="H44" s="4">
        <f t="shared" si="3"/>
        <v>52.547237950138353</v>
      </c>
    </row>
    <row r="45" spans="1:8" x14ac:dyDescent="0.25">
      <c r="A45" s="38">
        <v>42</v>
      </c>
      <c r="B45" s="55">
        <v>135.22</v>
      </c>
      <c r="C45" s="53">
        <f t="shared" si="4"/>
        <v>102.16</v>
      </c>
      <c r="D45" s="53">
        <f t="shared" si="0"/>
        <v>2.1010526315789662</v>
      </c>
      <c r="E45" s="53">
        <f t="shared" si="1"/>
        <v>-7.2989473684210395</v>
      </c>
      <c r="F45" s="4">
        <f t="shared" si="2"/>
        <v>-15.335472576177395</v>
      </c>
      <c r="G45" s="4">
        <f t="shared" si="3"/>
        <v>4.4144221606648992</v>
      </c>
      <c r="H45" s="4">
        <f t="shared" si="3"/>
        <v>53.274632686980418</v>
      </c>
    </row>
    <row r="46" spans="1:8" x14ac:dyDescent="0.25">
      <c r="A46" s="38">
        <v>43</v>
      </c>
      <c r="B46" s="55">
        <v>134.72999999999999</v>
      </c>
      <c r="C46" s="53">
        <f t="shared" si="4"/>
        <v>102.06</v>
      </c>
      <c r="D46" s="53">
        <f t="shared" si="0"/>
        <v>1.6110526315789571</v>
      </c>
      <c r="E46" s="53">
        <f t="shared" si="1"/>
        <v>-7.3989473684210338</v>
      </c>
      <c r="F46" s="4">
        <f t="shared" si="2"/>
        <v>-11.920093628808905</v>
      </c>
      <c r="G46" s="4">
        <f t="shared" si="3"/>
        <v>2.5954905817174829</v>
      </c>
      <c r="H46" s="4">
        <f t="shared" si="3"/>
        <v>54.744422160664541</v>
      </c>
    </row>
    <row r="47" spans="1:8" x14ac:dyDescent="0.25">
      <c r="A47" s="38">
        <v>44</v>
      </c>
      <c r="B47" s="55">
        <v>134.38999999999999</v>
      </c>
      <c r="C47" s="53">
        <f t="shared" si="4"/>
        <v>102.55</v>
      </c>
      <c r="D47" s="53">
        <f t="shared" si="0"/>
        <v>1.2710526315789537</v>
      </c>
      <c r="E47" s="53">
        <f t="shared" si="1"/>
        <v>-6.908947368421039</v>
      </c>
      <c r="F47" s="4">
        <f t="shared" si="2"/>
        <v>-8.781635734072049</v>
      </c>
      <c r="G47" s="4">
        <f t="shared" si="3"/>
        <v>1.6155747922437833</v>
      </c>
      <c r="H47" s="4">
        <f t="shared" si="3"/>
        <v>47.733553739611999</v>
      </c>
    </row>
    <row r="48" spans="1:8" x14ac:dyDescent="0.25">
      <c r="A48" s="38">
        <v>45</v>
      </c>
      <c r="B48" s="55">
        <v>134.51</v>
      </c>
      <c r="C48" s="53">
        <f t="shared" si="4"/>
        <v>104.35</v>
      </c>
      <c r="D48" s="53">
        <f t="shared" si="0"/>
        <v>1.3910526315789582</v>
      </c>
      <c r="E48" s="53">
        <f t="shared" si="1"/>
        <v>-5.1089473684210418</v>
      </c>
      <c r="F48" s="4">
        <f t="shared" si="2"/>
        <v>-7.1068146814404836</v>
      </c>
      <c r="G48" s="4">
        <f t="shared" si="3"/>
        <v>1.9350274238227447</v>
      </c>
      <c r="H48" s="4">
        <f t="shared" si="3"/>
        <v>26.101343213296289</v>
      </c>
    </row>
    <row r="49" spans="1:8" x14ac:dyDescent="0.25">
      <c r="A49" s="38">
        <v>46</v>
      </c>
      <c r="B49" s="55">
        <v>134.46</v>
      </c>
      <c r="C49" s="53">
        <f t="shared" si="4"/>
        <v>107.57</v>
      </c>
      <c r="D49" s="53">
        <f t="shared" si="0"/>
        <v>1.3410526315789753</v>
      </c>
      <c r="E49" s="53">
        <f t="shared" si="1"/>
        <v>-1.8889473684210429</v>
      </c>
      <c r="F49" s="4">
        <f t="shared" si="2"/>
        <v>-2.5331778393352198</v>
      </c>
      <c r="G49" s="4">
        <f t="shared" si="3"/>
        <v>1.7984221606648947</v>
      </c>
      <c r="H49" s="4">
        <f t="shared" si="3"/>
        <v>3.5681221606647835</v>
      </c>
    </row>
    <row r="50" spans="1:8" x14ac:dyDescent="0.25">
      <c r="A50" s="38">
        <v>47</v>
      </c>
      <c r="B50" s="55">
        <v>134.27000000000001</v>
      </c>
      <c r="C50" s="53">
        <f t="shared" si="4"/>
        <v>111.96</v>
      </c>
      <c r="D50" s="53">
        <f t="shared" si="0"/>
        <v>1.1510526315789775</v>
      </c>
      <c r="E50" s="53">
        <f t="shared" si="1"/>
        <v>2.5010526315789576</v>
      </c>
      <c r="F50" s="4">
        <f t="shared" si="2"/>
        <v>2.8788432132964861</v>
      </c>
      <c r="G50" s="4">
        <f t="shared" si="3"/>
        <v>1.3249221606648893</v>
      </c>
      <c r="H50" s="4">
        <f t="shared" si="3"/>
        <v>6.2552642659280293</v>
      </c>
    </row>
    <row r="51" spans="1:8" x14ac:dyDescent="0.25">
      <c r="A51" s="38">
        <v>48</v>
      </c>
      <c r="B51" s="55">
        <v>133.72999999999999</v>
      </c>
      <c r="C51" s="53">
        <f t="shared" si="4"/>
        <v>115.27</v>
      </c>
      <c r="D51" s="53">
        <f t="shared" si="0"/>
        <v>0.61105263157895706</v>
      </c>
      <c r="E51" s="53">
        <f t="shared" si="1"/>
        <v>5.8110526315789599</v>
      </c>
      <c r="F51" s="4">
        <f t="shared" si="2"/>
        <v>3.5508590027701472</v>
      </c>
      <c r="G51" s="4">
        <f t="shared" si="3"/>
        <v>0.37338531855956864</v>
      </c>
      <c r="H51" s="4">
        <f t="shared" si="3"/>
        <v>33.768332686980756</v>
      </c>
    </row>
    <row r="52" spans="1:8" x14ac:dyDescent="0.25">
      <c r="A52" s="38">
        <v>49</v>
      </c>
      <c r="B52" s="55">
        <v>132.01</v>
      </c>
      <c r="C52" s="53">
        <f t="shared" si="4"/>
        <v>117.17</v>
      </c>
      <c r="D52" s="53">
        <f t="shared" si="0"/>
        <v>-1.1089473684210418</v>
      </c>
      <c r="E52" s="53">
        <f t="shared" si="1"/>
        <v>7.7110526315789656</v>
      </c>
      <c r="F52" s="4">
        <f t="shared" si="2"/>
        <v>-8.5511515235456432</v>
      </c>
      <c r="G52" s="4">
        <f t="shared" si="3"/>
        <v>1.2297642659279537</v>
      </c>
      <c r="H52" s="4">
        <f t="shared" si="3"/>
        <v>59.460332686980891</v>
      </c>
    </row>
    <row r="53" spans="1:8" x14ac:dyDescent="0.25">
      <c r="A53" s="38">
        <v>50</v>
      </c>
      <c r="B53" s="55">
        <v>130.59</v>
      </c>
      <c r="C53" s="53">
        <f t="shared" si="4"/>
        <v>117.61</v>
      </c>
      <c r="D53" s="53">
        <f t="shared" si="0"/>
        <v>-2.5289473684210293</v>
      </c>
      <c r="E53" s="53">
        <f t="shared" si="1"/>
        <v>8.1510526315789633</v>
      </c>
      <c r="F53" s="4">
        <f t="shared" si="2"/>
        <v>-20.613583102492925</v>
      </c>
      <c r="G53" s="4">
        <f t="shared" si="3"/>
        <v>6.3955747922436492</v>
      </c>
      <c r="H53" s="4">
        <f t="shared" si="3"/>
        <v>66.439659002770341</v>
      </c>
    </row>
    <row r="54" spans="1:8" x14ac:dyDescent="0.25">
      <c r="A54" s="38">
        <v>51</v>
      </c>
      <c r="B54" s="55">
        <v>130.28</v>
      </c>
      <c r="C54" s="53">
        <f t="shared" si="4"/>
        <v>117.26</v>
      </c>
      <c r="D54" s="53">
        <f t="shared" si="0"/>
        <v>-2.8389473684210316</v>
      </c>
      <c r="E54" s="53">
        <f t="shared" si="1"/>
        <v>7.801052631578969</v>
      </c>
      <c r="F54" s="4">
        <f t="shared" si="2"/>
        <v>-22.146777839335076</v>
      </c>
      <c r="G54" s="4">
        <f t="shared" si="3"/>
        <v>8.0596221606647003</v>
      </c>
      <c r="H54" s="4">
        <f t="shared" si="3"/>
        <v>60.856422160665154</v>
      </c>
    </row>
    <row r="55" spans="1:8" x14ac:dyDescent="0.25">
      <c r="A55" s="38">
        <v>52</v>
      </c>
      <c r="B55" s="55">
        <v>129.16</v>
      </c>
      <c r="C55" s="53">
        <f t="shared" si="4"/>
        <v>115.88</v>
      </c>
      <c r="D55" s="53">
        <f t="shared" si="0"/>
        <v>-3.9589473684210361</v>
      </c>
      <c r="E55" s="53">
        <f t="shared" si="1"/>
        <v>6.4210526315789593</v>
      </c>
      <c r="F55" s="4">
        <f t="shared" si="2"/>
        <v>-25.420609418282488</v>
      </c>
      <c r="G55" s="4">
        <f t="shared" si="3"/>
        <v>15.673264265927846</v>
      </c>
      <c r="H55" s="4">
        <f t="shared" si="3"/>
        <v>41.229916897507081</v>
      </c>
    </row>
    <row r="56" spans="1:8" x14ac:dyDescent="0.25">
      <c r="A56" s="38">
        <v>53</v>
      </c>
      <c r="B56" s="55">
        <v>128.94</v>
      </c>
      <c r="C56" s="53">
        <f t="shared" si="4"/>
        <v>113.35</v>
      </c>
      <c r="D56" s="53">
        <f t="shared" si="0"/>
        <v>-4.178947368421035</v>
      </c>
      <c r="E56" s="53">
        <f t="shared" si="1"/>
        <v>3.8910526315789582</v>
      </c>
      <c r="F56" s="4">
        <f t="shared" si="2"/>
        <v>-16.260504155124629</v>
      </c>
      <c r="G56" s="4">
        <f t="shared" si="3"/>
        <v>17.463601108033092</v>
      </c>
      <c r="H56" s="4">
        <f t="shared" si="3"/>
        <v>15.140290581717537</v>
      </c>
    </row>
    <row r="57" spans="1:8" x14ac:dyDescent="0.25">
      <c r="A57" s="38">
        <v>54</v>
      </c>
      <c r="B57" s="55">
        <v>129.30000000000001</v>
      </c>
      <c r="C57" s="53">
        <f t="shared" si="4"/>
        <v>111.39</v>
      </c>
      <c r="D57" s="53">
        <f t="shared" si="0"/>
        <v>-3.8189473684210213</v>
      </c>
      <c r="E57" s="53">
        <f t="shared" si="1"/>
        <v>1.9310526315789645</v>
      </c>
      <c r="F57" s="4">
        <f t="shared" si="2"/>
        <v>-7.3745883656509745</v>
      </c>
      <c r="G57" s="4">
        <f t="shared" si="3"/>
        <v>14.584359002769844</v>
      </c>
      <c r="H57" s="4">
        <f t="shared" si="3"/>
        <v>3.728964265928044</v>
      </c>
    </row>
    <row r="58" spans="1:8" x14ac:dyDescent="0.25">
      <c r="A58" s="38">
        <v>55</v>
      </c>
      <c r="B58" s="55">
        <v>131.22</v>
      </c>
      <c r="C58" s="53">
        <f t="shared" si="4"/>
        <v>109.76</v>
      </c>
      <c r="D58" s="53">
        <f t="shared" si="0"/>
        <v>-1.8989473684210338</v>
      </c>
      <c r="E58" s="53">
        <f t="shared" si="1"/>
        <v>0.301052631578969</v>
      </c>
      <c r="F58" s="4">
        <f t="shared" si="2"/>
        <v>-0.57168310249311016</v>
      </c>
      <c r="G58" s="4">
        <f t="shared" ref="G58:H61" si="5">D58*D58</f>
        <v>3.6060011080331695</v>
      </c>
      <c r="H58" s="4">
        <f t="shared" si="5"/>
        <v>9.0632686980622448E-2</v>
      </c>
    </row>
    <row r="59" spans="1:8" x14ac:dyDescent="0.25">
      <c r="A59" s="38">
        <v>56</v>
      </c>
      <c r="B59" s="55">
        <v>132.52000000000001</v>
      </c>
      <c r="C59" s="53">
        <f t="shared" si="4"/>
        <v>109.5</v>
      </c>
      <c r="D59" s="53">
        <f t="shared" si="0"/>
        <v>-0.59894736842102247</v>
      </c>
      <c r="E59" s="53">
        <f t="shared" si="1"/>
        <v>4.1052631578963883E-2</v>
      </c>
      <c r="F59" s="4">
        <f t="shared" si="2"/>
        <v>-2.4588365650978182E-2</v>
      </c>
      <c r="G59" s="4">
        <f t="shared" si="5"/>
        <v>0.35873795013846804</v>
      </c>
      <c r="H59" s="4">
        <f t="shared" si="5"/>
        <v>1.6853185595581425E-3</v>
      </c>
    </row>
    <row r="60" spans="1:8" x14ac:dyDescent="0.25">
      <c r="A60" s="38">
        <v>57</v>
      </c>
      <c r="B60" s="55">
        <v>134.25</v>
      </c>
      <c r="C60" s="53">
        <f t="shared" si="4"/>
        <v>108.86</v>
      </c>
      <c r="D60" s="53">
        <f t="shared" si="0"/>
        <v>1.1310526315789673</v>
      </c>
      <c r="E60" s="53">
        <f t="shared" si="1"/>
        <v>-0.59894736842103669</v>
      </c>
      <c r="F60" s="4">
        <f t="shared" si="2"/>
        <v>-0.6774409972299108</v>
      </c>
      <c r="G60" s="4">
        <f t="shared" si="5"/>
        <v>1.2792800554017072</v>
      </c>
      <c r="H60" s="4">
        <f t="shared" si="5"/>
        <v>0.35873795013848503</v>
      </c>
    </row>
    <row r="61" spans="1:8" x14ac:dyDescent="0.25">
      <c r="A61" s="38">
        <v>58</v>
      </c>
      <c r="B61" s="55">
        <v>136.06</v>
      </c>
      <c r="C61" s="53">
        <f t="shared" si="4"/>
        <v>108.49</v>
      </c>
      <c r="D61" s="53">
        <f t="shared" si="0"/>
        <v>2.9410526315789696</v>
      </c>
      <c r="E61" s="53">
        <f t="shared" si="1"/>
        <v>-0.96894736842104123</v>
      </c>
      <c r="F61" s="4">
        <f t="shared" si="2"/>
        <v>-2.8497252077562205</v>
      </c>
      <c r="G61" s="4">
        <f t="shared" si="5"/>
        <v>8.649790581717582</v>
      </c>
      <c r="H61" s="4">
        <f t="shared" si="5"/>
        <v>0.93885900277006107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2079.7199999999998</v>
      </c>
      <c r="D62" s="49">
        <f t="shared" si="6"/>
        <v>3.694822225952521E-13</v>
      </c>
      <c r="E62" s="49">
        <f t="shared" si="6"/>
        <v>2.7000623958883807E-13</v>
      </c>
      <c r="F62" s="49">
        <f t="shared" si="6"/>
        <v>-196.76872105263155</v>
      </c>
      <c r="G62" s="49">
        <f t="shared" si="6"/>
        <v>119.55717894736834</v>
      </c>
      <c r="H62" s="49">
        <f t="shared" si="6"/>
        <v>577.20297894736859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109.45894736842104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419</v>
      </c>
      <c r="B65" s="49">
        <f>SUM(B43:B61)/19</f>
        <v>133.11894736842103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420</v>
      </c>
      <c r="B66" s="38">
        <f>SUM(C43:C61)/19</f>
        <v>109.45894736842104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421</v>
      </c>
      <c r="B68" s="38">
        <f>F62/SQRT(G62*H62)</f>
        <v>-0.74903817362802849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1" workbookViewId="0">
      <selection activeCell="F66" sqref="F66"/>
    </sheetView>
  </sheetViews>
  <sheetFormatPr defaultRowHeight="15" x14ac:dyDescent="0.25"/>
  <cols>
    <col min="6" max="6" width="17.285156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422</v>
      </c>
      <c r="D3" s="45" t="s">
        <v>424</v>
      </c>
      <c r="E3" s="45" t="s">
        <v>423</v>
      </c>
      <c r="F3" s="46" t="s">
        <v>425</v>
      </c>
      <c r="G3" s="45" t="s">
        <v>426</v>
      </c>
      <c r="H3" s="45" t="s">
        <v>427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53">
        <f>B4</f>
        <v>102.32</v>
      </c>
      <c r="D44" s="53">
        <f t="shared" ref="D44:D61" si="0">B44-$B$65</f>
        <v>3.24444444444444</v>
      </c>
      <c r="E44" s="53">
        <f t="shared" ref="E44:E61" si="1">C44-$B$66</f>
        <v>-7.1927777777777777</v>
      </c>
      <c r="F44" s="4">
        <f t="shared" ref="F44:F61" si="2">D44*E44</f>
        <v>-23.336567901234535</v>
      </c>
      <c r="G44" s="4">
        <f t="shared" ref="G44:H58" si="3">D44*D44</f>
        <v>10.52641975308639</v>
      </c>
      <c r="H44" s="4">
        <f t="shared" si="3"/>
        <v>51.736052160493827</v>
      </c>
    </row>
    <row r="45" spans="1:8" x14ac:dyDescent="0.25">
      <c r="A45" s="38">
        <v>42</v>
      </c>
      <c r="B45" s="55">
        <v>135.22</v>
      </c>
      <c r="C45" s="53">
        <f t="shared" ref="C45:C61" si="4">B5</f>
        <v>102.21</v>
      </c>
      <c r="D45" s="53">
        <f t="shared" si="0"/>
        <v>2.3444444444444343</v>
      </c>
      <c r="E45" s="53">
        <f t="shared" si="1"/>
        <v>-7.3027777777777771</v>
      </c>
      <c r="F45" s="4">
        <f t="shared" si="2"/>
        <v>-17.120956790123383</v>
      </c>
      <c r="G45" s="4">
        <f t="shared" si="3"/>
        <v>5.4964197530863723</v>
      </c>
      <c r="H45" s="4">
        <f t="shared" si="3"/>
        <v>53.33056327160493</v>
      </c>
    </row>
    <row r="46" spans="1:8" x14ac:dyDescent="0.25">
      <c r="A46" s="38">
        <v>43</v>
      </c>
      <c r="B46" s="55">
        <v>134.72999999999999</v>
      </c>
      <c r="C46" s="53">
        <f t="shared" si="4"/>
        <v>102.16</v>
      </c>
      <c r="D46" s="53">
        <f t="shared" si="0"/>
        <v>1.8544444444444252</v>
      </c>
      <c r="E46" s="53">
        <f t="shared" si="1"/>
        <v>-7.3527777777777743</v>
      </c>
      <c r="F46" s="4">
        <f t="shared" si="2"/>
        <v>-13.635317901234421</v>
      </c>
      <c r="G46" s="4">
        <f t="shared" si="3"/>
        <v>3.438964197530793</v>
      </c>
      <c r="H46" s="4">
        <f t="shared" si="3"/>
        <v>54.063341049382664</v>
      </c>
    </row>
    <row r="47" spans="1:8" x14ac:dyDescent="0.25">
      <c r="A47" s="38">
        <v>44</v>
      </c>
      <c r="B47" s="55">
        <v>134.38999999999999</v>
      </c>
      <c r="C47" s="53">
        <f t="shared" si="4"/>
        <v>102.06</v>
      </c>
      <c r="D47" s="53">
        <f t="shared" si="0"/>
        <v>1.5144444444444218</v>
      </c>
      <c r="E47" s="53">
        <f t="shared" si="1"/>
        <v>-7.4527777777777686</v>
      </c>
      <c r="F47" s="4">
        <f t="shared" si="2"/>
        <v>-11.286817901234386</v>
      </c>
      <c r="G47" s="4">
        <f t="shared" si="3"/>
        <v>2.2935419753085733</v>
      </c>
      <c r="H47" s="4">
        <f t="shared" si="3"/>
        <v>55.543896604938134</v>
      </c>
    </row>
    <row r="48" spans="1:8" x14ac:dyDescent="0.25">
      <c r="A48" s="38">
        <v>45</v>
      </c>
      <c r="B48" s="55">
        <v>134.51</v>
      </c>
      <c r="C48" s="53">
        <f t="shared" si="4"/>
        <v>102.55</v>
      </c>
      <c r="D48" s="53">
        <f t="shared" si="0"/>
        <v>1.6344444444444264</v>
      </c>
      <c r="E48" s="53">
        <f t="shared" si="1"/>
        <v>-6.9627777777777737</v>
      </c>
      <c r="F48" s="4">
        <f t="shared" si="2"/>
        <v>-11.380273456789991</v>
      </c>
      <c r="G48" s="4">
        <f t="shared" si="3"/>
        <v>2.6714086419752494</v>
      </c>
      <c r="H48" s="4">
        <f t="shared" si="3"/>
        <v>48.48027438271599</v>
      </c>
    </row>
    <row r="49" spans="1:8" x14ac:dyDescent="0.25">
      <c r="A49" s="38">
        <v>46</v>
      </c>
      <c r="B49" s="55">
        <v>134.46</v>
      </c>
      <c r="C49" s="53">
        <f t="shared" si="4"/>
        <v>104.35</v>
      </c>
      <c r="D49" s="53">
        <f t="shared" si="0"/>
        <v>1.5844444444444434</v>
      </c>
      <c r="E49" s="53">
        <f t="shared" si="1"/>
        <v>-5.1627777777777766</v>
      </c>
      <c r="F49" s="4">
        <f t="shared" si="2"/>
        <v>-8.1801345679012272</v>
      </c>
      <c r="G49" s="4">
        <f t="shared" si="3"/>
        <v>2.5104641975308608</v>
      </c>
      <c r="H49" s="4">
        <f t="shared" si="3"/>
        <v>26.654274382716036</v>
      </c>
    </row>
    <row r="50" spans="1:8" x14ac:dyDescent="0.25">
      <c r="A50" s="38">
        <v>47</v>
      </c>
      <c r="B50" s="55">
        <v>134.27000000000001</v>
      </c>
      <c r="C50" s="53">
        <f t="shared" si="4"/>
        <v>107.57</v>
      </c>
      <c r="D50" s="53">
        <f t="shared" si="0"/>
        <v>1.3944444444444457</v>
      </c>
      <c r="E50" s="53">
        <f t="shared" si="1"/>
        <v>-1.9427777777777777</v>
      </c>
      <c r="F50" s="4">
        <f t="shared" si="2"/>
        <v>-2.7090956790123482</v>
      </c>
      <c r="G50" s="4">
        <f t="shared" si="3"/>
        <v>1.9444753086419788</v>
      </c>
      <c r="H50" s="4">
        <f t="shared" si="3"/>
        <v>3.7743854938271602</v>
      </c>
    </row>
    <row r="51" spans="1:8" x14ac:dyDescent="0.25">
      <c r="A51" s="38">
        <v>48</v>
      </c>
      <c r="B51" s="55">
        <v>133.72999999999999</v>
      </c>
      <c r="C51" s="53">
        <f t="shared" si="4"/>
        <v>111.96</v>
      </c>
      <c r="D51" s="53">
        <f t="shared" si="0"/>
        <v>0.85444444444442524</v>
      </c>
      <c r="E51" s="53">
        <f t="shared" si="1"/>
        <v>2.4472222222222229</v>
      </c>
      <c r="F51" s="4">
        <f t="shared" si="2"/>
        <v>2.0910154320987191</v>
      </c>
      <c r="G51" s="4">
        <f t="shared" si="3"/>
        <v>0.73007530864194248</v>
      </c>
      <c r="H51" s="4">
        <f t="shared" si="3"/>
        <v>5.988896604938275</v>
      </c>
    </row>
    <row r="52" spans="1:8" x14ac:dyDescent="0.25">
      <c r="A52" s="38">
        <v>49</v>
      </c>
      <c r="B52" s="55">
        <v>132.01</v>
      </c>
      <c r="C52" s="53">
        <f t="shared" si="4"/>
        <v>115.27</v>
      </c>
      <c r="D52" s="53">
        <f t="shared" si="0"/>
        <v>-0.86555555555557362</v>
      </c>
      <c r="E52" s="53">
        <f t="shared" si="1"/>
        <v>5.7572222222222251</v>
      </c>
      <c r="F52" s="4">
        <f t="shared" si="2"/>
        <v>-4.9831956790124519</v>
      </c>
      <c r="G52" s="4">
        <f t="shared" si="3"/>
        <v>0.74918641975311773</v>
      </c>
      <c r="H52" s="4">
        <f t="shared" si="3"/>
        <v>33.145607716049419</v>
      </c>
    </row>
    <row r="53" spans="1:8" x14ac:dyDescent="0.25">
      <c r="A53" s="38">
        <v>50</v>
      </c>
      <c r="B53" s="55">
        <v>130.59</v>
      </c>
      <c r="C53" s="53">
        <f t="shared" si="4"/>
        <v>117.17</v>
      </c>
      <c r="D53" s="53">
        <f t="shared" si="0"/>
        <v>-2.2855555555555611</v>
      </c>
      <c r="E53" s="53">
        <f t="shared" si="1"/>
        <v>7.6572222222222308</v>
      </c>
      <c r="F53" s="4">
        <f t="shared" si="2"/>
        <v>-17.501006790123519</v>
      </c>
      <c r="G53" s="4">
        <f t="shared" si="3"/>
        <v>5.2237641975308895</v>
      </c>
      <c r="H53" s="4">
        <f t="shared" si="3"/>
        <v>58.633052160493961</v>
      </c>
    </row>
    <row r="54" spans="1:8" x14ac:dyDescent="0.25">
      <c r="A54" s="38">
        <v>51</v>
      </c>
      <c r="B54" s="55">
        <v>130.28</v>
      </c>
      <c r="C54" s="53">
        <f t="shared" si="4"/>
        <v>117.61</v>
      </c>
      <c r="D54" s="53">
        <f t="shared" si="0"/>
        <v>-2.5955555555555634</v>
      </c>
      <c r="E54" s="53">
        <f t="shared" si="1"/>
        <v>8.0972222222222285</v>
      </c>
      <c r="F54" s="4">
        <f t="shared" si="2"/>
        <v>-21.016790123456872</v>
      </c>
      <c r="G54" s="4">
        <f t="shared" si="3"/>
        <v>6.736908641975349</v>
      </c>
      <c r="H54" s="4">
        <f t="shared" si="3"/>
        <v>65.565007716049479</v>
      </c>
    </row>
    <row r="55" spans="1:8" x14ac:dyDescent="0.25">
      <c r="A55" s="38">
        <v>52</v>
      </c>
      <c r="B55" s="55">
        <v>129.16</v>
      </c>
      <c r="C55" s="53">
        <f t="shared" si="4"/>
        <v>117.26</v>
      </c>
      <c r="D55" s="53">
        <f t="shared" si="0"/>
        <v>-3.7155555555555679</v>
      </c>
      <c r="E55" s="53">
        <f t="shared" si="1"/>
        <v>7.7472222222222342</v>
      </c>
      <c r="F55" s="4">
        <f t="shared" si="2"/>
        <v>-28.785234567901377</v>
      </c>
      <c r="G55" s="4">
        <f t="shared" si="3"/>
        <v>13.805353086419846</v>
      </c>
      <c r="H55" s="4">
        <f t="shared" si="3"/>
        <v>60.019452160494012</v>
      </c>
    </row>
    <row r="56" spans="1:8" x14ac:dyDescent="0.25">
      <c r="A56" s="38">
        <v>53</v>
      </c>
      <c r="B56" s="55">
        <v>128.94</v>
      </c>
      <c r="C56" s="53">
        <f t="shared" si="4"/>
        <v>115.88</v>
      </c>
      <c r="D56" s="53">
        <f t="shared" si="0"/>
        <v>-3.9355555555555668</v>
      </c>
      <c r="E56" s="53">
        <f t="shared" si="1"/>
        <v>6.3672222222222246</v>
      </c>
      <c r="F56" s="4">
        <f t="shared" si="2"/>
        <v>-25.058556790123539</v>
      </c>
      <c r="G56" s="4">
        <f t="shared" si="3"/>
        <v>15.488597530864286</v>
      </c>
      <c r="H56" s="4">
        <f t="shared" si="3"/>
        <v>40.541518827160523</v>
      </c>
    </row>
    <row r="57" spans="1:8" x14ac:dyDescent="0.25">
      <c r="A57" s="38">
        <v>54</v>
      </c>
      <c r="B57" s="55">
        <v>129.30000000000001</v>
      </c>
      <c r="C57" s="53">
        <f t="shared" si="4"/>
        <v>113.35</v>
      </c>
      <c r="D57" s="53">
        <f t="shared" si="0"/>
        <v>-3.5755555555555532</v>
      </c>
      <c r="E57" s="53">
        <f t="shared" si="1"/>
        <v>3.8372222222222234</v>
      </c>
      <c r="F57" s="4">
        <f t="shared" si="2"/>
        <v>-13.720201234567897</v>
      </c>
      <c r="G57" s="4">
        <f t="shared" si="3"/>
        <v>12.784597530864181</v>
      </c>
      <c r="H57" s="4">
        <f t="shared" si="3"/>
        <v>14.724274382716059</v>
      </c>
    </row>
    <row r="58" spans="1:8" x14ac:dyDescent="0.25">
      <c r="A58" s="38">
        <v>55</v>
      </c>
      <c r="B58" s="55">
        <v>131.22</v>
      </c>
      <c r="C58" s="53">
        <f t="shared" si="4"/>
        <v>111.39</v>
      </c>
      <c r="D58" s="53">
        <f t="shared" si="0"/>
        <v>-1.6555555555555657</v>
      </c>
      <c r="E58" s="53">
        <f t="shared" si="1"/>
        <v>1.8772222222222297</v>
      </c>
      <c r="F58" s="4">
        <f t="shared" si="2"/>
        <v>-3.1078456790123772</v>
      </c>
      <c r="G58" s="4">
        <f t="shared" si="3"/>
        <v>2.7408641975308976</v>
      </c>
      <c r="H58" s="4">
        <f t="shared" si="3"/>
        <v>3.5239632716049663</v>
      </c>
    </row>
    <row r="59" spans="1:8" x14ac:dyDescent="0.25">
      <c r="A59" s="38">
        <v>56</v>
      </c>
      <c r="B59" s="55">
        <v>132.52000000000001</v>
      </c>
      <c r="C59" s="53">
        <f t="shared" si="4"/>
        <v>109.76</v>
      </c>
      <c r="D59" s="53">
        <f t="shared" si="0"/>
        <v>-0.35555555555555429</v>
      </c>
      <c r="E59" s="53">
        <f t="shared" si="1"/>
        <v>0.24722222222223422</v>
      </c>
      <c r="F59" s="4">
        <f t="shared" si="2"/>
        <v>-8.790123456790519E-2</v>
      </c>
      <c r="G59" s="4">
        <f t="shared" ref="G59:H61" si="5">D59*D59</f>
        <v>0.12641975308641887</v>
      </c>
      <c r="H59" s="4">
        <f t="shared" si="5"/>
        <v>6.111882716049976E-2</v>
      </c>
    </row>
    <row r="60" spans="1:8" x14ac:dyDescent="0.25">
      <c r="A60" s="38">
        <v>57</v>
      </c>
      <c r="B60" s="55">
        <v>134.25</v>
      </c>
      <c r="C60" s="53">
        <f t="shared" si="4"/>
        <v>109.5</v>
      </c>
      <c r="D60" s="53">
        <f t="shared" si="0"/>
        <v>1.3744444444444355</v>
      </c>
      <c r="E60" s="53">
        <f t="shared" si="1"/>
        <v>-1.2777777777770893E-2</v>
      </c>
      <c r="F60" s="4">
        <f t="shared" si="2"/>
        <v>-1.7562345679002767E-2</v>
      </c>
      <c r="G60" s="4">
        <f t="shared" si="5"/>
        <v>1.8890975308641729</v>
      </c>
      <c r="H60" s="4">
        <f t="shared" si="5"/>
        <v>1.6327160493809567E-4</v>
      </c>
    </row>
    <row r="61" spans="1:8" x14ac:dyDescent="0.25">
      <c r="A61" s="38">
        <v>58</v>
      </c>
      <c r="B61" s="55">
        <v>136.06</v>
      </c>
      <c r="C61" s="53">
        <f t="shared" si="4"/>
        <v>108.86</v>
      </c>
      <c r="D61" s="53">
        <f t="shared" si="0"/>
        <v>3.1844444444444377</v>
      </c>
      <c r="E61" s="53">
        <f t="shared" si="1"/>
        <v>-0.65277777777777146</v>
      </c>
      <c r="F61" s="4">
        <f t="shared" si="2"/>
        <v>-2.0787345679012099</v>
      </c>
      <c r="G61" s="4">
        <f t="shared" si="5"/>
        <v>10.140686419753044</v>
      </c>
      <c r="H61" s="4">
        <f t="shared" si="5"/>
        <v>0.4261188271604856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6">SUM(C4:C61)</f>
        <v>1971.2299999999998</v>
      </c>
      <c r="D62" s="49">
        <f t="shared" si="6"/>
        <v>-1.7053025658242404E-13</v>
      </c>
      <c r="E62" s="49">
        <f t="shared" si="6"/>
        <v>8.5265128291212022E-14</v>
      </c>
      <c r="F62" s="49">
        <f t="shared" si="6"/>
        <v>-201.91517777777773</v>
      </c>
      <c r="G62" s="49">
        <f t="shared" si="6"/>
        <v>99.29724444444436</v>
      </c>
      <c r="H62" s="49">
        <f t="shared" si="6"/>
        <v>576.21196111111146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109.51277777777777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428</v>
      </c>
      <c r="B65" s="49">
        <f>SUM(B44:B61)/18</f>
        <v>132.87555555555556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429</v>
      </c>
      <c r="B66" s="38">
        <f>SUM(C44:C61)/18</f>
        <v>109.51277777777777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430</v>
      </c>
      <c r="B68" s="38">
        <f>F62/SQRT(G62*H62)</f>
        <v>-0.84412980085298728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C71" sqref="C71"/>
    </sheetView>
  </sheetViews>
  <sheetFormatPr defaultRowHeight="15" x14ac:dyDescent="0.25"/>
  <cols>
    <col min="6" max="6" width="18.42578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431</v>
      </c>
      <c r="D3" s="45" t="s">
        <v>432</v>
      </c>
      <c r="E3" s="45" t="s">
        <v>433</v>
      </c>
      <c r="F3" s="46" t="s">
        <v>434</v>
      </c>
      <c r="G3" s="45" t="s">
        <v>435</v>
      </c>
      <c r="H3" s="45" t="s">
        <v>436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53">
        <f>B4</f>
        <v>102.32</v>
      </c>
      <c r="D45" s="53">
        <f t="shared" ref="D45:D61" si="0">B45-$B$65</f>
        <v>2.5352941176470551</v>
      </c>
      <c r="E45" s="53">
        <f t="shared" ref="E45:E61" si="1">C45-$B$66</f>
        <v>-7.2311764705882382</v>
      </c>
      <c r="F45" s="4">
        <f t="shared" ref="F45:F61" si="2">D45*E45</f>
        <v>-18.333159169550154</v>
      </c>
      <c r="G45" s="4">
        <f t="shared" ref="G45:H59" si="3">D45*D45</f>
        <v>6.4277162629757596</v>
      </c>
      <c r="H45" s="4">
        <f t="shared" si="3"/>
        <v>52.289913148788969</v>
      </c>
    </row>
    <row r="46" spans="1:8" x14ac:dyDescent="0.25">
      <c r="A46" s="38">
        <v>43</v>
      </c>
      <c r="B46" s="55">
        <v>134.72999999999999</v>
      </c>
      <c r="C46" s="53">
        <f t="shared" ref="C46:C61" si="4">B5</f>
        <v>102.21</v>
      </c>
      <c r="D46" s="53">
        <f t="shared" si="0"/>
        <v>2.0452941176470461</v>
      </c>
      <c r="E46" s="53">
        <f t="shared" si="1"/>
        <v>-7.3411764705882376</v>
      </c>
      <c r="F46" s="4">
        <f t="shared" si="2"/>
        <v>-15.014865051903024</v>
      </c>
      <c r="G46" s="4">
        <f t="shared" si="3"/>
        <v>4.1832280276816087</v>
      </c>
      <c r="H46" s="4">
        <f t="shared" si="3"/>
        <v>53.892871972318375</v>
      </c>
    </row>
    <row r="47" spans="1:8" x14ac:dyDescent="0.25">
      <c r="A47" s="38">
        <v>44</v>
      </c>
      <c r="B47" s="55">
        <v>134.38999999999999</v>
      </c>
      <c r="C47" s="53">
        <f t="shared" si="4"/>
        <v>102.16</v>
      </c>
      <c r="D47" s="53">
        <f t="shared" si="0"/>
        <v>1.7052941176470426</v>
      </c>
      <c r="E47" s="53">
        <f t="shared" si="1"/>
        <v>-7.3911764705882348</v>
      </c>
      <c r="F47" s="4">
        <f t="shared" si="2"/>
        <v>-12.604129757785346</v>
      </c>
      <c r="G47" s="4">
        <f t="shared" si="3"/>
        <v>2.9080280276816057</v>
      </c>
      <c r="H47" s="4">
        <f t="shared" si="3"/>
        <v>54.629489619377154</v>
      </c>
    </row>
    <row r="48" spans="1:8" x14ac:dyDescent="0.25">
      <c r="A48" s="38">
        <v>45</v>
      </c>
      <c r="B48" s="55">
        <v>134.51</v>
      </c>
      <c r="C48" s="53">
        <f t="shared" si="4"/>
        <v>102.06</v>
      </c>
      <c r="D48" s="53">
        <f t="shared" si="0"/>
        <v>1.8252941176470472</v>
      </c>
      <c r="E48" s="53">
        <f t="shared" si="1"/>
        <v>-7.4911764705882291</v>
      </c>
      <c r="F48" s="4">
        <f t="shared" si="2"/>
        <v>-13.673600346020663</v>
      </c>
      <c r="G48" s="4">
        <f t="shared" si="3"/>
        <v>3.3316986159169124</v>
      </c>
      <c r="H48" s="4">
        <f t="shared" si="3"/>
        <v>56.117724913494719</v>
      </c>
    </row>
    <row r="49" spans="1:8" x14ac:dyDescent="0.25">
      <c r="A49" s="38">
        <v>46</v>
      </c>
      <c r="B49" s="55">
        <v>134.46</v>
      </c>
      <c r="C49" s="53">
        <f t="shared" si="4"/>
        <v>102.55</v>
      </c>
      <c r="D49" s="53">
        <f t="shared" si="0"/>
        <v>1.7752941176470642</v>
      </c>
      <c r="E49" s="53">
        <f t="shared" si="1"/>
        <v>-7.0011764705882342</v>
      </c>
      <c r="F49" s="4">
        <f t="shared" si="2"/>
        <v>-12.429147404844327</v>
      </c>
      <c r="G49" s="4">
        <f t="shared" si="3"/>
        <v>3.1516692041522685</v>
      </c>
      <c r="H49" s="4">
        <f t="shared" si="3"/>
        <v>49.016471972318321</v>
      </c>
    </row>
    <row r="50" spans="1:8" x14ac:dyDescent="0.25">
      <c r="A50" s="38">
        <v>47</v>
      </c>
      <c r="B50" s="55">
        <v>134.27000000000001</v>
      </c>
      <c r="C50" s="53">
        <f t="shared" si="4"/>
        <v>104.35</v>
      </c>
      <c r="D50" s="53">
        <f t="shared" si="0"/>
        <v>1.5852941176470665</v>
      </c>
      <c r="E50" s="53">
        <f t="shared" si="1"/>
        <v>-5.2011764705882371</v>
      </c>
      <c r="F50" s="4">
        <f t="shared" si="2"/>
        <v>-8.2453944636678624</v>
      </c>
      <c r="G50" s="4">
        <f t="shared" si="3"/>
        <v>2.5131574394463914</v>
      </c>
      <c r="H50" s="4">
        <f t="shared" si="3"/>
        <v>27.05223667820071</v>
      </c>
    </row>
    <row r="51" spans="1:8" x14ac:dyDescent="0.25">
      <c r="A51" s="38">
        <v>48</v>
      </c>
      <c r="B51" s="55">
        <v>133.72999999999999</v>
      </c>
      <c r="C51" s="53">
        <f t="shared" si="4"/>
        <v>107.57</v>
      </c>
      <c r="D51" s="53">
        <f t="shared" si="0"/>
        <v>1.0452941176470461</v>
      </c>
      <c r="E51" s="53">
        <f t="shared" si="1"/>
        <v>-1.9811764705882382</v>
      </c>
      <c r="F51" s="4">
        <f t="shared" si="2"/>
        <v>-2.0709121107266215</v>
      </c>
      <c r="G51" s="4">
        <f t="shared" si="3"/>
        <v>1.0926397923875166</v>
      </c>
      <c r="H51" s="4">
        <f t="shared" si="3"/>
        <v>3.9250602076124683</v>
      </c>
    </row>
    <row r="52" spans="1:8" x14ac:dyDescent="0.25">
      <c r="A52" s="38">
        <v>49</v>
      </c>
      <c r="B52" s="55">
        <v>132.01</v>
      </c>
      <c r="C52" s="53">
        <f t="shared" si="4"/>
        <v>111.96</v>
      </c>
      <c r="D52" s="53">
        <f t="shared" si="0"/>
        <v>-0.67470588235295281</v>
      </c>
      <c r="E52" s="53">
        <f t="shared" si="1"/>
        <v>2.4088235294117624</v>
      </c>
      <c r="F52" s="4">
        <f t="shared" si="2"/>
        <v>-1.6252474048443171</v>
      </c>
      <c r="G52" s="4">
        <f t="shared" si="3"/>
        <v>0.45522802768167658</v>
      </c>
      <c r="H52" s="4">
        <f t="shared" si="3"/>
        <v>5.8024307958477399</v>
      </c>
    </row>
    <row r="53" spans="1:8" x14ac:dyDescent="0.25">
      <c r="A53" s="38">
        <v>50</v>
      </c>
      <c r="B53" s="55">
        <v>130.59</v>
      </c>
      <c r="C53" s="53">
        <f t="shared" si="4"/>
        <v>115.27</v>
      </c>
      <c r="D53" s="53">
        <f t="shared" si="0"/>
        <v>-2.0947058823529403</v>
      </c>
      <c r="E53" s="53">
        <f t="shared" si="1"/>
        <v>5.7188235294117646</v>
      </c>
      <c r="F53" s="4">
        <f t="shared" si="2"/>
        <v>-11.979253287197226</v>
      </c>
      <c r="G53" s="4">
        <f t="shared" si="3"/>
        <v>4.3877927335640106</v>
      </c>
      <c r="H53" s="4">
        <f t="shared" si="3"/>
        <v>32.704942560553633</v>
      </c>
    </row>
    <row r="54" spans="1:8" x14ac:dyDescent="0.25">
      <c r="A54" s="38">
        <v>51</v>
      </c>
      <c r="B54" s="55">
        <v>130.28</v>
      </c>
      <c r="C54" s="53">
        <f t="shared" si="4"/>
        <v>117.17</v>
      </c>
      <c r="D54" s="53">
        <f t="shared" si="0"/>
        <v>-2.4047058823529426</v>
      </c>
      <c r="E54" s="53">
        <f t="shared" si="1"/>
        <v>7.6188235294117703</v>
      </c>
      <c r="F54" s="4">
        <f t="shared" si="2"/>
        <v>-18.321029757785492</v>
      </c>
      <c r="G54" s="4">
        <f t="shared" si="3"/>
        <v>5.7826103806228444</v>
      </c>
      <c r="H54" s="4">
        <f t="shared" si="3"/>
        <v>58.046471972318422</v>
      </c>
    </row>
    <row r="55" spans="1:8" x14ac:dyDescent="0.25">
      <c r="A55" s="38">
        <v>52</v>
      </c>
      <c r="B55" s="55">
        <v>129.16</v>
      </c>
      <c r="C55" s="53">
        <f t="shared" si="4"/>
        <v>117.61</v>
      </c>
      <c r="D55" s="53">
        <f t="shared" si="0"/>
        <v>-3.5247058823529471</v>
      </c>
      <c r="E55" s="53">
        <f t="shared" si="1"/>
        <v>8.058823529411768</v>
      </c>
      <c r="F55" s="4">
        <f t="shared" si="2"/>
        <v>-28.404982698961998</v>
      </c>
      <c r="G55" s="4">
        <f t="shared" si="3"/>
        <v>12.423551557093468</v>
      </c>
      <c r="H55" s="4">
        <f t="shared" si="3"/>
        <v>64.944636678200752</v>
      </c>
    </row>
    <row r="56" spans="1:8" x14ac:dyDescent="0.25">
      <c r="A56" s="38">
        <v>53</v>
      </c>
      <c r="B56" s="55">
        <v>128.94</v>
      </c>
      <c r="C56" s="53">
        <f t="shared" si="4"/>
        <v>117.26</v>
      </c>
      <c r="D56" s="53">
        <f t="shared" si="0"/>
        <v>-3.744705882352946</v>
      </c>
      <c r="E56" s="53">
        <f t="shared" si="1"/>
        <v>7.7088235294117737</v>
      </c>
      <c r="F56" s="4">
        <f t="shared" si="2"/>
        <v>-28.867276816609067</v>
      </c>
      <c r="G56" s="4">
        <f t="shared" si="3"/>
        <v>14.022822145328755</v>
      </c>
      <c r="H56" s="4">
        <f t="shared" si="3"/>
        <v>59.425960207612597</v>
      </c>
    </row>
    <row r="57" spans="1:8" x14ac:dyDescent="0.25">
      <c r="A57" s="38">
        <v>54</v>
      </c>
      <c r="B57" s="55">
        <v>129.30000000000001</v>
      </c>
      <c r="C57" s="53">
        <f t="shared" si="4"/>
        <v>115.88</v>
      </c>
      <c r="D57" s="53">
        <f t="shared" si="0"/>
        <v>-3.3847058823529323</v>
      </c>
      <c r="E57" s="53">
        <f t="shared" si="1"/>
        <v>6.3288235294117641</v>
      </c>
      <c r="F57" s="4">
        <f t="shared" si="2"/>
        <v>-21.421206228373645</v>
      </c>
      <c r="G57" s="4">
        <f t="shared" si="3"/>
        <v>11.456233910034543</v>
      </c>
      <c r="H57" s="4">
        <f t="shared" si="3"/>
        <v>40.054007266435981</v>
      </c>
    </row>
    <row r="58" spans="1:8" x14ac:dyDescent="0.25">
      <c r="A58" s="38">
        <v>55</v>
      </c>
      <c r="B58" s="55">
        <v>131.22</v>
      </c>
      <c r="C58" s="53">
        <f t="shared" si="4"/>
        <v>113.35</v>
      </c>
      <c r="D58" s="53">
        <f t="shared" si="0"/>
        <v>-1.4647058823529449</v>
      </c>
      <c r="E58" s="53">
        <f t="shared" si="1"/>
        <v>3.7988235294117629</v>
      </c>
      <c r="F58" s="4">
        <f t="shared" si="2"/>
        <v>-5.5641591695501846</v>
      </c>
      <c r="G58" s="4">
        <f t="shared" si="3"/>
        <v>2.1453633217993189</v>
      </c>
      <c r="H58" s="4">
        <f t="shared" si="3"/>
        <v>14.431060207612443</v>
      </c>
    </row>
    <row r="59" spans="1:8" x14ac:dyDescent="0.25">
      <c r="A59" s="38">
        <v>56</v>
      </c>
      <c r="B59" s="55">
        <v>132.52000000000001</v>
      </c>
      <c r="C59" s="53">
        <f t="shared" si="4"/>
        <v>111.39</v>
      </c>
      <c r="D59" s="53">
        <f t="shared" si="0"/>
        <v>-0.16470588235293349</v>
      </c>
      <c r="E59" s="53">
        <f t="shared" si="1"/>
        <v>1.8388235294117692</v>
      </c>
      <c r="F59" s="4">
        <f t="shared" si="2"/>
        <v>-0.30286505190310076</v>
      </c>
      <c r="G59" s="4">
        <f t="shared" si="3"/>
        <v>2.7128027681658368E-2</v>
      </c>
      <c r="H59" s="4">
        <f t="shared" si="3"/>
        <v>3.3812719723183555</v>
      </c>
    </row>
    <row r="60" spans="1:8" x14ac:dyDescent="0.25">
      <c r="A60" s="38">
        <v>57</v>
      </c>
      <c r="B60" s="55">
        <v>134.25</v>
      </c>
      <c r="C60" s="53">
        <f t="shared" si="4"/>
        <v>109.76</v>
      </c>
      <c r="D60" s="53">
        <f t="shared" si="0"/>
        <v>1.5652941176470563</v>
      </c>
      <c r="E60" s="53">
        <f t="shared" si="1"/>
        <v>0.20882352941177373</v>
      </c>
      <c r="F60" s="4">
        <f t="shared" si="2"/>
        <v>0.32687024221454647</v>
      </c>
      <c r="G60" s="4">
        <f>D60*D60</f>
        <v>2.4501456747404764</v>
      </c>
      <c r="H60" s="4">
        <f>E60*E60</f>
        <v>4.360726643598993E-2</v>
      </c>
    </row>
    <row r="61" spans="1:8" x14ac:dyDescent="0.25">
      <c r="A61" s="38">
        <v>58</v>
      </c>
      <c r="B61" s="55">
        <v>136.06</v>
      </c>
      <c r="C61" s="53">
        <f t="shared" si="4"/>
        <v>109.5</v>
      </c>
      <c r="D61" s="53">
        <f t="shared" si="0"/>
        <v>3.3752941176470586</v>
      </c>
      <c r="E61" s="53">
        <f t="shared" si="1"/>
        <v>-5.1176470588231382E-2</v>
      </c>
      <c r="F61" s="4">
        <f t="shared" si="2"/>
        <v>-0.1727356401383951</v>
      </c>
      <c r="G61" s="4">
        <f>D61*D61</f>
        <v>11.392610380622836</v>
      </c>
      <c r="H61" s="4">
        <f>E61*E61</f>
        <v>2.6190311418681118E-3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1862.37</v>
      </c>
      <c r="D62" s="49">
        <f t="shared" si="5"/>
        <v>-5.6843418860808015E-14</v>
      </c>
      <c r="E62" s="49">
        <f t="shared" si="5"/>
        <v>2.8421709430404007E-14</v>
      </c>
      <c r="F62" s="49">
        <f t="shared" si="5"/>
        <v>-198.70309411764688</v>
      </c>
      <c r="G62" s="49">
        <f t="shared" si="5"/>
        <v>88.151623529411665</v>
      </c>
      <c r="H62" s="49">
        <f t="shared" si="5"/>
        <v>575.76077647058844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109.55117647058823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437</v>
      </c>
      <c r="B65" s="49">
        <f>SUM(B45:B61)/17</f>
        <v>132.68470588235294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438</v>
      </c>
      <c r="B66" s="38">
        <f>SUM(C45:C61)/17</f>
        <v>109.55117647058823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439</v>
      </c>
      <c r="B68" s="38">
        <f>F62/SQRT(G62*H62)</f>
        <v>-0.88199969401474609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60" workbookViewId="0">
      <selection activeCell="B76" sqref="B76"/>
    </sheetView>
  </sheetViews>
  <sheetFormatPr defaultRowHeight="15" x14ac:dyDescent="0.25"/>
  <cols>
    <col min="6" max="6" width="17.42578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440</v>
      </c>
      <c r="D3" s="45" t="s">
        <v>441</v>
      </c>
      <c r="E3" s="45" t="s">
        <v>442</v>
      </c>
      <c r="F3" s="46" t="s">
        <v>443</v>
      </c>
      <c r="G3" s="45" t="s">
        <v>444</v>
      </c>
      <c r="H3" s="45" t="s">
        <v>445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53">
        <f>B4</f>
        <v>102.32</v>
      </c>
      <c r="D46" s="53">
        <f t="shared" ref="D46:D61" si="0">B46-$B$65</f>
        <v>2.2037499999999852</v>
      </c>
      <c r="E46" s="53">
        <f t="shared" ref="E46:E61" si="1">C46-$B$66</f>
        <v>-7.234375</v>
      </c>
      <c r="F46" s="4">
        <f t="shared" ref="F46:F61" si="2">D46*E46</f>
        <v>-15.942753906249893</v>
      </c>
      <c r="G46" s="4">
        <f t="shared" ref="G46:H60" si="3">D46*D46</f>
        <v>4.8565140624999348</v>
      </c>
      <c r="H46" s="4">
        <f t="shared" si="3"/>
        <v>52.336181640625</v>
      </c>
    </row>
    <row r="47" spans="1:8" x14ac:dyDescent="0.25">
      <c r="A47" s="38">
        <v>44</v>
      </c>
      <c r="B47" s="55">
        <v>134.38999999999999</v>
      </c>
      <c r="C47" s="53">
        <f t="shared" ref="C47:C61" si="4">B5</f>
        <v>102.21</v>
      </c>
      <c r="D47" s="53">
        <f t="shared" si="0"/>
        <v>1.8637499999999818</v>
      </c>
      <c r="E47" s="53">
        <f t="shared" si="1"/>
        <v>-7.3443749999999994</v>
      </c>
      <c r="F47" s="4">
        <f t="shared" si="2"/>
        <v>-13.688078906249865</v>
      </c>
      <c r="G47" s="4">
        <f t="shared" si="3"/>
        <v>3.473564062499932</v>
      </c>
      <c r="H47" s="4">
        <f t="shared" si="3"/>
        <v>53.939844140624992</v>
      </c>
    </row>
    <row r="48" spans="1:8" x14ac:dyDescent="0.25">
      <c r="A48" s="38">
        <v>45</v>
      </c>
      <c r="B48" s="55">
        <v>134.51</v>
      </c>
      <c r="C48" s="53">
        <f t="shared" si="4"/>
        <v>102.16</v>
      </c>
      <c r="D48" s="53">
        <f t="shared" si="0"/>
        <v>1.9837499999999864</v>
      </c>
      <c r="E48" s="53">
        <f t="shared" si="1"/>
        <v>-7.3943749999999966</v>
      </c>
      <c r="F48" s="4">
        <f t="shared" si="2"/>
        <v>-14.668591406249892</v>
      </c>
      <c r="G48" s="4">
        <f t="shared" si="3"/>
        <v>3.9352640624999458</v>
      </c>
      <c r="H48" s="4">
        <f t="shared" si="3"/>
        <v>54.676781640624952</v>
      </c>
    </row>
    <row r="49" spans="1:8" x14ac:dyDescent="0.25">
      <c r="A49" s="38">
        <v>46</v>
      </c>
      <c r="B49" s="55">
        <v>134.46</v>
      </c>
      <c r="C49" s="53">
        <f t="shared" si="4"/>
        <v>102.06</v>
      </c>
      <c r="D49" s="53">
        <f t="shared" si="0"/>
        <v>1.9337500000000034</v>
      </c>
      <c r="E49" s="53">
        <f t="shared" si="1"/>
        <v>-7.4943749999999909</v>
      </c>
      <c r="F49" s="4">
        <f t="shared" si="2"/>
        <v>-14.492247656250008</v>
      </c>
      <c r="G49" s="4">
        <f t="shared" si="3"/>
        <v>3.7393890625000132</v>
      </c>
      <c r="H49" s="4">
        <f t="shared" si="3"/>
        <v>56.165656640624867</v>
      </c>
    </row>
    <row r="50" spans="1:8" x14ac:dyDescent="0.25">
      <c r="A50" s="38">
        <v>47</v>
      </c>
      <c r="B50" s="55">
        <v>134.27000000000001</v>
      </c>
      <c r="C50" s="53">
        <f t="shared" si="4"/>
        <v>102.55</v>
      </c>
      <c r="D50" s="53">
        <f t="shared" si="0"/>
        <v>1.7437500000000057</v>
      </c>
      <c r="E50" s="53">
        <f t="shared" si="1"/>
        <v>-7.004374999999996</v>
      </c>
      <c r="F50" s="4">
        <f t="shared" si="2"/>
        <v>-12.213878906250033</v>
      </c>
      <c r="G50" s="4">
        <f t="shared" si="3"/>
        <v>3.0406640625000199</v>
      </c>
      <c r="H50" s="4">
        <f t="shared" si="3"/>
        <v>49.061269140624944</v>
      </c>
    </row>
    <row r="51" spans="1:8" x14ac:dyDescent="0.25">
      <c r="A51" s="38">
        <v>48</v>
      </c>
      <c r="B51" s="55">
        <v>133.72999999999999</v>
      </c>
      <c r="C51" s="53">
        <f t="shared" si="4"/>
        <v>104.35</v>
      </c>
      <c r="D51" s="53">
        <f t="shared" si="0"/>
        <v>1.2037499999999852</v>
      </c>
      <c r="E51" s="53">
        <f t="shared" si="1"/>
        <v>-5.2043749999999989</v>
      </c>
      <c r="F51" s="4">
        <f t="shared" si="2"/>
        <v>-6.2647664062499215</v>
      </c>
      <c r="G51" s="4">
        <f t="shared" si="3"/>
        <v>1.4490140624999643</v>
      </c>
      <c r="H51" s="4">
        <f t="shared" si="3"/>
        <v>27.085519140624989</v>
      </c>
    </row>
    <row r="52" spans="1:8" x14ac:dyDescent="0.25">
      <c r="A52" s="38">
        <v>49</v>
      </c>
      <c r="B52" s="55">
        <v>132.01</v>
      </c>
      <c r="C52" s="53">
        <f t="shared" si="4"/>
        <v>107.57</v>
      </c>
      <c r="D52" s="53">
        <f t="shared" si="0"/>
        <v>-0.51625000000001364</v>
      </c>
      <c r="E52" s="53">
        <f t="shared" si="1"/>
        <v>-1.984375</v>
      </c>
      <c r="F52" s="4">
        <f t="shared" si="2"/>
        <v>1.0244335937500271</v>
      </c>
      <c r="G52" s="4">
        <f t="shared" si="3"/>
        <v>0.26651406250001408</v>
      </c>
      <c r="H52" s="4">
        <f t="shared" si="3"/>
        <v>3.937744140625</v>
      </c>
    </row>
    <row r="53" spans="1:8" x14ac:dyDescent="0.25">
      <c r="A53" s="38">
        <v>50</v>
      </c>
      <c r="B53" s="55">
        <v>130.59</v>
      </c>
      <c r="C53" s="53">
        <f t="shared" si="4"/>
        <v>111.96</v>
      </c>
      <c r="D53" s="53">
        <f t="shared" si="0"/>
        <v>-1.9362500000000011</v>
      </c>
      <c r="E53" s="53">
        <f t="shared" si="1"/>
        <v>2.4056250000000006</v>
      </c>
      <c r="F53" s="4">
        <f t="shared" si="2"/>
        <v>-4.6578914062500036</v>
      </c>
      <c r="G53" s="4">
        <f t="shared" si="3"/>
        <v>3.7490640625000045</v>
      </c>
      <c r="H53" s="4">
        <f t="shared" si="3"/>
        <v>5.7870316406250026</v>
      </c>
    </row>
    <row r="54" spans="1:8" x14ac:dyDescent="0.25">
      <c r="A54" s="38">
        <v>51</v>
      </c>
      <c r="B54" s="55">
        <v>130.28</v>
      </c>
      <c r="C54" s="53">
        <f t="shared" si="4"/>
        <v>115.27</v>
      </c>
      <c r="D54" s="53">
        <f t="shared" si="0"/>
        <v>-2.2462500000000034</v>
      </c>
      <c r="E54" s="53">
        <f t="shared" si="1"/>
        <v>5.7156250000000028</v>
      </c>
      <c r="F54" s="4">
        <f t="shared" si="2"/>
        <v>-12.838722656250026</v>
      </c>
      <c r="G54" s="4">
        <f t="shared" si="3"/>
        <v>5.0456390625000154</v>
      </c>
      <c r="H54" s="4">
        <f t="shared" si="3"/>
        <v>32.668369140625032</v>
      </c>
    </row>
    <row r="55" spans="1:8" x14ac:dyDescent="0.25">
      <c r="A55" s="38">
        <v>52</v>
      </c>
      <c r="B55" s="55">
        <v>129.16</v>
      </c>
      <c r="C55" s="53">
        <f t="shared" si="4"/>
        <v>117.17</v>
      </c>
      <c r="D55" s="53">
        <f t="shared" si="0"/>
        <v>-3.366250000000008</v>
      </c>
      <c r="E55" s="53">
        <f t="shared" si="1"/>
        <v>7.6156250000000085</v>
      </c>
      <c r="F55" s="4">
        <f t="shared" si="2"/>
        <v>-25.63609765625009</v>
      </c>
      <c r="G55" s="4">
        <f t="shared" si="3"/>
        <v>11.331639062500054</v>
      </c>
      <c r="H55" s="4">
        <f t="shared" si="3"/>
        <v>57.99774414062513</v>
      </c>
    </row>
    <row r="56" spans="1:8" x14ac:dyDescent="0.25">
      <c r="A56" s="38">
        <v>53</v>
      </c>
      <c r="B56" s="55">
        <v>128.94</v>
      </c>
      <c r="C56" s="53">
        <f t="shared" si="4"/>
        <v>117.61</v>
      </c>
      <c r="D56" s="53">
        <f t="shared" si="0"/>
        <v>-3.5862500000000068</v>
      </c>
      <c r="E56" s="53">
        <f t="shared" si="1"/>
        <v>8.0556250000000063</v>
      </c>
      <c r="F56" s="4">
        <f t="shared" si="2"/>
        <v>-28.889485156250078</v>
      </c>
      <c r="G56" s="4">
        <f t="shared" si="3"/>
        <v>12.861189062500049</v>
      </c>
      <c r="H56" s="4">
        <f t="shared" si="3"/>
        <v>64.893094140625095</v>
      </c>
    </row>
    <row r="57" spans="1:8" x14ac:dyDescent="0.25">
      <c r="A57" s="38">
        <v>54</v>
      </c>
      <c r="B57" s="55">
        <v>129.30000000000001</v>
      </c>
      <c r="C57" s="53">
        <f t="shared" si="4"/>
        <v>117.26</v>
      </c>
      <c r="D57" s="53">
        <f t="shared" si="0"/>
        <v>-3.2262499999999932</v>
      </c>
      <c r="E57" s="53">
        <f t="shared" si="1"/>
        <v>7.7056250000000119</v>
      </c>
      <c r="F57" s="4">
        <f t="shared" si="2"/>
        <v>-24.860272656249986</v>
      </c>
      <c r="G57" s="4">
        <f t="shared" si="3"/>
        <v>10.408689062499956</v>
      </c>
      <c r="H57" s="4">
        <f t="shared" si="3"/>
        <v>59.376656640625185</v>
      </c>
    </row>
    <row r="58" spans="1:8" x14ac:dyDescent="0.25">
      <c r="A58" s="38">
        <v>55</v>
      </c>
      <c r="B58" s="55">
        <v>131.22</v>
      </c>
      <c r="C58" s="53">
        <f t="shared" si="4"/>
        <v>115.88</v>
      </c>
      <c r="D58" s="53">
        <f t="shared" si="0"/>
        <v>-1.3062500000000057</v>
      </c>
      <c r="E58" s="53">
        <f t="shared" si="1"/>
        <v>6.3256250000000023</v>
      </c>
      <c r="F58" s="4">
        <f t="shared" si="2"/>
        <v>-8.2628476562500381</v>
      </c>
      <c r="G58" s="4">
        <f t="shared" si="3"/>
        <v>1.7062890625000149</v>
      </c>
      <c r="H58" s="4">
        <f t="shared" si="3"/>
        <v>40.013531640625025</v>
      </c>
    </row>
    <row r="59" spans="1:8" x14ac:dyDescent="0.25">
      <c r="A59" s="38">
        <v>56</v>
      </c>
      <c r="B59" s="55">
        <v>132.52000000000001</v>
      </c>
      <c r="C59" s="53">
        <f t="shared" si="4"/>
        <v>113.35</v>
      </c>
      <c r="D59" s="53">
        <f t="shared" si="0"/>
        <v>-6.2499999999943157E-3</v>
      </c>
      <c r="E59" s="53">
        <f t="shared" si="1"/>
        <v>3.7956250000000011</v>
      </c>
      <c r="F59" s="4">
        <f t="shared" si="2"/>
        <v>-2.3722656249978432E-2</v>
      </c>
      <c r="G59" s="4">
        <f t="shared" si="3"/>
        <v>3.9062499999928945E-5</v>
      </c>
      <c r="H59" s="4">
        <f t="shared" si="3"/>
        <v>14.406769140625009</v>
      </c>
    </row>
    <row r="60" spans="1:8" x14ac:dyDescent="0.25">
      <c r="A60" s="38">
        <v>57</v>
      </c>
      <c r="B60" s="55">
        <v>134.25</v>
      </c>
      <c r="C60" s="53">
        <f t="shared" si="4"/>
        <v>111.39</v>
      </c>
      <c r="D60" s="53">
        <f t="shared" si="0"/>
        <v>1.7237499999999955</v>
      </c>
      <c r="E60" s="53">
        <f t="shared" si="1"/>
        <v>1.8356250000000074</v>
      </c>
      <c r="F60" s="4">
        <f t="shared" si="2"/>
        <v>3.1641585937500043</v>
      </c>
      <c r="G60" s="4">
        <f t="shared" si="3"/>
        <v>2.9713140624999843</v>
      </c>
      <c r="H60" s="4">
        <f t="shared" si="3"/>
        <v>3.3695191406250271</v>
      </c>
    </row>
    <row r="61" spans="1:8" x14ac:dyDescent="0.25">
      <c r="A61" s="38">
        <v>58</v>
      </c>
      <c r="B61" s="55">
        <v>136.06</v>
      </c>
      <c r="C61" s="53">
        <f t="shared" si="4"/>
        <v>109.76</v>
      </c>
      <c r="D61" s="53">
        <f t="shared" si="0"/>
        <v>3.5337499999999977</v>
      </c>
      <c r="E61" s="53">
        <f t="shared" si="1"/>
        <v>0.20562500000001194</v>
      </c>
      <c r="F61" s="4">
        <f t="shared" si="2"/>
        <v>0.72662734375004168</v>
      </c>
      <c r="G61" s="4">
        <f>D61*D61</f>
        <v>12.487389062499984</v>
      </c>
      <c r="H61" s="4">
        <f>E61*E61</f>
        <v>4.2281640625004911E-2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1752.87</v>
      </c>
      <c r="D62" s="49">
        <f t="shared" si="5"/>
        <v>-8.5265128291212022E-14</v>
      </c>
      <c r="E62" s="49">
        <f t="shared" si="5"/>
        <v>7.1054273576010019E-14</v>
      </c>
      <c r="F62" s="49">
        <f t="shared" si="5"/>
        <v>-177.52413749999974</v>
      </c>
      <c r="G62" s="49">
        <f t="shared" si="5"/>
        <v>81.322174999999888</v>
      </c>
      <c r="H62" s="49">
        <f t="shared" si="5"/>
        <v>575.75799375000008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109.55437499999999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446</v>
      </c>
      <c r="B65" s="49">
        <f>SUM(B46:B61)/16</f>
        <v>132.52625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447</v>
      </c>
      <c r="B66" s="38">
        <f>SUM(C46:C61)/16</f>
        <v>109.55437499999999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448</v>
      </c>
      <c r="B68" s="38">
        <f>F62/SQRT(G62*H62)</f>
        <v>-0.82041374980600201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1" workbookViewId="0">
      <selection activeCell="B71" sqref="B71"/>
    </sheetView>
  </sheetViews>
  <sheetFormatPr defaultRowHeight="15" x14ac:dyDescent="0.25"/>
  <cols>
    <col min="6" max="6" width="18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449</v>
      </c>
      <c r="D3" s="45" t="s">
        <v>450</v>
      </c>
      <c r="E3" s="45" t="s">
        <v>451</v>
      </c>
      <c r="F3" s="46" t="s">
        <v>452</v>
      </c>
      <c r="G3" s="45" t="s">
        <v>453</v>
      </c>
      <c r="H3" s="45" t="s">
        <v>454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53">
        <f>B4</f>
        <v>102.32</v>
      </c>
      <c r="D47" s="53">
        <f t="shared" ref="D47:D61" si="0">B47-$B$65</f>
        <v>2.0106666666666513</v>
      </c>
      <c r="E47" s="53">
        <f t="shared" ref="E47:E61" si="1">C47-$B$66</f>
        <v>-7.2206666666666734</v>
      </c>
      <c r="F47" s="4">
        <f t="shared" ref="F47:F61" si="2">D47*E47</f>
        <v>-14.51835377777768</v>
      </c>
      <c r="G47" s="4">
        <f t="shared" ref="G47:H61" si="3">D47*D47</f>
        <v>4.0427804444443822</v>
      </c>
      <c r="H47" s="4">
        <f t="shared" si="3"/>
        <v>52.138027111111207</v>
      </c>
    </row>
    <row r="48" spans="1:8" x14ac:dyDescent="0.25">
      <c r="A48" s="38">
        <v>45</v>
      </c>
      <c r="B48" s="55">
        <v>134.51</v>
      </c>
      <c r="C48" s="53">
        <f t="shared" ref="C48:C61" si="4">B5</f>
        <v>102.21</v>
      </c>
      <c r="D48" s="53">
        <f t="shared" si="0"/>
        <v>2.1306666666666558</v>
      </c>
      <c r="E48" s="53">
        <f t="shared" si="1"/>
        <v>-7.3306666666666729</v>
      </c>
      <c r="F48" s="4">
        <f t="shared" si="2"/>
        <v>-15.619207111111045</v>
      </c>
      <c r="G48" s="4">
        <f t="shared" si="3"/>
        <v>4.5397404444443978</v>
      </c>
      <c r="H48" s="4">
        <f t="shared" si="3"/>
        <v>53.738673777777869</v>
      </c>
    </row>
    <row r="49" spans="1:8" x14ac:dyDescent="0.25">
      <c r="A49" s="38">
        <v>46</v>
      </c>
      <c r="B49" s="55">
        <v>134.46</v>
      </c>
      <c r="C49" s="53">
        <f t="shared" si="4"/>
        <v>102.16</v>
      </c>
      <c r="D49" s="53">
        <f t="shared" si="0"/>
        <v>2.0806666666666729</v>
      </c>
      <c r="E49" s="53">
        <f t="shared" si="1"/>
        <v>-7.38066666666667</v>
      </c>
      <c r="F49" s="4">
        <f t="shared" si="2"/>
        <v>-15.356707111111165</v>
      </c>
      <c r="G49" s="4">
        <f t="shared" si="3"/>
        <v>4.3291737777778039</v>
      </c>
      <c r="H49" s="4">
        <f t="shared" si="3"/>
        <v>54.474240444444497</v>
      </c>
    </row>
    <row r="50" spans="1:8" x14ac:dyDescent="0.25">
      <c r="A50" s="38">
        <v>47</v>
      </c>
      <c r="B50" s="55">
        <v>134.27000000000001</v>
      </c>
      <c r="C50" s="53">
        <f t="shared" si="4"/>
        <v>102.06</v>
      </c>
      <c r="D50" s="53">
        <f t="shared" si="0"/>
        <v>1.8906666666666752</v>
      </c>
      <c r="E50" s="53">
        <f t="shared" si="1"/>
        <v>-7.4806666666666644</v>
      </c>
      <c r="F50" s="4">
        <f t="shared" si="2"/>
        <v>-14.14344711111117</v>
      </c>
      <c r="G50" s="4">
        <f t="shared" si="3"/>
        <v>3.5746204444444767</v>
      </c>
      <c r="H50" s="4">
        <f t="shared" si="3"/>
        <v>55.96037377777774</v>
      </c>
    </row>
    <row r="51" spans="1:8" x14ac:dyDescent="0.25">
      <c r="A51" s="38">
        <v>48</v>
      </c>
      <c r="B51" s="55">
        <v>133.72999999999999</v>
      </c>
      <c r="C51" s="53">
        <f t="shared" si="4"/>
        <v>102.55</v>
      </c>
      <c r="D51" s="53">
        <f t="shared" si="0"/>
        <v>1.3506666666666547</v>
      </c>
      <c r="E51" s="53">
        <f t="shared" si="1"/>
        <v>-6.9906666666666695</v>
      </c>
      <c r="F51" s="4">
        <f t="shared" si="2"/>
        <v>-9.4420604444443637</v>
      </c>
      <c r="G51" s="4">
        <f t="shared" si="3"/>
        <v>1.8243004444444122</v>
      </c>
      <c r="H51" s="4">
        <f t="shared" si="3"/>
        <v>48.869420444444486</v>
      </c>
    </row>
    <row r="52" spans="1:8" x14ac:dyDescent="0.25">
      <c r="A52" s="38">
        <v>49</v>
      </c>
      <c r="B52" s="55">
        <v>132.01</v>
      </c>
      <c r="C52" s="53">
        <f t="shared" si="4"/>
        <v>104.35</v>
      </c>
      <c r="D52" s="53">
        <f t="shared" si="0"/>
        <v>-0.36933333333334417</v>
      </c>
      <c r="E52" s="53">
        <f t="shared" si="1"/>
        <v>-5.1906666666666723</v>
      </c>
      <c r="F52" s="4">
        <f t="shared" si="2"/>
        <v>1.9170862222222806</v>
      </c>
      <c r="G52" s="4">
        <f t="shared" si="3"/>
        <v>0.13640711111111911</v>
      </c>
      <c r="H52" s="4">
        <f t="shared" si="3"/>
        <v>26.943020444444503</v>
      </c>
    </row>
    <row r="53" spans="1:8" x14ac:dyDescent="0.25">
      <c r="A53" s="38">
        <v>50</v>
      </c>
      <c r="B53" s="55">
        <v>130.59</v>
      </c>
      <c r="C53" s="53">
        <f t="shared" si="4"/>
        <v>107.57</v>
      </c>
      <c r="D53" s="53">
        <f t="shared" si="0"/>
        <v>-1.7893333333333317</v>
      </c>
      <c r="E53" s="53">
        <f t="shared" si="1"/>
        <v>-1.9706666666666734</v>
      </c>
      <c r="F53" s="4">
        <f t="shared" si="2"/>
        <v>3.5261795555555646</v>
      </c>
      <c r="G53" s="4">
        <f t="shared" si="3"/>
        <v>3.2017137777777718</v>
      </c>
      <c r="H53" s="4">
        <f t="shared" si="3"/>
        <v>3.883527111111138</v>
      </c>
    </row>
    <row r="54" spans="1:8" x14ac:dyDescent="0.25">
      <c r="A54" s="38">
        <v>51</v>
      </c>
      <c r="B54" s="55">
        <v>130.28</v>
      </c>
      <c r="C54" s="53">
        <f t="shared" si="4"/>
        <v>111.96</v>
      </c>
      <c r="D54" s="53">
        <f t="shared" si="0"/>
        <v>-2.0993333333333339</v>
      </c>
      <c r="E54" s="53">
        <f t="shared" si="1"/>
        <v>2.4193333333333271</v>
      </c>
      <c r="F54" s="4">
        <f t="shared" si="2"/>
        <v>-5.0789871111110996</v>
      </c>
      <c r="G54" s="4">
        <f t="shared" si="3"/>
        <v>4.407200444444447</v>
      </c>
      <c r="H54" s="4">
        <f t="shared" si="3"/>
        <v>5.8531737777777479</v>
      </c>
    </row>
    <row r="55" spans="1:8" x14ac:dyDescent="0.25">
      <c r="A55" s="38">
        <v>52</v>
      </c>
      <c r="B55" s="55">
        <v>129.16</v>
      </c>
      <c r="C55" s="53">
        <f t="shared" si="4"/>
        <v>115.27</v>
      </c>
      <c r="D55" s="53">
        <f t="shared" si="0"/>
        <v>-3.2193333333333385</v>
      </c>
      <c r="E55" s="53">
        <f t="shared" si="1"/>
        <v>5.7293333333333294</v>
      </c>
      <c r="F55" s="4">
        <f t="shared" si="2"/>
        <v>-18.444633777777796</v>
      </c>
      <c r="G55" s="4">
        <f t="shared" si="3"/>
        <v>10.364107111111144</v>
      </c>
      <c r="H55" s="4">
        <f t="shared" si="3"/>
        <v>32.825260444444396</v>
      </c>
    </row>
    <row r="56" spans="1:8" x14ac:dyDescent="0.25">
      <c r="A56" s="38">
        <v>53</v>
      </c>
      <c r="B56" s="55">
        <v>128.94</v>
      </c>
      <c r="C56" s="53">
        <f t="shared" si="4"/>
        <v>117.17</v>
      </c>
      <c r="D56" s="53">
        <f t="shared" si="0"/>
        <v>-3.4393333333333374</v>
      </c>
      <c r="E56" s="53">
        <f t="shared" si="1"/>
        <v>7.6293333333333351</v>
      </c>
      <c r="F56" s="4">
        <f t="shared" si="2"/>
        <v>-26.239820444444479</v>
      </c>
      <c r="G56" s="4">
        <f t="shared" si="3"/>
        <v>11.829013777777805</v>
      </c>
      <c r="H56" s="4">
        <f t="shared" si="3"/>
        <v>58.206727111111135</v>
      </c>
    </row>
    <row r="57" spans="1:8" x14ac:dyDescent="0.25">
      <c r="A57" s="38">
        <v>54</v>
      </c>
      <c r="B57" s="55">
        <v>129.30000000000001</v>
      </c>
      <c r="C57" s="53">
        <f t="shared" si="4"/>
        <v>117.61</v>
      </c>
      <c r="D57" s="53">
        <f t="shared" si="0"/>
        <v>-3.0793333333333237</v>
      </c>
      <c r="E57" s="53">
        <f t="shared" si="1"/>
        <v>8.0693333333333328</v>
      </c>
      <c r="F57" s="4">
        <f t="shared" si="2"/>
        <v>-24.848167111111032</v>
      </c>
      <c r="G57" s="4">
        <f t="shared" si="3"/>
        <v>9.4822937777777181</v>
      </c>
      <c r="H57" s="4">
        <f t="shared" si="3"/>
        <v>65.11414044444443</v>
      </c>
    </row>
    <row r="58" spans="1:8" x14ac:dyDescent="0.25">
      <c r="A58" s="38">
        <v>55</v>
      </c>
      <c r="B58" s="55">
        <v>131.22</v>
      </c>
      <c r="C58" s="53">
        <f t="shared" si="4"/>
        <v>117.26</v>
      </c>
      <c r="D58" s="53">
        <f t="shared" si="0"/>
        <v>-1.1593333333333362</v>
      </c>
      <c r="E58" s="53">
        <f t="shared" si="1"/>
        <v>7.7193333333333385</v>
      </c>
      <c r="F58" s="4">
        <f t="shared" si="2"/>
        <v>-8.9492804444444722</v>
      </c>
      <c r="G58" s="4">
        <f t="shared" si="3"/>
        <v>1.3440537777777846</v>
      </c>
      <c r="H58" s="4">
        <f t="shared" si="3"/>
        <v>59.588107111111192</v>
      </c>
    </row>
    <row r="59" spans="1:8" x14ac:dyDescent="0.25">
      <c r="A59" s="38">
        <v>56</v>
      </c>
      <c r="B59" s="55">
        <v>132.52000000000001</v>
      </c>
      <c r="C59" s="53">
        <f t="shared" si="4"/>
        <v>115.88</v>
      </c>
      <c r="D59" s="53">
        <f t="shared" si="0"/>
        <v>0.14066666666667516</v>
      </c>
      <c r="E59" s="53">
        <f t="shared" si="1"/>
        <v>6.3393333333333288</v>
      </c>
      <c r="F59" s="4">
        <f t="shared" si="2"/>
        <v>0.89173288888894209</v>
      </c>
      <c r="G59" s="4">
        <f t="shared" si="3"/>
        <v>1.97871111111135E-2</v>
      </c>
      <c r="H59" s="4">
        <f t="shared" si="3"/>
        <v>40.187147111111052</v>
      </c>
    </row>
    <row r="60" spans="1:8" x14ac:dyDescent="0.25">
      <c r="A60" s="38">
        <v>57</v>
      </c>
      <c r="B60" s="55">
        <v>134.25</v>
      </c>
      <c r="C60" s="53">
        <f t="shared" si="4"/>
        <v>113.35</v>
      </c>
      <c r="D60" s="53">
        <f t="shared" si="0"/>
        <v>1.8706666666666649</v>
      </c>
      <c r="E60" s="53">
        <f t="shared" si="1"/>
        <v>3.8093333333333277</v>
      </c>
      <c r="F60" s="4">
        <f t="shared" si="2"/>
        <v>7.1259928888888719</v>
      </c>
      <c r="G60" s="4">
        <f t="shared" si="3"/>
        <v>3.4993937777777711</v>
      </c>
      <c r="H60" s="4">
        <f t="shared" si="3"/>
        <v>14.511020444444402</v>
      </c>
    </row>
    <row r="61" spans="1:8" x14ac:dyDescent="0.25">
      <c r="A61" s="38">
        <v>58</v>
      </c>
      <c r="B61" s="55">
        <v>136.06</v>
      </c>
      <c r="C61" s="53">
        <f t="shared" si="4"/>
        <v>111.39</v>
      </c>
      <c r="D61" s="53">
        <f t="shared" si="0"/>
        <v>3.6806666666666672</v>
      </c>
      <c r="E61" s="53">
        <f t="shared" si="1"/>
        <v>1.8493333333333339</v>
      </c>
      <c r="F61" s="4">
        <f t="shared" si="2"/>
        <v>6.8067795555555586</v>
      </c>
      <c r="G61" s="4">
        <f t="shared" si="3"/>
        <v>13.547307111111115</v>
      </c>
      <c r="H61" s="4">
        <f t="shared" si="3"/>
        <v>3.4200337777777801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1643.11</v>
      </c>
      <c r="D62" s="49">
        <f t="shared" si="5"/>
        <v>-2.8421709430404007E-14</v>
      </c>
      <c r="E62" s="49">
        <f t="shared" si="5"/>
        <v>-4.2632564145606011E-14</v>
      </c>
      <c r="F62" s="49">
        <f t="shared" si="5"/>
        <v>-132.37289333333308</v>
      </c>
      <c r="G62" s="49">
        <f t="shared" si="5"/>
        <v>76.141893333333257</v>
      </c>
      <c r="H62" s="49">
        <f t="shared" si="5"/>
        <v>575.71289333333357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109.54066666666667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455</v>
      </c>
      <c r="B65" s="49">
        <f>SUM(B47:B61)/15</f>
        <v>132.37933333333334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456</v>
      </c>
      <c r="B66" s="38">
        <f>SUM(C47:C61)/15</f>
        <v>109.54066666666667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457</v>
      </c>
      <c r="B68" s="38">
        <f>F62/SQRT(G62*H62)</f>
        <v>-0.63224331753554963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5" workbookViewId="0">
      <selection activeCell="C72" sqref="C72"/>
    </sheetView>
  </sheetViews>
  <sheetFormatPr defaultRowHeight="15" x14ac:dyDescent="0.25"/>
  <cols>
    <col min="6" max="6" width="18.5703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458</v>
      </c>
      <c r="D3" s="45" t="s">
        <v>466</v>
      </c>
      <c r="E3" s="45" t="s">
        <v>469</v>
      </c>
      <c r="F3" s="46" t="s">
        <v>459</v>
      </c>
      <c r="G3" s="45" t="s">
        <v>460</v>
      </c>
      <c r="H3" s="45" t="s">
        <v>461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53">
        <f>B4</f>
        <v>102.32</v>
      </c>
      <c r="D48" s="53">
        <f t="shared" ref="D48:D61" si="0">B48-$B$65</f>
        <v>2.2742857142856963</v>
      </c>
      <c r="E48" s="53">
        <f t="shared" ref="E48:E61" si="1">C48-$B$66</f>
        <v>-7.0885714285714272</v>
      </c>
      <c r="F48" s="4">
        <f t="shared" ref="F48:F61" si="2">D48*E48</f>
        <v>-16.121436734693745</v>
      </c>
      <c r="G48" s="4">
        <f t="shared" ref="G48:H61" si="3">D48*D48</f>
        <v>5.1723755102039997</v>
      </c>
      <c r="H48" s="4">
        <f t="shared" si="3"/>
        <v>50.247844897959162</v>
      </c>
    </row>
    <row r="49" spans="1:8" x14ac:dyDescent="0.25">
      <c r="A49" s="38">
        <v>46</v>
      </c>
      <c r="B49" s="55">
        <v>134.46</v>
      </c>
      <c r="C49" s="53">
        <f t="shared" ref="C49:C61" si="4">B5</f>
        <v>102.21</v>
      </c>
      <c r="D49" s="53">
        <f t="shared" si="0"/>
        <v>2.2242857142857133</v>
      </c>
      <c r="E49" s="53">
        <f t="shared" si="1"/>
        <v>-7.1985714285714266</v>
      </c>
      <c r="F49" s="4">
        <f t="shared" si="2"/>
        <v>-16.011679591836725</v>
      </c>
      <c r="G49" s="4">
        <f t="shared" si="3"/>
        <v>4.9474469387755056</v>
      </c>
      <c r="H49" s="4">
        <f t="shared" si="3"/>
        <v>51.819430612244872</v>
      </c>
    </row>
    <row r="50" spans="1:8" x14ac:dyDescent="0.25">
      <c r="A50" s="38">
        <v>47</v>
      </c>
      <c r="B50" s="55">
        <v>134.27000000000001</v>
      </c>
      <c r="C50" s="53">
        <f t="shared" si="4"/>
        <v>102.16</v>
      </c>
      <c r="D50" s="53">
        <f t="shared" si="0"/>
        <v>2.0342857142857156</v>
      </c>
      <c r="E50" s="53">
        <f t="shared" si="1"/>
        <v>-7.2485714285714238</v>
      </c>
      <c r="F50" s="4">
        <f t="shared" si="2"/>
        <v>-14.745665306122449</v>
      </c>
      <c r="G50" s="4">
        <f t="shared" si="3"/>
        <v>4.1383183673469439</v>
      </c>
      <c r="H50" s="4">
        <f t="shared" si="3"/>
        <v>52.541787755101971</v>
      </c>
    </row>
    <row r="51" spans="1:8" x14ac:dyDescent="0.25">
      <c r="A51" s="38">
        <v>48</v>
      </c>
      <c r="B51" s="55">
        <v>133.72999999999999</v>
      </c>
      <c r="C51" s="53">
        <f t="shared" si="4"/>
        <v>102.06</v>
      </c>
      <c r="D51" s="53">
        <f t="shared" si="0"/>
        <v>1.4942857142856951</v>
      </c>
      <c r="E51" s="53">
        <f t="shared" si="1"/>
        <v>-7.3485714285714181</v>
      </c>
      <c r="F51" s="4">
        <f t="shared" si="2"/>
        <v>-10.980865306122292</v>
      </c>
      <c r="G51" s="4">
        <f t="shared" si="3"/>
        <v>2.23288979591831</v>
      </c>
      <c r="H51" s="4">
        <f t="shared" si="3"/>
        <v>54.00150204081617</v>
      </c>
    </row>
    <row r="52" spans="1:8" x14ac:dyDescent="0.25">
      <c r="A52" s="38">
        <v>49</v>
      </c>
      <c r="B52" s="55">
        <v>132.01</v>
      </c>
      <c r="C52" s="53">
        <f t="shared" si="4"/>
        <v>102.55</v>
      </c>
      <c r="D52" s="53">
        <f t="shared" si="0"/>
        <v>-0.22571428571430374</v>
      </c>
      <c r="E52" s="53">
        <f t="shared" si="1"/>
        <v>-6.8585714285714232</v>
      </c>
      <c r="F52" s="4">
        <f t="shared" si="2"/>
        <v>1.5480775510205307</v>
      </c>
      <c r="G52" s="4">
        <f t="shared" si="3"/>
        <v>5.0946938775518341E-2</v>
      </c>
      <c r="H52" s="4">
        <f t="shared" si="3"/>
        <v>47.040002040816255</v>
      </c>
    </row>
    <row r="53" spans="1:8" x14ac:dyDescent="0.25">
      <c r="A53" s="38">
        <v>50</v>
      </c>
      <c r="B53" s="55">
        <v>130.59</v>
      </c>
      <c r="C53" s="53">
        <f t="shared" si="4"/>
        <v>104.35</v>
      </c>
      <c r="D53" s="53">
        <f t="shared" si="0"/>
        <v>-1.6457142857142912</v>
      </c>
      <c r="E53" s="53">
        <f t="shared" si="1"/>
        <v>-5.0585714285714261</v>
      </c>
      <c r="F53" s="4">
        <f t="shared" si="2"/>
        <v>8.3249632653061454</v>
      </c>
      <c r="G53" s="4">
        <f t="shared" si="3"/>
        <v>2.7083755102040996</v>
      </c>
      <c r="H53" s="4">
        <f t="shared" si="3"/>
        <v>25.589144897959159</v>
      </c>
    </row>
    <row r="54" spans="1:8" x14ac:dyDescent="0.25">
      <c r="A54" s="38">
        <v>51</v>
      </c>
      <c r="B54" s="55">
        <v>130.28</v>
      </c>
      <c r="C54" s="53">
        <f t="shared" si="4"/>
        <v>107.57</v>
      </c>
      <c r="D54" s="53">
        <f t="shared" si="0"/>
        <v>-1.9557142857142935</v>
      </c>
      <c r="E54" s="53">
        <f t="shared" si="1"/>
        <v>-1.8385714285714272</v>
      </c>
      <c r="F54" s="4">
        <f t="shared" si="2"/>
        <v>3.595720408163277</v>
      </c>
      <c r="G54" s="4">
        <f t="shared" si="3"/>
        <v>3.8248183673469693</v>
      </c>
      <c r="H54" s="4">
        <f t="shared" si="3"/>
        <v>3.3803448979591786</v>
      </c>
    </row>
    <row r="55" spans="1:8" x14ac:dyDescent="0.25">
      <c r="A55" s="38">
        <v>52</v>
      </c>
      <c r="B55" s="55">
        <v>129.16</v>
      </c>
      <c r="C55" s="53">
        <f t="shared" si="4"/>
        <v>111.96</v>
      </c>
      <c r="D55" s="53">
        <f t="shared" si="0"/>
        <v>-3.0757142857142981</v>
      </c>
      <c r="E55" s="53">
        <f t="shared" si="1"/>
        <v>2.5514285714285734</v>
      </c>
      <c r="F55" s="4">
        <f t="shared" si="2"/>
        <v>-7.8474653061224862</v>
      </c>
      <c r="G55" s="4">
        <f t="shared" si="3"/>
        <v>9.4600183673470148</v>
      </c>
      <c r="H55" s="4">
        <f t="shared" si="3"/>
        <v>6.5097877551020504</v>
      </c>
    </row>
    <row r="56" spans="1:8" x14ac:dyDescent="0.25">
      <c r="A56" s="38">
        <v>53</v>
      </c>
      <c r="B56" s="55">
        <v>128.94</v>
      </c>
      <c r="C56" s="53">
        <f t="shared" si="4"/>
        <v>115.27</v>
      </c>
      <c r="D56" s="53">
        <f t="shared" si="0"/>
        <v>-3.2957142857142969</v>
      </c>
      <c r="E56" s="53">
        <f t="shared" si="1"/>
        <v>5.8614285714285757</v>
      </c>
      <c r="F56" s="4">
        <f t="shared" si="2"/>
        <v>-19.317593877551101</v>
      </c>
      <c r="G56" s="4">
        <f t="shared" si="3"/>
        <v>10.861732653061299</v>
      </c>
      <c r="H56" s="4">
        <f t="shared" si="3"/>
        <v>34.356344897959232</v>
      </c>
    </row>
    <row r="57" spans="1:8" x14ac:dyDescent="0.25">
      <c r="A57" s="38">
        <v>54</v>
      </c>
      <c r="B57" s="55">
        <v>129.30000000000001</v>
      </c>
      <c r="C57" s="53">
        <f t="shared" si="4"/>
        <v>117.17</v>
      </c>
      <c r="D57" s="53">
        <f t="shared" si="0"/>
        <v>-2.9357142857142833</v>
      </c>
      <c r="E57" s="53">
        <f t="shared" si="1"/>
        <v>7.7614285714285813</v>
      </c>
      <c r="F57" s="4">
        <f t="shared" si="2"/>
        <v>-22.785336734693889</v>
      </c>
      <c r="G57" s="4">
        <f t="shared" si="3"/>
        <v>8.6184183673469246</v>
      </c>
      <c r="H57" s="4">
        <f t="shared" si="3"/>
        <v>60.239773469387906</v>
      </c>
    </row>
    <row r="58" spans="1:8" x14ac:dyDescent="0.25">
      <c r="A58" s="38">
        <v>55</v>
      </c>
      <c r="B58" s="55">
        <v>131.22</v>
      </c>
      <c r="C58" s="53">
        <f t="shared" si="4"/>
        <v>117.61</v>
      </c>
      <c r="D58" s="53">
        <f t="shared" si="0"/>
        <v>-1.0157142857142958</v>
      </c>
      <c r="E58" s="53">
        <f t="shared" si="1"/>
        <v>8.2014285714285791</v>
      </c>
      <c r="F58" s="4">
        <f t="shared" si="2"/>
        <v>-8.3303081632653964</v>
      </c>
      <c r="G58" s="4">
        <f t="shared" si="3"/>
        <v>1.0316755102041022</v>
      </c>
      <c r="H58" s="4">
        <f t="shared" si="3"/>
        <v>67.263430612245017</v>
      </c>
    </row>
    <row r="59" spans="1:8" x14ac:dyDescent="0.25">
      <c r="A59" s="38">
        <v>56</v>
      </c>
      <c r="B59" s="55">
        <v>132.52000000000001</v>
      </c>
      <c r="C59" s="53">
        <f t="shared" si="4"/>
        <v>117.26</v>
      </c>
      <c r="D59" s="53">
        <f t="shared" si="0"/>
        <v>0.28428571428571558</v>
      </c>
      <c r="E59" s="53">
        <f t="shared" si="1"/>
        <v>7.8514285714285847</v>
      </c>
      <c r="F59" s="4">
        <f t="shared" si="2"/>
        <v>2.2320489795918506</v>
      </c>
      <c r="G59" s="4">
        <f t="shared" si="3"/>
        <v>8.0818367346939521E-2</v>
      </c>
      <c r="H59" s="4">
        <f t="shared" si="3"/>
        <v>61.644930612245105</v>
      </c>
    </row>
    <row r="60" spans="1:8" x14ac:dyDescent="0.25">
      <c r="A60" s="38">
        <v>57</v>
      </c>
      <c r="B60" s="55">
        <v>134.25</v>
      </c>
      <c r="C60" s="53">
        <f t="shared" si="4"/>
        <v>115.88</v>
      </c>
      <c r="D60" s="53">
        <f t="shared" si="0"/>
        <v>2.0142857142857054</v>
      </c>
      <c r="E60" s="53">
        <f t="shared" si="1"/>
        <v>6.4714285714285751</v>
      </c>
      <c r="F60" s="4">
        <f t="shared" si="2"/>
        <v>13.03530612244893</v>
      </c>
      <c r="G60" s="4">
        <f t="shared" si="3"/>
        <v>4.0573469387754741</v>
      </c>
      <c r="H60" s="4">
        <f t="shared" si="3"/>
        <v>41.879387755102087</v>
      </c>
    </row>
    <row r="61" spans="1:8" x14ac:dyDescent="0.25">
      <c r="A61" s="38">
        <v>58</v>
      </c>
      <c r="B61" s="55">
        <v>136.06</v>
      </c>
      <c r="C61" s="53">
        <f t="shared" si="4"/>
        <v>113.35</v>
      </c>
      <c r="D61" s="53">
        <f t="shared" si="0"/>
        <v>3.8242857142857076</v>
      </c>
      <c r="E61" s="53">
        <f t="shared" si="1"/>
        <v>3.9414285714285739</v>
      </c>
      <c r="F61" s="4">
        <f t="shared" si="2"/>
        <v>15.073148979591821</v>
      </c>
      <c r="G61" s="4">
        <f t="shared" si="3"/>
        <v>14.625161224489744</v>
      </c>
      <c r="H61" s="4">
        <f t="shared" si="3"/>
        <v>15.53485918367349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1531.7199999999998</v>
      </c>
      <c r="D62" s="49">
        <f t="shared" si="5"/>
        <v>-1.1368683772161603E-13</v>
      </c>
      <c r="E62" s="49">
        <f t="shared" si="5"/>
        <v>7.1054273576010019E-14</v>
      </c>
      <c r="F62" s="49">
        <f t="shared" si="5"/>
        <v>-72.331085714285521</v>
      </c>
      <c r="G62" s="49">
        <f t="shared" si="5"/>
        <v>71.810342857142842</v>
      </c>
      <c r="H62" s="49">
        <f t="shared" si="5"/>
        <v>572.04857142857168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109.40857142857142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462</v>
      </c>
      <c r="B65" s="49">
        <f>SUM(B48:B61)/14</f>
        <v>132.23571428571429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463</v>
      </c>
      <c r="B66" s="38">
        <f>SUM(C48:C61)/14</f>
        <v>109.40857142857142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464</v>
      </c>
      <c r="B68" s="38">
        <f>F62/SQRT(G62*H62)</f>
        <v>-0.35687410072957032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3" workbookViewId="0">
      <selection activeCell="B70" sqref="B70"/>
    </sheetView>
  </sheetViews>
  <sheetFormatPr defaultRowHeight="15" x14ac:dyDescent="0.25"/>
  <cols>
    <col min="6" max="6" width="17.5703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465</v>
      </c>
      <c r="D3" s="45" t="s">
        <v>467</v>
      </c>
      <c r="E3" s="45" t="s">
        <v>468</v>
      </c>
      <c r="F3" s="46" t="s">
        <v>470</v>
      </c>
      <c r="G3" s="45" t="s">
        <v>471</v>
      </c>
      <c r="H3" s="45" t="s">
        <v>472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53">
        <f>B4</f>
        <v>102.32</v>
      </c>
      <c r="D49" s="53">
        <f t="shared" ref="D49:D61" si="0">B49-$B$65</f>
        <v>2.3992307692307691</v>
      </c>
      <c r="E49" s="53">
        <f t="shared" ref="E49:E61" si="1">C49-$B$66</f>
        <v>-6.7853846153846149</v>
      </c>
      <c r="F49" s="4">
        <f t="shared" ref="F49:F61" si="2">D49*E49</f>
        <v>-16.279703550295856</v>
      </c>
      <c r="G49" s="4">
        <f t="shared" ref="G49:H61" si="3">D49*D49</f>
        <v>5.7563082840236675</v>
      </c>
      <c r="H49" s="4">
        <f t="shared" si="3"/>
        <v>46.041444378698216</v>
      </c>
    </row>
    <row r="50" spans="1:8" x14ac:dyDescent="0.25">
      <c r="A50" s="38">
        <v>47</v>
      </c>
      <c r="B50" s="55">
        <v>134.27000000000001</v>
      </c>
      <c r="C50" s="53">
        <f t="shared" ref="C50:C61" si="4">B5</f>
        <v>102.21</v>
      </c>
      <c r="D50" s="53">
        <f t="shared" si="0"/>
        <v>2.2092307692307713</v>
      </c>
      <c r="E50" s="53">
        <f t="shared" si="1"/>
        <v>-6.8953846153846143</v>
      </c>
      <c r="F50" s="4">
        <f t="shared" si="2"/>
        <v>-15.233495857988178</v>
      </c>
      <c r="G50" s="4">
        <f t="shared" si="3"/>
        <v>4.8807005917159856</v>
      </c>
      <c r="H50" s="4">
        <f t="shared" si="3"/>
        <v>47.546328994082828</v>
      </c>
    </row>
    <row r="51" spans="1:8" x14ac:dyDescent="0.25">
      <c r="A51" s="38">
        <v>48</v>
      </c>
      <c r="B51" s="55">
        <v>133.72999999999999</v>
      </c>
      <c r="C51" s="53">
        <f t="shared" si="4"/>
        <v>102.16</v>
      </c>
      <c r="D51" s="53">
        <f t="shared" si="0"/>
        <v>1.6692307692307509</v>
      </c>
      <c r="E51" s="53">
        <f t="shared" si="1"/>
        <v>-6.9453846153846115</v>
      </c>
      <c r="F51" s="4">
        <f t="shared" si="2"/>
        <v>-11.593449704141877</v>
      </c>
      <c r="G51" s="4">
        <f t="shared" si="3"/>
        <v>2.7863313609466842</v>
      </c>
      <c r="H51" s="4">
        <f t="shared" si="3"/>
        <v>48.238367455621251</v>
      </c>
    </row>
    <row r="52" spans="1:8" x14ac:dyDescent="0.25">
      <c r="A52" s="38">
        <v>49</v>
      </c>
      <c r="B52" s="55">
        <v>132.01</v>
      </c>
      <c r="C52" s="53">
        <f t="shared" si="4"/>
        <v>102.06</v>
      </c>
      <c r="D52" s="53">
        <f t="shared" si="0"/>
        <v>-5.0769230769247997E-2</v>
      </c>
      <c r="E52" s="53">
        <f t="shared" si="1"/>
        <v>-7.0453846153846058</v>
      </c>
      <c r="F52" s="4">
        <f t="shared" si="2"/>
        <v>0.35768875739657058</v>
      </c>
      <c r="G52" s="4">
        <f t="shared" si="3"/>
        <v>2.5775147929011574E-3</v>
      </c>
      <c r="H52" s="4">
        <f t="shared" si="3"/>
        <v>49.637444378698092</v>
      </c>
    </row>
    <row r="53" spans="1:8" x14ac:dyDescent="0.25">
      <c r="A53" s="38">
        <v>50</v>
      </c>
      <c r="B53" s="55">
        <v>130.59</v>
      </c>
      <c r="C53" s="53">
        <f t="shared" si="4"/>
        <v>102.55</v>
      </c>
      <c r="D53" s="53">
        <f t="shared" si="0"/>
        <v>-1.4707692307692355</v>
      </c>
      <c r="E53" s="53">
        <f t="shared" si="1"/>
        <v>-6.5553846153846109</v>
      </c>
      <c r="F53" s="4">
        <f t="shared" si="2"/>
        <v>9.6414579881657048</v>
      </c>
      <c r="G53" s="4">
        <f t="shared" si="3"/>
        <v>2.1631621301775286</v>
      </c>
      <c r="H53" s="4">
        <f t="shared" si="3"/>
        <v>42.973067455621241</v>
      </c>
    </row>
    <row r="54" spans="1:8" x14ac:dyDescent="0.25">
      <c r="A54" s="38">
        <v>51</v>
      </c>
      <c r="B54" s="55">
        <v>130.28</v>
      </c>
      <c r="C54" s="53">
        <f t="shared" si="4"/>
        <v>104.35</v>
      </c>
      <c r="D54" s="53">
        <f t="shared" si="0"/>
        <v>-1.7807692307692378</v>
      </c>
      <c r="E54" s="53">
        <f t="shared" si="1"/>
        <v>-4.7553846153846138</v>
      </c>
      <c r="F54" s="4">
        <f t="shared" si="2"/>
        <v>8.4682426035503262</v>
      </c>
      <c r="G54" s="4">
        <f t="shared" si="3"/>
        <v>3.1711390532544628</v>
      </c>
      <c r="H54" s="4">
        <f t="shared" si="3"/>
        <v>22.61368284023667</v>
      </c>
    </row>
    <row r="55" spans="1:8" x14ac:dyDescent="0.25">
      <c r="A55" s="38">
        <v>52</v>
      </c>
      <c r="B55" s="55">
        <v>129.16</v>
      </c>
      <c r="C55" s="53">
        <f t="shared" si="4"/>
        <v>107.57</v>
      </c>
      <c r="D55" s="53">
        <f t="shared" si="0"/>
        <v>-2.9007692307692423</v>
      </c>
      <c r="E55" s="53">
        <f t="shared" si="1"/>
        <v>-1.5353846153846149</v>
      </c>
      <c r="F55" s="4">
        <f t="shared" si="2"/>
        <v>4.453796449704158</v>
      </c>
      <c r="G55" s="4">
        <f t="shared" si="3"/>
        <v>8.414462130177581</v>
      </c>
      <c r="H55" s="4">
        <f t="shared" si="3"/>
        <v>2.3574059171597619</v>
      </c>
    </row>
    <row r="56" spans="1:8" x14ac:dyDescent="0.25">
      <c r="A56" s="38">
        <v>53</v>
      </c>
      <c r="B56" s="55">
        <v>128.94</v>
      </c>
      <c r="C56" s="53">
        <f t="shared" si="4"/>
        <v>111.96</v>
      </c>
      <c r="D56" s="53">
        <f t="shared" si="0"/>
        <v>-3.1207692307692412</v>
      </c>
      <c r="E56" s="53">
        <f t="shared" si="1"/>
        <v>2.8546153846153857</v>
      </c>
      <c r="F56" s="4">
        <f t="shared" si="2"/>
        <v>-8.9085958579881979</v>
      </c>
      <c r="G56" s="4">
        <f t="shared" si="3"/>
        <v>9.7392005917160418</v>
      </c>
      <c r="H56" s="4">
        <f t="shared" si="3"/>
        <v>8.1488289940828462</v>
      </c>
    </row>
    <row r="57" spans="1:8" x14ac:dyDescent="0.25">
      <c r="A57" s="38">
        <v>54</v>
      </c>
      <c r="B57" s="55">
        <v>129.30000000000001</v>
      </c>
      <c r="C57" s="53">
        <f t="shared" si="4"/>
        <v>115.27</v>
      </c>
      <c r="D57" s="53">
        <f t="shared" si="0"/>
        <v>-2.7607692307692275</v>
      </c>
      <c r="E57" s="53">
        <f t="shared" si="1"/>
        <v>6.1646153846153879</v>
      </c>
      <c r="F57" s="4">
        <f t="shared" si="2"/>
        <v>-17.019080473372771</v>
      </c>
      <c r="G57" s="4">
        <f t="shared" si="3"/>
        <v>7.6218467455621122</v>
      </c>
      <c r="H57" s="4">
        <f t="shared" si="3"/>
        <v>38.002482840236731</v>
      </c>
    </row>
    <row r="58" spans="1:8" x14ac:dyDescent="0.25">
      <c r="A58" s="38">
        <v>55</v>
      </c>
      <c r="B58" s="55">
        <v>131.22</v>
      </c>
      <c r="C58" s="53">
        <f t="shared" si="4"/>
        <v>117.17</v>
      </c>
      <c r="D58" s="53">
        <f t="shared" si="0"/>
        <v>-0.84076923076924004</v>
      </c>
      <c r="E58" s="53">
        <f t="shared" si="1"/>
        <v>8.0646153846153936</v>
      </c>
      <c r="F58" s="4">
        <f t="shared" si="2"/>
        <v>-6.7804804733728634</v>
      </c>
      <c r="G58" s="4">
        <f t="shared" si="3"/>
        <v>0.70689289940829958</v>
      </c>
      <c r="H58" s="4">
        <f t="shared" si="3"/>
        <v>65.038021301775288</v>
      </c>
    </row>
    <row r="59" spans="1:8" x14ac:dyDescent="0.25">
      <c r="A59" s="38">
        <v>56</v>
      </c>
      <c r="B59" s="55">
        <v>132.52000000000001</v>
      </c>
      <c r="C59" s="53">
        <f t="shared" si="4"/>
        <v>117.61</v>
      </c>
      <c r="D59" s="53">
        <f t="shared" si="0"/>
        <v>0.45923076923077133</v>
      </c>
      <c r="E59" s="53">
        <f t="shared" si="1"/>
        <v>8.5046153846153913</v>
      </c>
      <c r="F59" s="4">
        <f t="shared" si="2"/>
        <v>3.9055810650887786</v>
      </c>
      <c r="G59" s="4">
        <f t="shared" si="3"/>
        <v>0.21089289940828596</v>
      </c>
      <c r="H59" s="4">
        <f t="shared" si="3"/>
        <v>72.328482840236802</v>
      </c>
    </row>
    <row r="60" spans="1:8" x14ac:dyDescent="0.25">
      <c r="A60" s="38">
        <v>57</v>
      </c>
      <c r="B60" s="55">
        <v>134.25</v>
      </c>
      <c r="C60" s="53">
        <f t="shared" si="4"/>
        <v>117.26</v>
      </c>
      <c r="D60" s="53">
        <f t="shared" si="0"/>
        <v>2.1892307692307611</v>
      </c>
      <c r="E60" s="53">
        <f t="shared" si="1"/>
        <v>8.154615384615397</v>
      </c>
      <c r="F60" s="4">
        <f t="shared" si="2"/>
        <v>17.852334911242565</v>
      </c>
      <c r="G60" s="4">
        <f t="shared" si="3"/>
        <v>4.7927313609467097</v>
      </c>
      <c r="H60" s="4">
        <f t="shared" si="3"/>
        <v>66.497752071006119</v>
      </c>
    </row>
    <row r="61" spans="1:8" x14ac:dyDescent="0.25">
      <c r="A61" s="38">
        <v>58</v>
      </c>
      <c r="B61" s="55">
        <v>136.06</v>
      </c>
      <c r="C61" s="53">
        <f t="shared" si="4"/>
        <v>115.88</v>
      </c>
      <c r="D61" s="53">
        <f t="shared" si="0"/>
        <v>3.9992307692307634</v>
      </c>
      <c r="E61" s="53">
        <f t="shared" si="1"/>
        <v>6.7746153846153874</v>
      </c>
      <c r="F61" s="4">
        <f t="shared" si="2"/>
        <v>27.09325029585796</v>
      </c>
      <c r="G61" s="4">
        <f t="shared" si="3"/>
        <v>15.993846745562083</v>
      </c>
      <c r="H61" s="4">
        <f t="shared" si="3"/>
        <v>45.895413609467496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1418.37</v>
      </c>
      <c r="D62" s="49">
        <f t="shared" si="5"/>
        <v>-8.5265128291212022E-14</v>
      </c>
      <c r="E62" s="49">
        <f t="shared" si="5"/>
        <v>5.6843418860808015E-14</v>
      </c>
      <c r="F62" s="49">
        <f t="shared" si="5"/>
        <v>-4.0424538461536734</v>
      </c>
      <c r="G62" s="49">
        <f t="shared" si="5"/>
        <v>66.24009230769235</v>
      </c>
      <c r="H62" s="49">
        <f t="shared" si="5"/>
        <v>555.31872307692345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109.10538461538461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473</v>
      </c>
      <c r="B65" s="49">
        <f>SUM(B49:B61)/13</f>
        <v>132.06076923076924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474</v>
      </c>
      <c r="B66" s="38">
        <f>SUM(C49:C61)/13</f>
        <v>109.10538461538461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475</v>
      </c>
      <c r="B68" s="38">
        <f>F62/SQRT(G62*H62)</f>
        <v>-2.107722576766561E-2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9" workbookViewId="0">
      <selection activeCell="B73" sqref="B73"/>
    </sheetView>
  </sheetViews>
  <sheetFormatPr defaultRowHeight="15" x14ac:dyDescent="0.25"/>
  <cols>
    <col min="6" max="6" width="18.42578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476</v>
      </c>
      <c r="D3" s="45" t="s">
        <v>477</v>
      </c>
      <c r="E3" s="45" t="s">
        <v>478</v>
      </c>
      <c r="F3" s="46" t="s">
        <v>479</v>
      </c>
      <c r="G3" s="45" t="s">
        <v>480</v>
      </c>
      <c r="H3" s="45" t="s">
        <v>481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</row>
    <row r="50" spans="1:8" x14ac:dyDescent="0.25">
      <c r="A50" s="38">
        <v>47</v>
      </c>
      <c r="B50" s="55">
        <v>134.27000000000001</v>
      </c>
      <c r="C50" s="53">
        <f>B4</f>
        <v>102.32</v>
      </c>
      <c r="D50" s="53">
        <f t="shared" ref="D50:D61" si="0">B50-$B$65</f>
        <v>2.4091666666666924</v>
      </c>
      <c r="E50" s="53">
        <f t="shared" ref="E50:E61" si="1">C50-$B$66</f>
        <v>-6.2208333333333456</v>
      </c>
      <c r="F50" s="4">
        <f t="shared" ref="F50:F61" si="2">D50*E50</f>
        <v>-14.987024305555746</v>
      </c>
      <c r="G50" s="4">
        <f t="shared" ref="G50:H61" si="3">D50*D50</f>
        <v>5.8040840277779022</v>
      </c>
      <c r="H50" s="4">
        <f t="shared" si="3"/>
        <v>38.698767361111265</v>
      </c>
    </row>
    <row r="51" spans="1:8" x14ac:dyDescent="0.25">
      <c r="A51" s="38">
        <v>48</v>
      </c>
      <c r="B51" s="55">
        <v>133.72999999999999</v>
      </c>
      <c r="C51" s="53">
        <f t="shared" ref="C51:C61" si="4">B5</f>
        <v>102.21</v>
      </c>
      <c r="D51" s="53">
        <f t="shared" si="0"/>
        <v>1.869166666666672</v>
      </c>
      <c r="E51" s="53">
        <f t="shared" si="1"/>
        <v>-6.3308333333333451</v>
      </c>
      <c r="F51" s="4">
        <f t="shared" si="2"/>
        <v>-11.833382638888944</v>
      </c>
      <c r="G51" s="4">
        <f t="shared" si="3"/>
        <v>3.4937840277777976</v>
      </c>
      <c r="H51" s="4">
        <f t="shared" si="3"/>
        <v>40.079450694444596</v>
      </c>
    </row>
    <row r="52" spans="1:8" x14ac:dyDescent="0.25">
      <c r="A52" s="38">
        <v>49</v>
      </c>
      <c r="B52" s="55">
        <v>132.01</v>
      </c>
      <c r="C52" s="53">
        <f t="shared" si="4"/>
        <v>102.16</v>
      </c>
      <c r="D52" s="53">
        <f t="shared" si="0"/>
        <v>0.14916666666667311</v>
      </c>
      <c r="E52" s="53">
        <f t="shared" si="1"/>
        <v>-6.3808333333333422</v>
      </c>
      <c r="F52" s="4">
        <f t="shared" si="2"/>
        <v>-0.95180763888893127</v>
      </c>
      <c r="G52" s="4">
        <f t="shared" si="3"/>
        <v>2.2250694444446367E-2</v>
      </c>
      <c r="H52" s="4">
        <f t="shared" si="3"/>
        <v>40.715034027777889</v>
      </c>
    </row>
    <row r="53" spans="1:8" x14ac:dyDescent="0.25">
      <c r="A53" s="38">
        <v>50</v>
      </c>
      <c r="B53" s="55">
        <v>130.59</v>
      </c>
      <c r="C53" s="53">
        <f t="shared" si="4"/>
        <v>102.06</v>
      </c>
      <c r="D53" s="53">
        <f t="shared" si="0"/>
        <v>-1.2708333333333144</v>
      </c>
      <c r="E53" s="53">
        <f t="shared" si="1"/>
        <v>-6.4808333333333366</v>
      </c>
      <c r="F53" s="4">
        <f t="shared" si="2"/>
        <v>8.2360590277776584</v>
      </c>
      <c r="G53" s="4">
        <f t="shared" si="3"/>
        <v>1.615017361111063</v>
      </c>
      <c r="H53" s="4">
        <f t="shared" si="3"/>
        <v>42.001200694444485</v>
      </c>
    </row>
    <row r="54" spans="1:8" x14ac:dyDescent="0.25">
      <c r="A54" s="38">
        <v>51</v>
      </c>
      <c r="B54" s="55">
        <v>130.28</v>
      </c>
      <c r="C54" s="53">
        <f t="shared" si="4"/>
        <v>102.55</v>
      </c>
      <c r="D54" s="53">
        <f t="shared" si="0"/>
        <v>-1.5808333333333167</v>
      </c>
      <c r="E54" s="53">
        <f t="shared" si="1"/>
        <v>-5.9908333333333417</v>
      </c>
      <c r="F54" s="4">
        <f t="shared" si="2"/>
        <v>9.4705090277776911</v>
      </c>
      <c r="G54" s="4">
        <f t="shared" si="3"/>
        <v>2.499034027777725</v>
      </c>
      <c r="H54" s="4">
        <f t="shared" si="3"/>
        <v>35.890084027777881</v>
      </c>
    </row>
    <row r="55" spans="1:8" x14ac:dyDescent="0.25">
      <c r="A55" s="38">
        <v>52</v>
      </c>
      <c r="B55" s="55">
        <v>129.16</v>
      </c>
      <c r="C55" s="53">
        <f t="shared" si="4"/>
        <v>104.35</v>
      </c>
      <c r="D55" s="53">
        <f t="shared" si="0"/>
        <v>-2.7008333333333212</v>
      </c>
      <c r="E55" s="53">
        <f t="shared" si="1"/>
        <v>-4.1908333333333445</v>
      </c>
      <c r="F55" s="4">
        <f t="shared" si="2"/>
        <v>11.31874236111109</v>
      </c>
      <c r="G55" s="4">
        <f t="shared" si="3"/>
        <v>7.2945006944443787</v>
      </c>
      <c r="H55" s="4">
        <f t="shared" si="3"/>
        <v>17.563084027777872</v>
      </c>
    </row>
    <row r="56" spans="1:8" x14ac:dyDescent="0.25">
      <c r="A56" s="38">
        <v>53</v>
      </c>
      <c r="B56" s="55">
        <v>128.94</v>
      </c>
      <c r="C56" s="53">
        <f t="shared" si="4"/>
        <v>107.57</v>
      </c>
      <c r="D56" s="53">
        <f t="shared" si="0"/>
        <v>-2.9208333333333201</v>
      </c>
      <c r="E56" s="53">
        <f t="shared" si="1"/>
        <v>-0.97083333333334565</v>
      </c>
      <c r="F56" s="4">
        <f t="shared" si="2"/>
        <v>2.8356423611111343</v>
      </c>
      <c r="G56" s="4">
        <f t="shared" si="3"/>
        <v>8.5312673611110341</v>
      </c>
      <c r="H56" s="4">
        <f t="shared" si="3"/>
        <v>0.94251736111113504</v>
      </c>
    </row>
    <row r="57" spans="1:8" x14ac:dyDescent="0.25">
      <c r="A57" s="38">
        <v>54</v>
      </c>
      <c r="B57" s="55">
        <v>129.30000000000001</v>
      </c>
      <c r="C57" s="53">
        <f t="shared" si="4"/>
        <v>111.96</v>
      </c>
      <c r="D57" s="53">
        <f t="shared" si="0"/>
        <v>-2.5608333333333064</v>
      </c>
      <c r="E57" s="53">
        <f t="shared" si="1"/>
        <v>3.4191666666666549</v>
      </c>
      <c r="F57" s="4">
        <f t="shared" si="2"/>
        <v>-8.7559159722221001</v>
      </c>
      <c r="G57" s="4">
        <f t="shared" si="3"/>
        <v>6.557867361110973</v>
      </c>
      <c r="H57" s="4">
        <f t="shared" si="3"/>
        <v>11.690700694444365</v>
      </c>
    </row>
    <row r="58" spans="1:8" x14ac:dyDescent="0.25">
      <c r="A58" s="38">
        <v>55</v>
      </c>
      <c r="B58" s="55">
        <v>131.22</v>
      </c>
      <c r="C58" s="53">
        <f t="shared" si="4"/>
        <v>115.27</v>
      </c>
      <c r="D58" s="53">
        <f t="shared" si="0"/>
        <v>-0.64083333333331893</v>
      </c>
      <c r="E58" s="53">
        <f t="shared" si="1"/>
        <v>6.7291666666666572</v>
      </c>
      <c r="F58" s="4">
        <f t="shared" si="2"/>
        <v>-4.3122743055554524</v>
      </c>
      <c r="G58" s="4">
        <f t="shared" si="3"/>
        <v>0.41066736111109264</v>
      </c>
      <c r="H58" s="4">
        <f t="shared" si="3"/>
        <v>45.281684027777651</v>
      </c>
    </row>
    <row r="59" spans="1:8" x14ac:dyDescent="0.25">
      <c r="A59" s="38">
        <v>56</v>
      </c>
      <c r="B59" s="55">
        <v>132.52000000000001</v>
      </c>
      <c r="C59" s="53">
        <f t="shared" si="4"/>
        <v>117.17</v>
      </c>
      <c r="D59" s="53">
        <f t="shared" si="0"/>
        <v>0.65916666666669244</v>
      </c>
      <c r="E59" s="53">
        <f t="shared" si="1"/>
        <v>8.6291666666666629</v>
      </c>
      <c r="F59" s="4">
        <f t="shared" si="2"/>
        <v>5.6880590277779977</v>
      </c>
      <c r="G59" s="4">
        <f t="shared" si="3"/>
        <v>0.43450069444447842</v>
      </c>
      <c r="H59" s="4">
        <f t="shared" si="3"/>
        <v>74.46251736111104</v>
      </c>
    </row>
    <row r="60" spans="1:8" x14ac:dyDescent="0.25">
      <c r="A60" s="38">
        <v>57</v>
      </c>
      <c r="B60" s="55">
        <v>134.25</v>
      </c>
      <c r="C60" s="53">
        <f t="shared" si="4"/>
        <v>117.61</v>
      </c>
      <c r="D60" s="53">
        <f t="shared" si="0"/>
        <v>2.3891666666666822</v>
      </c>
      <c r="E60" s="53">
        <f t="shared" si="1"/>
        <v>9.0691666666666606</v>
      </c>
      <c r="F60" s="4">
        <f t="shared" si="2"/>
        <v>21.667750694444571</v>
      </c>
      <c r="G60" s="4">
        <f t="shared" si="3"/>
        <v>5.7081173611111851</v>
      </c>
      <c r="H60" s="4">
        <f t="shared" si="3"/>
        <v>82.249784027777665</v>
      </c>
    </row>
    <row r="61" spans="1:8" x14ac:dyDescent="0.25">
      <c r="A61" s="38">
        <v>58</v>
      </c>
      <c r="B61" s="55">
        <v>136.06</v>
      </c>
      <c r="C61" s="53">
        <f t="shared" si="4"/>
        <v>117.26</v>
      </c>
      <c r="D61" s="53">
        <f t="shared" si="0"/>
        <v>4.1991666666666845</v>
      </c>
      <c r="E61" s="53">
        <f t="shared" si="1"/>
        <v>8.7191666666666663</v>
      </c>
      <c r="F61" s="4">
        <f t="shared" si="2"/>
        <v>36.613234027777935</v>
      </c>
      <c r="G61" s="4">
        <f t="shared" si="3"/>
        <v>17.633000694444593</v>
      </c>
      <c r="H61" s="4">
        <f t="shared" si="3"/>
        <v>76.023867361111101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1302.49</v>
      </c>
      <c r="D62" s="49">
        <f t="shared" si="5"/>
        <v>1.9895196601282805E-13</v>
      </c>
      <c r="E62" s="49">
        <f t="shared" si="5"/>
        <v>-9.9475983006414026E-14</v>
      </c>
      <c r="F62" s="49">
        <f t="shared" si="5"/>
        <v>54.989591666666904</v>
      </c>
      <c r="G62" s="49">
        <f t="shared" si="5"/>
        <v>60.004091666666667</v>
      </c>
      <c r="H62" s="49">
        <f t="shared" si="5"/>
        <v>505.59869166666692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108.54083333333334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482</v>
      </c>
      <c r="B65" s="49">
        <f>SUM(B50:B61)/12</f>
        <v>131.86083333333332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483</v>
      </c>
      <c r="B66" s="38">
        <f>SUM(C50:C61)/12</f>
        <v>108.54083333333334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484</v>
      </c>
      <c r="B68" s="38">
        <f>F62/SQRT(G62*H62)</f>
        <v>0.31570909341951309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5" workbookViewId="0">
      <selection activeCell="C71" sqref="C71"/>
    </sheetView>
  </sheetViews>
  <sheetFormatPr defaultRowHeight="15" x14ac:dyDescent="0.25"/>
  <cols>
    <col min="6" max="6" width="18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485</v>
      </c>
      <c r="D3" s="45" t="s">
        <v>486</v>
      </c>
      <c r="E3" s="45" t="s">
        <v>487</v>
      </c>
      <c r="F3" s="46" t="s">
        <v>488</v>
      </c>
      <c r="G3" s="45" t="s">
        <v>489</v>
      </c>
      <c r="H3" s="45" t="s">
        <v>490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</row>
    <row r="50" spans="1:8" x14ac:dyDescent="0.25">
      <c r="A50" s="38">
        <v>47</v>
      </c>
      <c r="B50" s="55">
        <v>134.27000000000001</v>
      </c>
      <c r="C50" s="4" t="s">
        <v>75</v>
      </c>
      <c r="D50" s="4" t="s">
        <v>75</v>
      </c>
      <c r="E50" s="4" t="s">
        <v>75</v>
      </c>
      <c r="F50" s="4" t="s">
        <v>75</v>
      </c>
      <c r="G50" s="4" t="s">
        <v>75</v>
      </c>
      <c r="H50" s="4" t="s">
        <v>75</v>
      </c>
    </row>
    <row r="51" spans="1:8" x14ac:dyDescent="0.25">
      <c r="A51" s="38">
        <v>48</v>
      </c>
      <c r="B51" s="55">
        <v>133.72999999999999</v>
      </c>
      <c r="C51" s="53">
        <f>B4</f>
        <v>102.32</v>
      </c>
      <c r="D51" s="53">
        <f t="shared" ref="D51:D61" si="0">B51-$B$65</f>
        <v>2.0881818181818232</v>
      </c>
      <c r="E51" s="53">
        <f t="shared" ref="E51:E61" si="1">C51-$B$66</f>
        <v>-5.4281818181818267</v>
      </c>
      <c r="F51" s="4">
        <f t="shared" ref="F51:F61" si="2">D51*E51</f>
        <v>-11.335030578512441</v>
      </c>
      <c r="G51" s="4">
        <f t="shared" ref="G51:H61" si="3">D51*D51</f>
        <v>4.3605033057851452</v>
      </c>
      <c r="H51" s="4">
        <f t="shared" si="3"/>
        <v>29.465157851239763</v>
      </c>
    </row>
    <row r="52" spans="1:8" x14ac:dyDescent="0.25">
      <c r="A52" s="38">
        <v>49</v>
      </c>
      <c r="B52" s="55">
        <v>132.01</v>
      </c>
      <c r="C52" s="53">
        <f t="shared" ref="C52:C61" si="4">B5</f>
        <v>102.21</v>
      </c>
      <c r="D52" s="53">
        <f t="shared" si="0"/>
        <v>0.36818181818182438</v>
      </c>
      <c r="E52" s="53">
        <f t="shared" si="1"/>
        <v>-5.5381818181818261</v>
      </c>
      <c r="F52" s="4">
        <f t="shared" si="2"/>
        <v>-2.0390578512397068</v>
      </c>
      <c r="G52" s="4">
        <f t="shared" si="3"/>
        <v>0.13555785123967398</v>
      </c>
      <c r="H52" s="4">
        <f t="shared" si="3"/>
        <v>30.671457851239758</v>
      </c>
    </row>
    <row r="53" spans="1:8" x14ac:dyDescent="0.25">
      <c r="A53" s="38">
        <v>50</v>
      </c>
      <c r="B53" s="55">
        <v>130.59</v>
      </c>
      <c r="C53" s="53">
        <f t="shared" si="4"/>
        <v>102.16</v>
      </c>
      <c r="D53" s="53">
        <f t="shared" si="0"/>
        <v>-1.0518181818181631</v>
      </c>
      <c r="E53" s="53">
        <f t="shared" si="1"/>
        <v>-5.5881818181818232</v>
      </c>
      <c r="F53" s="4">
        <f t="shared" si="2"/>
        <v>5.8777512396693226</v>
      </c>
      <c r="G53" s="4">
        <f t="shared" si="3"/>
        <v>1.1063214876032665</v>
      </c>
      <c r="H53" s="4">
        <f t="shared" si="3"/>
        <v>31.227776033057907</v>
      </c>
    </row>
    <row r="54" spans="1:8" x14ac:dyDescent="0.25">
      <c r="A54" s="38">
        <v>51</v>
      </c>
      <c r="B54" s="55">
        <v>130.28</v>
      </c>
      <c r="C54" s="53">
        <f t="shared" si="4"/>
        <v>102.06</v>
      </c>
      <c r="D54" s="53">
        <f t="shared" si="0"/>
        <v>-1.3618181818181654</v>
      </c>
      <c r="E54" s="53">
        <f t="shared" si="1"/>
        <v>-5.6881818181818176</v>
      </c>
      <c r="F54" s="4">
        <f t="shared" si="2"/>
        <v>7.7462694214875087</v>
      </c>
      <c r="G54" s="4">
        <f t="shared" si="3"/>
        <v>1.8545487603305337</v>
      </c>
      <c r="H54" s="4">
        <f t="shared" si="3"/>
        <v>32.355412396694206</v>
      </c>
    </row>
    <row r="55" spans="1:8" x14ac:dyDescent="0.25">
      <c r="A55" s="38">
        <v>52</v>
      </c>
      <c r="B55" s="55">
        <v>129.16</v>
      </c>
      <c r="C55" s="53">
        <f t="shared" si="4"/>
        <v>102.55</v>
      </c>
      <c r="D55" s="53">
        <f t="shared" si="0"/>
        <v>-2.4818181818181699</v>
      </c>
      <c r="E55" s="53">
        <f t="shared" si="1"/>
        <v>-5.1981818181818227</v>
      </c>
      <c r="F55" s="4">
        <f t="shared" si="2"/>
        <v>12.900942148760279</v>
      </c>
      <c r="G55" s="4">
        <f t="shared" si="3"/>
        <v>6.1594214876032467</v>
      </c>
      <c r="H55" s="4">
        <f t="shared" si="3"/>
        <v>27.021094214876079</v>
      </c>
    </row>
    <row r="56" spans="1:8" x14ac:dyDescent="0.25">
      <c r="A56" s="38">
        <v>53</v>
      </c>
      <c r="B56" s="55">
        <v>128.94</v>
      </c>
      <c r="C56" s="53">
        <f t="shared" si="4"/>
        <v>104.35</v>
      </c>
      <c r="D56" s="53">
        <f t="shared" si="0"/>
        <v>-2.7018181818181688</v>
      </c>
      <c r="E56" s="53">
        <f t="shared" si="1"/>
        <v>-3.3981818181818255</v>
      </c>
      <c r="F56" s="4">
        <f t="shared" si="2"/>
        <v>9.1812694214875794</v>
      </c>
      <c r="G56" s="4">
        <f t="shared" si="3"/>
        <v>7.2998214876032357</v>
      </c>
      <c r="H56" s="4">
        <f t="shared" si="3"/>
        <v>11.547639669421537</v>
      </c>
    </row>
    <row r="57" spans="1:8" x14ac:dyDescent="0.25">
      <c r="A57" s="38">
        <v>54</v>
      </c>
      <c r="B57" s="55">
        <v>129.30000000000001</v>
      </c>
      <c r="C57" s="53">
        <f t="shared" si="4"/>
        <v>107.57</v>
      </c>
      <c r="D57" s="53">
        <f t="shared" si="0"/>
        <v>-2.3418181818181552</v>
      </c>
      <c r="E57" s="53">
        <f t="shared" si="1"/>
        <v>-0.17818181818182666</v>
      </c>
      <c r="F57" s="4">
        <f t="shared" si="2"/>
        <v>0.41726942148761842</v>
      </c>
      <c r="G57" s="4">
        <f t="shared" si="3"/>
        <v>5.4841123966940897</v>
      </c>
      <c r="H57" s="4">
        <f t="shared" si="3"/>
        <v>3.1748760330581535E-2</v>
      </c>
    </row>
    <row r="58" spans="1:8" x14ac:dyDescent="0.25">
      <c r="A58" s="38">
        <v>55</v>
      </c>
      <c r="B58" s="55">
        <v>131.22</v>
      </c>
      <c r="C58" s="53">
        <f t="shared" si="4"/>
        <v>111.96</v>
      </c>
      <c r="D58" s="53">
        <f t="shared" si="0"/>
        <v>-0.42181818181816766</v>
      </c>
      <c r="E58" s="53">
        <f t="shared" si="1"/>
        <v>4.2118181818181739</v>
      </c>
      <c r="F58" s="4">
        <f t="shared" si="2"/>
        <v>-1.7766214876032429</v>
      </c>
      <c r="G58" s="4">
        <f t="shared" si="3"/>
        <v>0.17793057851238475</v>
      </c>
      <c r="H58" s="4">
        <f t="shared" si="3"/>
        <v>17.739412396694149</v>
      </c>
    </row>
    <row r="59" spans="1:8" x14ac:dyDescent="0.25">
      <c r="A59" s="38">
        <v>56</v>
      </c>
      <c r="B59" s="55">
        <v>132.52000000000001</v>
      </c>
      <c r="C59" s="53">
        <f t="shared" si="4"/>
        <v>115.27</v>
      </c>
      <c r="D59" s="53">
        <f t="shared" si="0"/>
        <v>0.87818181818184371</v>
      </c>
      <c r="E59" s="53">
        <f t="shared" si="1"/>
        <v>7.5218181818181762</v>
      </c>
      <c r="F59" s="4">
        <f t="shared" si="2"/>
        <v>6.6055239669423358</v>
      </c>
      <c r="G59" s="4">
        <f t="shared" si="3"/>
        <v>0.77120330578516882</v>
      </c>
      <c r="H59" s="4">
        <f t="shared" si="3"/>
        <v>56.577748760330493</v>
      </c>
    </row>
    <row r="60" spans="1:8" x14ac:dyDescent="0.25">
      <c r="A60" s="38">
        <v>57</v>
      </c>
      <c r="B60" s="55">
        <v>134.25</v>
      </c>
      <c r="C60" s="53">
        <f t="shared" si="4"/>
        <v>117.17</v>
      </c>
      <c r="D60" s="53">
        <f t="shared" si="0"/>
        <v>2.6081818181818335</v>
      </c>
      <c r="E60" s="53">
        <f t="shared" si="1"/>
        <v>9.4218181818181819</v>
      </c>
      <c r="F60" s="4">
        <f t="shared" si="2"/>
        <v>24.573814876033204</v>
      </c>
      <c r="G60" s="4">
        <f t="shared" si="3"/>
        <v>6.8026123966942951</v>
      </c>
      <c r="H60" s="4">
        <f t="shared" si="3"/>
        <v>88.770657851239676</v>
      </c>
    </row>
    <row r="61" spans="1:8" x14ac:dyDescent="0.25">
      <c r="A61" s="38">
        <v>58</v>
      </c>
      <c r="B61" s="55">
        <v>136.06</v>
      </c>
      <c r="C61" s="53">
        <f t="shared" si="4"/>
        <v>117.61</v>
      </c>
      <c r="D61" s="53">
        <f t="shared" si="0"/>
        <v>4.4181818181818358</v>
      </c>
      <c r="E61" s="53">
        <f t="shared" si="1"/>
        <v>9.8618181818181796</v>
      </c>
      <c r="F61" s="4">
        <f t="shared" si="2"/>
        <v>43.571305785124132</v>
      </c>
      <c r="G61" s="4">
        <f t="shared" si="3"/>
        <v>19.520330578512553</v>
      </c>
      <c r="H61" s="4">
        <f t="shared" si="3"/>
        <v>97.255457851239626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1185.23</v>
      </c>
      <c r="D62" s="49">
        <f t="shared" si="5"/>
        <v>1.7053025658242404E-13</v>
      </c>
      <c r="E62" s="49">
        <f t="shared" si="5"/>
        <v>-5.6843418860808015E-14</v>
      </c>
      <c r="F62" s="49">
        <f t="shared" si="5"/>
        <v>95.72343636363658</v>
      </c>
      <c r="G62" s="49">
        <f t="shared" si="5"/>
        <v>53.672363636363599</v>
      </c>
      <c r="H62" s="49">
        <f t="shared" si="5"/>
        <v>422.66356363636373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107.74818181818182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491</v>
      </c>
      <c r="B65" s="49">
        <f>SUM(B51:B61)/11</f>
        <v>131.64181818181817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492</v>
      </c>
      <c r="B66" s="38">
        <f>SUM(C51:C61)/11</f>
        <v>107.74818181818182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493</v>
      </c>
      <c r="B68" s="38">
        <f>F62/SQRT(G62*H62)</f>
        <v>0.63554384201308667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0" workbookViewId="0">
      <selection activeCell="B70" sqref="B70"/>
    </sheetView>
  </sheetViews>
  <sheetFormatPr defaultRowHeight="15" x14ac:dyDescent="0.25"/>
  <cols>
    <col min="6" max="6" width="18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494</v>
      </c>
      <c r="D3" s="45" t="s">
        <v>495</v>
      </c>
      <c r="E3" s="45" t="s">
        <v>496</v>
      </c>
      <c r="F3" s="46" t="s">
        <v>497</v>
      </c>
      <c r="G3" s="45" t="s">
        <v>498</v>
      </c>
      <c r="H3" s="45" t="s">
        <v>499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</row>
    <row r="50" spans="1:8" x14ac:dyDescent="0.25">
      <c r="A50" s="38">
        <v>47</v>
      </c>
      <c r="B50" s="55">
        <v>134.27000000000001</v>
      </c>
      <c r="C50" s="4" t="s">
        <v>75</v>
      </c>
      <c r="D50" s="4" t="s">
        <v>75</v>
      </c>
      <c r="E50" s="4" t="s">
        <v>75</v>
      </c>
      <c r="F50" s="4" t="s">
        <v>75</v>
      </c>
      <c r="G50" s="4" t="s">
        <v>75</v>
      </c>
      <c r="H50" s="4" t="s">
        <v>75</v>
      </c>
    </row>
    <row r="51" spans="1:8" x14ac:dyDescent="0.25">
      <c r="A51" s="38">
        <v>48</v>
      </c>
      <c r="B51" s="55">
        <v>133.72999999999999</v>
      </c>
      <c r="C51" s="4" t="s">
        <v>75</v>
      </c>
      <c r="D51" s="4" t="s">
        <v>75</v>
      </c>
      <c r="E51" s="4" t="s">
        <v>75</v>
      </c>
      <c r="F51" s="4" t="s">
        <v>75</v>
      </c>
      <c r="G51" s="4" t="s">
        <v>75</v>
      </c>
      <c r="H51" s="4" t="s">
        <v>75</v>
      </c>
    </row>
    <row r="52" spans="1:8" x14ac:dyDescent="0.25">
      <c r="A52" s="38">
        <v>49</v>
      </c>
      <c r="B52" s="55">
        <v>132.01</v>
      </c>
      <c r="C52" s="53">
        <f>B4</f>
        <v>102.32</v>
      </c>
      <c r="D52" s="53">
        <f t="shared" ref="D52:D61" si="0">B52-$B$65</f>
        <v>0.57699999999999818</v>
      </c>
      <c r="E52" s="53">
        <f t="shared" ref="E52:E61" si="1">C52-$B$66</f>
        <v>-4.4420000000000215</v>
      </c>
      <c r="F52" s="4">
        <f t="shared" ref="F52:F61" si="2">D52*E52</f>
        <v>-2.5630340000000045</v>
      </c>
      <c r="G52" s="4">
        <f t="shared" ref="G52:H61" si="3">D52*D52</f>
        <v>0.33292899999999792</v>
      </c>
      <c r="H52" s="4">
        <f t="shared" si="3"/>
        <v>19.731364000000191</v>
      </c>
    </row>
    <row r="53" spans="1:8" x14ac:dyDescent="0.25">
      <c r="A53" s="38">
        <v>50</v>
      </c>
      <c r="B53" s="55">
        <v>130.59</v>
      </c>
      <c r="C53" s="53">
        <f t="shared" ref="C53:C61" si="4">B5</f>
        <v>102.21</v>
      </c>
      <c r="D53" s="53">
        <f t="shared" si="0"/>
        <v>-0.84299999999998931</v>
      </c>
      <c r="E53" s="53">
        <f t="shared" si="1"/>
        <v>-4.5520000000000209</v>
      </c>
      <c r="F53" s="4">
        <f t="shared" si="2"/>
        <v>3.837335999999969</v>
      </c>
      <c r="G53" s="4">
        <f t="shared" si="3"/>
        <v>0.71064899999998199</v>
      </c>
      <c r="H53" s="4">
        <f t="shared" si="3"/>
        <v>20.72070400000019</v>
      </c>
    </row>
    <row r="54" spans="1:8" x14ac:dyDescent="0.25">
      <c r="A54" s="38">
        <v>51</v>
      </c>
      <c r="B54" s="55">
        <v>130.28</v>
      </c>
      <c r="C54" s="53">
        <f t="shared" si="4"/>
        <v>102.16</v>
      </c>
      <c r="D54" s="53">
        <f t="shared" si="0"/>
        <v>-1.1529999999999916</v>
      </c>
      <c r="E54" s="53">
        <f t="shared" si="1"/>
        <v>-4.6020000000000181</v>
      </c>
      <c r="F54" s="4">
        <f t="shared" si="2"/>
        <v>5.306105999999982</v>
      </c>
      <c r="G54" s="4">
        <f t="shared" si="3"/>
        <v>1.3294089999999805</v>
      </c>
      <c r="H54" s="4">
        <f t="shared" si="3"/>
        <v>21.178404000000167</v>
      </c>
    </row>
    <row r="55" spans="1:8" x14ac:dyDescent="0.25">
      <c r="A55" s="38">
        <v>52</v>
      </c>
      <c r="B55" s="55">
        <v>129.16</v>
      </c>
      <c r="C55" s="53">
        <f t="shared" si="4"/>
        <v>102.06</v>
      </c>
      <c r="D55" s="53">
        <f t="shared" si="0"/>
        <v>-2.2729999999999961</v>
      </c>
      <c r="E55" s="53">
        <f t="shared" si="1"/>
        <v>-4.7020000000000124</v>
      </c>
      <c r="F55" s="4">
        <f t="shared" si="2"/>
        <v>10.68764600000001</v>
      </c>
      <c r="G55" s="4">
        <f t="shared" si="3"/>
        <v>5.1665289999999828</v>
      </c>
      <c r="H55" s="4">
        <f t="shared" si="3"/>
        <v>22.108804000000116</v>
      </c>
    </row>
    <row r="56" spans="1:8" x14ac:dyDescent="0.25">
      <c r="A56" s="38">
        <v>53</v>
      </c>
      <c r="B56" s="55">
        <v>128.94</v>
      </c>
      <c r="C56" s="53">
        <f t="shared" si="4"/>
        <v>102.55</v>
      </c>
      <c r="D56" s="53">
        <f t="shared" si="0"/>
        <v>-2.492999999999995</v>
      </c>
      <c r="E56" s="53">
        <f t="shared" si="1"/>
        <v>-4.2120000000000175</v>
      </c>
      <c r="F56" s="4">
        <f t="shared" si="2"/>
        <v>10.500516000000022</v>
      </c>
      <c r="G56" s="4">
        <f t="shared" si="3"/>
        <v>6.2150489999999747</v>
      </c>
      <c r="H56" s="4">
        <f t="shared" si="3"/>
        <v>17.740944000000148</v>
      </c>
    </row>
    <row r="57" spans="1:8" x14ac:dyDescent="0.25">
      <c r="A57" s="38">
        <v>54</v>
      </c>
      <c r="B57" s="55">
        <v>129.30000000000001</v>
      </c>
      <c r="C57" s="53">
        <f t="shared" si="4"/>
        <v>104.35</v>
      </c>
      <c r="D57" s="53">
        <f t="shared" si="0"/>
        <v>-2.1329999999999814</v>
      </c>
      <c r="E57" s="53">
        <f t="shared" si="1"/>
        <v>-2.4120000000000203</v>
      </c>
      <c r="F57" s="4">
        <f t="shared" si="2"/>
        <v>5.1447959999999986</v>
      </c>
      <c r="G57" s="4">
        <f t="shared" si="3"/>
        <v>4.5496889999999208</v>
      </c>
      <c r="H57" s="4">
        <f t="shared" si="3"/>
        <v>5.8177440000000979</v>
      </c>
    </row>
    <row r="58" spans="1:8" x14ac:dyDescent="0.25">
      <c r="A58" s="38">
        <v>55</v>
      </c>
      <c r="B58" s="55">
        <v>131.22</v>
      </c>
      <c r="C58" s="53">
        <f t="shared" si="4"/>
        <v>107.57</v>
      </c>
      <c r="D58" s="53">
        <f t="shared" si="0"/>
        <v>-0.21299999999999386</v>
      </c>
      <c r="E58" s="53">
        <f t="shared" si="1"/>
        <v>0.80799999999997851</v>
      </c>
      <c r="F58" s="4">
        <f t="shared" si="2"/>
        <v>-0.17210399999999046</v>
      </c>
      <c r="G58" s="4">
        <f t="shared" si="3"/>
        <v>4.5368999999997384E-2</v>
      </c>
      <c r="H58" s="4">
        <f t="shared" si="3"/>
        <v>0.65286399999996525</v>
      </c>
    </row>
    <row r="59" spans="1:8" x14ac:dyDescent="0.25">
      <c r="A59" s="38">
        <v>56</v>
      </c>
      <c r="B59" s="55">
        <v>132.52000000000001</v>
      </c>
      <c r="C59" s="53">
        <f t="shared" si="4"/>
        <v>111.96</v>
      </c>
      <c r="D59" s="53">
        <f t="shared" si="0"/>
        <v>1.0870000000000175</v>
      </c>
      <c r="E59" s="53">
        <f t="shared" si="1"/>
        <v>5.1979999999999791</v>
      </c>
      <c r="F59" s="4">
        <f t="shared" si="2"/>
        <v>5.6502260000000684</v>
      </c>
      <c r="G59" s="4">
        <f t="shared" si="3"/>
        <v>1.1815690000000381</v>
      </c>
      <c r="H59" s="4">
        <f t="shared" si="3"/>
        <v>27.019203999999782</v>
      </c>
    </row>
    <row r="60" spans="1:8" x14ac:dyDescent="0.25">
      <c r="A60" s="38">
        <v>57</v>
      </c>
      <c r="B60" s="55">
        <v>134.25</v>
      </c>
      <c r="C60" s="53">
        <f t="shared" si="4"/>
        <v>115.27</v>
      </c>
      <c r="D60" s="53">
        <f t="shared" si="0"/>
        <v>2.8170000000000073</v>
      </c>
      <c r="E60" s="53">
        <f t="shared" si="1"/>
        <v>8.5079999999999814</v>
      </c>
      <c r="F60" s="4">
        <f t="shared" si="2"/>
        <v>23.967036000000011</v>
      </c>
      <c r="G60" s="4">
        <f t="shared" si="3"/>
        <v>7.9354890000000413</v>
      </c>
      <c r="H60" s="4">
        <f t="shared" si="3"/>
        <v>72.386063999999678</v>
      </c>
    </row>
    <row r="61" spans="1:8" x14ac:dyDescent="0.25">
      <c r="A61" s="38">
        <v>58</v>
      </c>
      <c r="B61" s="55">
        <v>136.06</v>
      </c>
      <c r="C61" s="53">
        <f t="shared" si="4"/>
        <v>117.17</v>
      </c>
      <c r="D61" s="53">
        <f t="shared" si="0"/>
        <v>4.6270000000000095</v>
      </c>
      <c r="E61" s="53">
        <f t="shared" si="1"/>
        <v>10.407999999999987</v>
      </c>
      <c r="F61" s="4">
        <f t="shared" si="2"/>
        <v>48.157816000000039</v>
      </c>
      <c r="G61" s="4">
        <f t="shared" si="3"/>
        <v>21.409129000000089</v>
      </c>
      <c r="H61" s="4">
        <f t="shared" si="3"/>
        <v>108.32646399999973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1067.6200000000001</v>
      </c>
      <c r="D62" s="49">
        <f t="shared" si="5"/>
        <v>8.5265128291212022E-14</v>
      </c>
      <c r="E62" s="49">
        <f t="shared" si="5"/>
        <v>-1.8474111129762605E-13</v>
      </c>
      <c r="F62" s="49">
        <f t="shared" si="5"/>
        <v>110.5163400000001</v>
      </c>
      <c r="G62" s="49">
        <f t="shared" si="5"/>
        <v>48.875810000000001</v>
      </c>
      <c r="H62" s="49">
        <f t="shared" si="5"/>
        <v>315.68256000000008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106.76200000000001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500</v>
      </c>
      <c r="B65" s="49">
        <f>SUM(B52:B61)/10</f>
        <v>131.43299999999999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501</v>
      </c>
      <c r="B66" s="38">
        <f>SUM(C52:C61)/10</f>
        <v>106.76200000000001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502</v>
      </c>
      <c r="B68" s="38">
        <f>F62/SQRT(G62*H62)</f>
        <v>0.88972176559468608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49" workbookViewId="0">
      <selection activeCell="F64" sqref="F64"/>
    </sheetView>
  </sheetViews>
  <sheetFormatPr defaultRowHeight="15" x14ac:dyDescent="0.25"/>
  <cols>
    <col min="6" max="6" width="18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503</v>
      </c>
      <c r="D3" s="45" t="s">
        <v>512</v>
      </c>
      <c r="E3" s="45" t="s">
        <v>504</v>
      </c>
      <c r="F3" s="46" t="s">
        <v>505</v>
      </c>
      <c r="G3" s="45" t="s">
        <v>506</v>
      </c>
      <c r="H3" s="45" t="s">
        <v>507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</row>
    <row r="50" spans="1:8" x14ac:dyDescent="0.25">
      <c r="A50" s="38">
        <v>47</v>
      </c>
      <c r="B50" s="55">
        <v>134.27000000000001</v>
      </c>
      <c r="C50" s="4" t="s">
        <v>75</v>
      </c>
      <c r="D50" s="4" t="s">
        <v>75</v>
      </c>
      <c r="E50" s="4" t="s">
        <v>75</v>
      </c>
      <c r="F50" s="4" t="s">
        <v>75</v>
      </c>
      <c r="G50" s="4" t="s">
        <v>75</v>
      </c>
      <c r="H50" s="4" t="s">
        <v>75</v>
      </c>
    </row>
    <row r="51" spans="1:8" x14ac:dyDescent="0.25">
      <c r="A51" s="38">
        <v>48</v>
      </c>
      <c r="B51" s="55">
        <v>133.72999999999999</v>
      </c>
      <c r="C51" s="4" t="s">
        <v>75</v>
      </c>
      <c r="D51" s="4" t="s">
        <v>75</v>
      </c>
      <c r="E51" s="4" t="s">
        <v>75</v>
      </c>
      <c r="F51" s="4" t="s">
        <v>75</v>
      </c>
      <c r="G51" s="4" t="s">
        <v>75</v>
      </c>
      <c r="H51" s="4" t="s">
        <v>75</v>
      </c>
    </row>
    <row r="52" spans="1:8" x14ac:dyDescent="0.25">
      <c r="A52" s="38">
        <v>49</v>
      </c>
      <c r="B52" s="55">
        <v>132.01</v>
      </c>
      <c r="C52" s="4" t="s">
        <v>75</v>
      </c>
      <c r="D52" s="4" t="s">
        <v>75</v>
      </c>
      <c r="E52" s="4" t="s">
        <v>75</v>
      </c>
      <c r="F52" s="4" t="s">
        <v>75</v>
      </c>
      <c r="G52" s="4" t="s">
        <v>75</v>
      </c>
      <c r="H52" s="4" t="s">
        <v>75</v>
      </c>
    </row>
    <row r="53" spans="1:8" x14ac:dyDescent="0.25">
      <c r="A53" s="38">
        <v>50</v>
      </c>
      <c r="B53" s="55">
        <v>130.59</v>
      </c>
      <c r="C53" s="53">
        <f>B4</f>
        <v>102.32</v>
      </c>
      <c r="D53" s="53">
        <f t="shared" ref="D53:D61" si="0">B53-$B$65</f>
        <v>-0.77888888888887209</v>
      </c>
      <c r="E53" s="53">
        <f t="shared" ref="E53:E61" si="1">C53-$B$66</f>
        <v>-3.2855555555555611</v>
      </c>
      <c r="F53" s="4">
        <f t="shared" ref="F53:F61" si="2">D53*E53</f>
        <v>2.5590827160493319</v>
      </c>
      <c r="G53" s="4">
        <f t="shared" ref="G53:H61" si="3">D53*D53</f>
        <v>0.60666790123454173</v>
      </c>
      <c r="H53" s="4">
        <f t="shared" si="3"/>
        <v>10.794875308642013</v>
      </c>
    </row>
    <row r="54" spans="1:8" x14ac:dyDescent="0.25">
      <c r="A54" s="38">
        <v>51</v>
      </c>
      <c r="B54" s="55">
        <v>130.28</v>
      </c>
      <c r="C54" s="53">
        <f t="shared" ref="C54:C61" si="4">B5</f>
        <v>102.21</v>
      </c>
      <c r="D54" s="53">
        <f t="shared" si="0"/>
        <v>-1.0888888888888744</v>
      </c>
      <c r="E54" s="53">
        <f t="shared" si="1"/>
        <v>-3.3955555555555605</v>
      </c>
      <c r="F54" s="4">
        <f t="shared" si="2"/>
        <v>3.6973827160493387</v>
      </c>
      <c r="G54" s="4">
        <f t="shared" si="3"/>
        <v>1.1856790123456473</v>
      </c>
      <c r="H54" s="4">
        <f t="shared" si="3"/>
        <v>11.529797530864231</v>
      </c>
    </row>
    <row r="55" spans="1:8" x14ac:dyDescent="0.25">
      <c r="A55" s="38">
        <v>52</v>
      </c>
      <c r="B55" s="55">
        <v>129.16</v>
      </c>
      <c r="C55" s="53">
        <f t="shared" si="4"/>
        <v>102.16</v>
      </c>
      <c r="D55" s="53">
        <f t="shared" si="0"/>
        <v>-2.2088888888888789</v>
      </c>
      <c r="E55" s="53">
        <f t="shared" si="1"/>
        <v>-3.4455555555555577</v>
      </c>
      <c r="F55" s="4">
        <f t="shared" si="2"/>
        <v>7.6108493827160197</v>
      </c>
      <c r="G55" s="4">
        <f t="shared" si="3"/>
        <v>4.8791901234567456</v>
      </c>
      <c r="H55" s="4">
        <f t="shared" si="3"/>
        <v>11.871853086419767</v>
      </c>
    </row>
    <row r="56" spans="1:8" x14ac:dyDescent="0.25">
      <c r="A56" s="38">
        <v>53</v>
      </c>
      <c r="B56" s="55">
        <v>128.94</v>
      </c>
      <c r="C56" s="53">
        <f t="shared" si="4"/>
        <v>102.06</v>
      </c>
      <c r="D56" s="53">
        <f t="shared" si="0"/>
        <v>-2.4288888888888778</v>
      </c>
      <c r="E56" s="53">
        <f t="shared" si="1"/>
        <v>-3.545555555555552</v>
      </c>
      <c r="F56" s="4">
        <f t="shared" si="2"/>
        <v>8.6117604938271128</v>
      </c>
      <c r="G56" s="4">
        <f t="shared" si="3"/>
        <v>5.8995012345678468</v>
      </c>
      <c r="H56" s="4">
        <f t="shared" si="3"/>
        <v>12.57096419753084</v>
      </c>
    </row>
    <row r="57" spans="1:8" x14ac:dyDescent="0.25">
      <c r="A57" s="38">
        <v>54</v>
      </c>
      <c r="B57" s="55">
        <v>129.30000000000001</v>
      </c>
      <c r="C57" s="53">
        <f t="shared" si="4"/>
        <v>102.55</v>
      </c>
      <c r="D57" s="53">
        <f t="shared" si="0"/>
        <v>-2.0688888888888641</v>
      </c>
      <c r="E57" s="53">
        <f t="shared" si="1"/>
        <v>-3.0555555555555571</v>
      </c>
      <c r="F57" s="4">
        <f t="shared" si="2"/>
        <v>6.3216049382715322</v>
      </c>
      <c r="G57" s="4">
        <f t="shared" si="3"/>
        <v>4.2803012345677987</v>
      </c>
      <c r="H57" s="4">
        <f t="shared" si="3"/>
        <v>9.3364197530864299</v>
      </c>
    </row>
    <row r="58" spans="1:8" x14ac:dyDescent="0.25">
      <c r="A58" s="38">
        <v>55</v>
      </c>
      <c r="B58" s="55">
        <v>131.22</v>
      </c>
      <c r="C58" s="53">
        <f t="shared" si="4"/>
        <v>104.35</v>
      </c>
      <c r="D58" s="53">
        <f t="shared" si="0"/>
        <v>-0.14888888888887664</v>
      </c>
      <c r="E58" s="53">
        <f t="shared" si="1"/>
        <v>-1.25555555555556</v>
      </c>
      <c r="F58" s="4">
        <f t="shared" si="2"/>
        <v>0.18693827160492354</v>
      </c>
      <c r="G58" s="4">
        <f t="shared" si="3"/>
        <v>2.2167901234564254E-2</v>
      </c>
      <c r="H58" s="4">
        <f t="shared" si="3"/>
        <v>1.5764197530864308</v>
      </c>
    </row>
    <row r="59" spans="1:8" x14ac:dyDescent="0.25">
      <c r="A59" s="38">
        <v>56</v>
      </c>
      <c r="B59" s="55">
        <v>132.52000000000001</v>
      </c>
      <c r="C59" s="53">
        <f t="shared" si="4"/>
        <v>107.57</v>
      </c>
      <c r="D59" s="53">
        <f t="shared" si="0"/>
        <v>1.1511111111111347</v>
      </c>
      <c r="E59" s="53">
        <f t="shared" si="1"/>
        <v>1.9644444444444389</v>
      </c>
      <c r="F59" s="4">
        <f t="shared" si="2"/>
        <v>2.2612938271605336</v>
      </c>
      <c r="G59" s="4">
        <f t="shared" si="3"/>
        <v>1.3250567901235111</v>
      </c>
      <c r="H59" s="4">
        <f t="shared" si="3"/>
        <v>3.85904197530862</v>
      </c>
    </row>
    <row r="60" spans="1:8" x14ac:dyDescent="0.25">
      <c r="A60" s="38">
        <v>57</v>
      </c>
      <c r="B60" s="55">
        <v>134.25</v>
      </c>
      <c r="C60" s="53">
        <f t="shared" si="4"/>
        <v>111.96</v>
      </c>
      <c r="D60" s="53">
        <f t="shared" si="0"/>
        <v>2.8811111111111245</v>
      </c>
      <c r="E60" s="53">
        <f t="shared" si="1"/>
        <v>6.3544444444444395</v>
      </c>
      <c r="F60" s="4">
        <f t="shared" si="2"/>
        <v>18.307860493827231</v>
      </c>
      <c r="G60" s="4">
        <f t="shared" si="3"/>
        <v>8.3008012345679791</v>
      </c>
      <c r="H60" s="4">
        <f t="shared" si="3"/>
        <v>40.378964197530799</v>
      </c>
    </row>
    <row r="61" spans="1:8" x14ac:dyDescent="0.25">
      <c r="A61" s="38">
        <v>58</v>
      </c>
      <c r="B61" s="55">
        <v>136.06</v>
      </c>
      <c r="C61" s="53">
        <f t="shared" si="4"/>
        <v>115.27</v>
      </c>
      <c r="D61" s="53">
        <f t="shared" si="0"/>
        <v>4.6911111111111268</v>
      </c>
      <c r="E61" s="53">
        <f t="shared" si="1"/>
        <v>9.6644444444444417</v>
      </c>
      <c r="F61" s="4">
        <f t="shared" si="2"/>
        <v>45.336982716049519</v>
      </c>
      <c r="G61" s="4">
        <f t="shared" si="3"/>
        <v>22.006523456790269</v>
      </c>
      <c r="H61" s="4">
        <f t="shared" si="3"/>
        <v>93.401486419753027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950.45</v>
      </c>
      <c r="D62" s="49">
        <f t="shared" si="5"/>
        <v>1.4210854715202004E-13</v>
      </c>
      <c r="E62" s="49">
        <f t="shared" si="5"/>
        <v>-2.8421709430404007E-14</v>
      </c>
      <c r="F62" s="49">
        <f t="shared" si="5"/>
        <v>94.893755555555543</v>
      </c>
      <c r="G62" s="49">
        <f t="shared" si="5"/>
        <v>48.505888888888904</v>
      </c>
      <c r="H62" s="49">
        <f t="shared" si="5"/>
        <v>195.31982222222217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105.60555555555555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508</v>
      </c>
      <c r="B65" s="49">
        <f>SUM(B53:B61)/9</f>
        <v>131.36888888888888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509</v>
      </c>
      <c r="B66" s="38">
        <f>SUM(C53:C61)/9</f>
        <v>105.60555555555555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510</v>
      </c>
      <c r="B68" s="38">
        <f>F62/SQRT(G62*H62)</f>
        <v>0.97491609627428688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D72" sqref="D72"/>
    </sheetView>
  </sheetViews>
  <sheetFormatPr defaultRowHeight="15" x14ac:dyDescent="0.25"/>
  <cols>
    <col min="6" max="6" width="18.285156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511</v>
      </c>
      <c r="D3" s="45" t="s">
        <v>513</v>
      </c>
      <c r="E3" s="45" t="s">
        <v>514</v>
      </c>
      <c r="F3" s="46" t="s">
        <v>515</v>
      </c>
      <c r="G3" s="45" t="s">
        <v>516</v>
      </c>
      <c r="H3" s="45" t="s">
        <v>517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</row>
    <row r="50" spans="1:8" x14ac:dyDescent="0.25">
      <c r="A50" s="38">
        <v>47</v>
      </c>
      <c r="B50" s="55">
        <v>134.27000000000001</v>
      </c>
      <c r="C50" s="4" t="s">
        <v>75</v>
      </c>
      <c r="D50" s="4" t="s">
        <v>75</v>
      </c>
      <c r="E50" s="4" t="s">
        <v>75</v>
      </c>
      <c r="F50" s="4" t="s">
        <v>75</v>
      </c>
      <c r="G50" s="4" t="s">
        <v>75</v>
      </c>
      <c r="H50" s="4" t="s">
        <v>75</v>
      </c>
    </row>
    <row r="51" spans="1:8" x14ac:dyDescent="0.25">
      <c r="A51" s="38">
        <v>48</v>
      </c>
      <c r="B51" s="55">
        <v>133.72999999999999</v>
      </c>
      <c r="C51" s="4" t="s">
        <v>75</v>
      </c>
      <c r="D51" s="4" t="s">
        <v>75</v>
      </c>
      <c r="E51" s="4" t="s">
        <v>75</v>
      </c>
      <c r="F51" s="4" t="s">
        <v>75</v>
      </c>
      <c r="G51" s="4" t="s">
        <v>75</v>
      </c>
      <c r="H51" s="4" t="s">
        <v>75</v>
      </c>
    </row>
    <row r="52" spans="1:8" x14ac:dyDescent="0.25">
      <c r="A52" s="38">
        <v>49</v>
      </c>
      <c r="B52" s="55">
        <v>132.01</v>
      </c>
      <c r="C52" s="4" t="s">
        <v>75</v>
      </c>
      <c r="D52" s="4" t="s">
        <v>75</v>
      </c>
      <c r="E52" s="4" t="s">
        <v>75</v>
      </c>
      <c r="F52" s="4" t="s">
        <v>75</v>
      </c>
      <c r="G52" s="4" t="s">
        <v>75</v>
      </c>
      <c r="H52" s="4" t="s">
        <v>75</v>
      </c>
    </row>
    <row r="53" spans="1:8" x14ac:dyDescent="0.25">
      <c r="A53" s="38">
        <v>50</v>
      </c>
      <c r="B53" s="55">
        <v>130.59</v>
      </c>
      <c r="C53" s="4" t="s">
        <v>75</v>
      </c>
      <c r="D53" s="4" t="s">
        <v>75</v>
      </c>
      <c r="E53" s="4" t="s">
        <v>75</v>
      </c>
      <c r="F53" s="4" t="s">
        <v>75</v>
      </c>
      <c r="G53" s="4" t="s">
        <v>75</v>
      </c>
      <c r="H53" s="4" t="s">
        <v>75</v>
      </c>
    </row>
    <row r="54" spans="1:8" x14ac:dyDescent="0.25">
      <c r="A54" s="38">
        <v>51</v>
      </c>
      <c r="B54" s="55">
        <v>130.28</v>
      </c>
      <c r="C54" s="53">
        <f>B4</f>
        <v>102.32</v>
      </c>
      <c r="D54" s="53">
        <f t="shared" ref="D54:D61" si="0">B54-$B$65</f>
        <v>-1.1862500000000011</v>
      </c>
      <c r="E54" s="53">
        <f t="shared" ref="E54:E61" si="1">C54-$B$66</f>
        <v>-2.0775000000000148</v>
      </c>
      <c r="F54" s="4">
        <f t="shared" ref="F54:F61" si="2">D54*E54</f>
        <v>2.4644343750000197</v>
      </c>
      <c r="G54" s="4">
        <f t="shared" ref="G54:H61" si="3">D54*D54</f>
        <v>1.4071890625000028</v>
      </c>
      <c r="H54" s="4">
        <f t="shared" si="3"/>
        <v>4.3160062500000613</v>
      </c>
    </row>
    <row r="55" spans="1:8" x14ac:dyDescent="0.25">
      <c r="A55" s="38">
        <v>52</v>
      </c>
      <c r="B55" s="55">
        <v>129.16</v>
      </c>
      <c r="C55" s="53">
        <f t="shared" ref="C55:C61" si="4">B5</f>
        <v>102.21</v>
      </c>
      <c r="D55" s="53">
        <f t="shared" si="0"/>
        <v>-2.3062500000000057</v>
      </c>
      <c r="E55" s="53">
        <f t="shared" si="1"/>
        <v>-2.1875000000000142</v>
      </c>
      <c r="F55" s="4">
        <f t="shared" si="2"/>
        <v>5.0449218750000453</v>
      </c>
      <c r="G55" s="4">
        <f t="shared" si="3"/>
        <v>5.3187890625000263</v>
      </c>
      <c r="H55" s="4">
        <f t="shared" si="3"/>
        <v>4.7851562500000622</v>
      </c>
    </row>
    <row r="56" spans="1:8" x14ac:dyDescent="0.25">
      <c r="A56" s="38">
        <v>53</v>
      </c>
      <c r="B56" s="55">
        <v>128.94</v>
      </c>
      <c r="C56" s="53">
        <f t="shared" si="4"/>
        <v>102.16</v>
      </c>
      <c r="D56" s="53">
        <f t="shared" si="0"/>
        <v>-2.5262500000000045</v>
      </c>
      <c r="E56" s="53">
        <f t="shared" si="1"/>
        <v>-2.2375000000000114</v>
      </c>
      <c r="F56" s="4">
        <f t="shared" si="2"/>
        <v>5.6524843750000393</v>
      </c>
      <c r="G56" s="4">
        <f t="shared" si="3"/>
        <v>6.381939062500023</v>
      </c>
      <c r="H56" s="4">
        <f t="shared" si="3"/>
        <v>5.006406250000051</v>
      </c>
    </row>
    <row r="57" spans="1:8" x14ac:dyDescent="0.25">
      <c r="A57" s="38">
        <v>54</v>
      </c>
      <c r="B57" s="55">
        <v>129.30000000000001</v>
      </c>
      <c r="C57" s="53">
        <f t="shared" si="4"/>
        <v>102.06</v>
      </c>
      <c r="D57" s="53">
        <f t="shared" si="0"/>
        <v>-2.1662499999999909</v>
      </c>
      <c r="E57" s="53">
        <f t="shared" si="1"/>
        <v>-2.3375000000000057</v>
      </c>
      <c r="F57" s="4">
        <f t="shared" si="2"/>
        <v>5.0636093749999906</v>
      </c>
      <c r="G57" s="4">
        <f t="shared" si="3"/>
        <v>4.6926390624999605</v>
      </c>
      <c r="H57" s="4">
        <f t="shared" si="3"/>
        <v>5.4639062500000266</v>
      </c>
    </row>
    <row r="58" spans="1:8" x14ac:dyDescent="0.25">
      <c r="A58" s="38">
        <v>55</v>
      </c>
      <c r="B58" s="55">
        <v>131.22</v>
      </c>
      <c r="C58" s="53">
        <f t="shared" si="4"/>
        <v>102.55</v>
      </c>
      <c r="D58" s="53">
        <f t="shared" si="0"/>
        <v>-0.24625000000000341</v>
      </c>
      <c r="E58" s="53">
        <f t="shared" si="1"/>
        <v>-1.8475000000000108</v>
      </c>
      <c r="F58" s="4">
        <f t="shared" si="2"/>
        <v>0.45494687500000897</v>
      </c>
      <c r="G58" s="4">
        <f t="shared" si="3"/>
        <v>6.0639062500001679E-2</v>
      </c>
      <c r="H58" s="4">
        <f t="shared" si="3"/>
        <v>3.4132562500000398</v>
      </c>
    </row>
    <row r="59" spans="1:8" x14ac:dyDescent="0.25">
      <c r="A59" s="38">
        <v>56</v>
      </c>
      <c r="B59" s="55">
        <v>132.52000000000001</v>
      </c>
      <c r="C59" s="53">
        <f t="shared" si="4"/>
        <v>104.35</v>
      </c>
      <c r="D59" s="53">
        <f t="shared" si="0"/>
        <v>1.053750000000008</v>
      </c>
      <c r="E59" s="53">
        <f t="shared" si="1"/>
        <v>-4.7500000000013642E-2</v>
      </c>
      <c r="F59" s="4">
        <f t="shared" si="2"/>
        <v>-5.0053125000014756E-2</v>
      </c>
      <c r="G59" s="4">
        <f t="shared" si="3"/>
        <v>1.1103890625000168</v>
      </c>
      <c r="H59" s="4">
        <f t="shared" si="3"/>
        <v>2.2562500000012958E-3</v>
      </c>
    </row>
    <row r="60" spans="1:8" x14ac:dyDescent="0.25">
      <c r="A60" s="38">
        <v>57</v>
      </c>
      <c r="B60" s="55">
        <v>134.25</v>
      </c>
      <c r="C60" s="53">
        <f t="shared" si="4"/>
        <v>107.57</v>
      </c>
      <c r="D60" s="53">
        <f t="shared" si="0"/>
        <v>2.7837499999999977</v>
      </c>
      <c r="E60" s="53">
        <f t="shared" si="1"/>
        <v>3.1724999999999852</v>
      </c>
      <c r="F60" s="4">
        <f t="shared" si="2"/>
        <v>8.8314468749999513</v>
      </c>
      <c r="G60" s="4">
        <f t="shared" si="3"/>
        <v>7.7492640624999876</v>
      </c>
      <c r="H60" s="4">
        <f t="shared" si="3"/>
        <v>10.064756249999906</v>
      </c>
    </row>
    <row r="61" spans="1:8" x14ac:dyDescent="0.25">
      <c r="A61" s="38">
        <v>58</v>
      </c>
      <c r="B61" s="55">
        <v>136.06</v>
      </c>
      <c r="C61" s="53">
        <f t="shared" si="4"/>
        <v>111.96</v>
      </c>
      <c r="D61" s="53">
        <f t="shared" si="0"/>
        <v>4.59375</v>
      </c>
      <c r="E61" s="53">
        <f t="shared" si="1"/>
        <v>7.5624999999999858</v>
      </c>
      <c r="F61" s="4">
        <f t="shared" si="2"/>
        <v>34.740234374999936</v>
      </c>
      <c r="G61" s="4">
        <f t="shared" si="3"/>
        <v>21.1025390625</v>
      </c>
      <c r="H61" s="4">
        <f t="shared" si="3"/>
        <v>57.191406249999787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835.18000000000006</v>
      </c>
      <c r="D62" s="49">
        <f t="shared" si="5"/>
        <v>0</v>
      </c>
      <c r="E62" s="49">
        <f t="shared" si="5"/>
        <v>-9.9475983006414026E-14</v>
      </c>
      <c r="F62" s="49">
        <f t="shared" si="5"/>
        <v>62.202024999999978</v>
      </c>
      <c r="G62" s="49">
        <f t="shared" si="5"/>
        <v>47.823387500000017</v>
      </c>
      <c r="H62" s="49">
        <f t="shared" si="5"/>
        <v>90.243149999999929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104.39750000000001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518</v>
      </c>
      <c r="B65" s="49">
        <f>SUM(B54:B61)/8</f>
        <v>131.46625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519</v>
      </c>
      <c r="B66" s="38">
        <f>SUM(C54:C61)/8</f>
        <v>104.39750000000001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520</v>
      </c>
      <c r="B68" s="38">
        <f>F62/SQRT(G62*H62)</f>
        <v>0.94684138625077685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5" workbookViewId="0">
      <selection activeCell="B71" sqref="B71"/>
    </sheetView>
  </sheetViews>
  <sheetFormatPr defaultRowHeight="15" x14ac:dyDescent="0.25"/>
  <cols>
    <col min="6" max="6" width="18.285156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521</v>
      </c>
      <c r="D3" s="45" t="s">
        <v>522</v>
      </c>
      <c r="E3" s="45" t="s">
        <v>523</v>
      </c>
      <c r="F3" s="46" t="s">
        <v>524</v>
      </c>
      <c r="G3" s="45" t="s">
        <v>525</v>
      </c>
      <c r="H3" s="45" t="s">
        <v>526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</row>
    <row r="50" spans="1:8" x14ac:dyDescent="0.25">
      <c r="A50" s="38">
        <v>47</v>
      </c>
      <c r="B50" s="55">
        <v>134.27000000000001</v>
      </c>
      <c r="C50" s="4" t="s">
        <v>75</v>
      </c>
      <c r="D50" s="4" t="s">
        <v>75</v>
      </c>
      <c r="E50" s="4" t="s">
        <v>75</v>
      </c>
      <c r="F50" s="4" t="s">
        <v>75</v>
      </c>
      <c r="G50" s="4" t="s">
        <v>75</v>
      </c>
      <c r="H50" s="4" t="s">
        <v>75</v>
      </c>
    </row>
    <row r="51" spans="1:8" x14ac:dyDescent="0.25">
      <c r="A51" s="38">
        <v>48</v>
      </c>
      <c r="B51" s="55">
        <v>133.72999999999999</v>
      </c>
      <c r="C51" s="4" t="s">
        <v>75</v>
      </c>
      <c r="D51" s="4" t="s">
        <v>75</v>
      </c>
      <c r="E51" s="4" t="s">
        <v>75</v>
      </c>
      <c r="F51" s="4" t="s">
        <v>75</v>
      </c>
      <c r="G51" s="4" t="s">
        <v>75</v>
      </c>
      <c r="H51" s="4" t="s">
        <v>75</v>
      </c>
    </row>
    <row r="52" spans="1:8" x14ac:dyDescent="0.25">
      <c r="A52" s="38">
        <v>49</v>
      </c>
      <c r="B52" s="55">
        <v>132.01</v>
      </c>
      <c r="C52" s="4" t="s">
        <v>75</v>
      </c>
      <c r="D52" s="4" t="s">
        <v>75</v>
      </c>
      <c r="E52" s="4" t="s">
        <v>75</v>
      </c>
      <c r="F52" s="4" t="s">
        <v>75</v>
      </c>
      <c r="G52" s="4" t="s">
        <v>75</v>
      </c>
      <c r="H52" s="4" t="s">
        <v>75</v>
      </c>
    </row>
    <row r="53" spans="1:8" x14ac:dyDescent="0.25">
      <c r="A53" s="38">
        <v>50</v>
      </c>
      <c r="B53" s="55">
        <v>130.59</v>
      </c>
      <c r="C53" s="4" t="s">
        <v>75</v>
      </c>
      <c r="D53" s="4" t="s">
        <v>75</v>
      </c>
      <c r="E53" s="4" t="s">
        <v>75</v>
      </c>
      <c r="F53" s="4" t="s">
        <v>75</v>
      </c>
      <c r="G53" s="4" t="s">
        <v>75</v>
      </c>
      <c r="H53" s="4" t="s">
        <v>75</v>
      </c>
    </row>
    <row r="54" spans="1:8" x14ac:dyDescent="0.25">
      <c r="A54" s="38">
        <v>51</v>
      </c>
      <c r="B54" s="55">
        <v>130.28</v>
      </c>
      <c r="C54" s="4" t="s">
        <v>75</v>
      </c>
      <c r="D54" s="4" t="s">
        <v>75</v>
      </c>
      <c r="E54" s="4" t="s">
        <v>75</v>
      </c>
      <c r="F54" s="4" t="s">
        <v>75</v>
      </c>
      <c r="G54" s="4" t="s">
        <v>75</v>
      </c>
      <c r="H54" s="4" t="s">
        <v>75</v>
      </c>
    </row>
    <row r="55" spans="1:8" x14ac:dyDescent="0.25">
      <c r="A55" s="38">
        <v>52</v>
      </c>
      <c r="B55" s="55">
        <v>129.16</v>
      </c>
      <c r="C55" s="53">
        <f>B4</f>
        <v>102.32</v>
      </c>
      <c r="D55" s="53">
        <f t="shared" ref="D55:D61" si="0">B55-$B$65</f>
        <v>-2.4757142857143037</v>
      </c>
      <c r="E55" s="53">
        <f t="shared" ref="E55:E61" si="1">C55-$B$66</f>
        <v>-0.99714285714286177</v>
      </c>
      <c r="F55" s="4">
        <f t="shared" ref="F55:F61" si="2">D55*E55</f>
        <v>2.4686408163265599</v>
      </c>
      <c r="G55" s="4">
        <f t="shared" ref="G55:H61" si="3">D55*D55</f>
        <v>6.1291612244898852</v>
      </c>
      <c r="H55" s="4">
        <f t="shared" si="3"/>
        <v>0.9942938775510296</v>
      </c>
    </row>
    <row r="56" spans="1:8" x14ac:dyDescent="0.25">
      <c r="A56" s="38">
        <v>53</v>
      </c>
      <c r="B56" s="55">
        <v>128.94</v>
      </c>
      <c r="C56" s="53">
        <f t="shared" ref="C56:C61" si="4">B5</f>
        <v>102.21</v>
      </c>
      <c r="D56" s="53">
        <f t="shared" si="0"/>
        <v>-2.6957142857143026</v>
      </c>
      <c r="E56" s="53">
        <f t="shared" si="1"/>
        <v>-1.1071428571428612</v>
      </c>
      <c r="F56" s="4">
        <f t="shared" si="2"/>
        <v>2.9845408163265601</v>
      </c>
      <c r="G56" s="4">
        <f t="shared" si="3"/>
        <v>7.2668755102041729</v>
      </c>
      <c r="H56" s="4">
        <f t="shared" si="3"/>
        <v>1.225765306122458</v>
      </c>
    </row>
    <row r="57" spans="1:8" x14ac:dyDescent="0.25">
      <c r="A57" s="38">
        <v>54</v>
      </c>
      <c r="B57" s="55">
        <v>129.30000000000001</v>
      </c>
      <c r="C57" s="53">
        <f t="shared" si="4"/>
        <v>102.16</v>
      </c>
      <c r="D57" s="53">
        <f t="shared" si="0"/>
        <v>-2.335714285714289</v>
      </c>
      <c r="E57" s="53">
        <f t="shared" si="1"/>
        <v>-1.1571428571428584</v>
      </c>
      <c r="F57" s="4">
        <f t="shared" si="2"/>
        <v>2.7027551020408231</v>
      </c>
      <c r="G57" s="4">
        <f t="shared" si="3"/>
        <v>5.4555612244898111</v>
      </c>
      <c r="H57" s="4">
        <f t="shared" si="3"/>
        <v>1.3389795918367375</v>
      </c>
    </row>
    <row r="58" spans="1:8" x14ac:dyDescent="0.25">
      <c r="A58" s="38">
        <v>55</v>
      </c>
      <c r="B58" s="55">
        <v>131.22</v>
      </c>
      <c r="C58" s="53">
        <f t="shared" si="4"/>
        <v>102.06</v>
      </c>
      <c r="D58" s="53">
        <f t="shared" si="0"/>
        <v>-0.41571428571430147</v>
      </c>
      <c r="E58" s="53">
        <f t="shared" si="1"/>
        <v>-1.2571428571428527</v>
      </c>
      <c r="F58" s="4">
        <f t="shared" si="2"/>
        <v>0.52261224489797709</v>
      </c>
      <c r="G58" s="4">
        <f t="shared" si="3"/>
        <v>0.17281836734695188</v>
      </c>
      <c r="H58" s="4">
        <f t="shared" si="3"/>
        <v>1.5804081632652949</v>
      </c>
    </row>
    <row r="59" spans="1:8" x14ac:dyDescent="0.25">
      <c r="A59" s="38">
        <v>56</v>
      </c>
      <c r="B59" s="55">
        <v>132.52000000000001</v>
      </c>
      <c r="C59" s="53">
        <f t="shared" si="4"/>
        <v>102.55</v>
      </c>
      <c r="D59" s="53">
        <f t="shared" si="0"/>
        <v>0.8842857142857099</v>
      </c>
      <c r="E59" s="53">
        <f t="shared" si="1"/>
        <v>-0.76714285714285779</v>
      </c>
      <c r="F59" s="4">
        <f t="shared" si="2"/>
        <v>-0.67837346938775234</v>
      </c>
      <c r="G59" s="4">
        <f t="shared" si="3"/>
        <v>0.78196122448978811</v>
      </c>
      <c r="H59" s="4">
        <f t="shared" si="3"/>
        <v>0.58850816326530708</v>
      </c>
    </row>
    <row r="60" spans="1:8" x14ac:dyDescent="0.25">
      <c r="A60" s="38">
        <v>57</v>
      </c>
      <c r="B60" s="55">
        <v>134.25</v>
      </c>
      <c r="C60" s="53">
        <f t="shared" si="4"/>
        <v>104.35</v>
      </c>
      <c r="D60" s="53">
        <f t="shared" si="0"/>
        <v>2.6142857142856997</v>
      </c>
      <c r="E60" s="53">
        <f t="shared" si="1"/>
        <v>1.0328571428571394</v>
      </c>
      <c r="F60" s="4">
        <f t="shared" si="2"/>
        <v>2.7001836734693634</v>
      </c>
      <c r="G60" s="4">
        <f t="shared" si="3"/>
        <v>6.8344897959182909</v>
      </c>
      <c r="H60" s="4">
        <f t="shared" si="3"/>
        <v>1.0667938775510133</v>
      </c>
    </row>
    <row r="61" spans="1:8" x14ac:dyDescent="0.25">
      <c r="A61" s="38">
        <v>58</v>
      </c>
      <c r="B61" s="55">
        <v>136.06</v>
      </c>
      <c r="C61" s="53">
        <f t="shared" si="4"/>
        <v>107.57</v>
      </c>
      <c r="D61" s="53">
        <f t="shared" si="0"/>
        <v>4.4242857142857019</v>
      </c>
      <c r="E61" s="53">
        <f t="shared" si="1"/>
        <v>4.2528571428571382</v>
      </c>
      <c r="F61" s="4">
        <f t="shared" si="2"/>
        <v>18.815855102040743</v>
      </c>
      <c r="G61" s="4">
        <f t="shared" si="3"/>
        <v>19.574304081632544</v>
      </c>
      <c r="H61" s="4">
        <f t="shared" si="3"/>
        <v>18.086793877550981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723.22</v>
      </c>
      <c r="D62" s="49">
        <f t="shared" si="5"/>
        <v>-8.5265128291212022E-14</v>
      </c>
      <c r="E62" s="49">
        <f t="shared" si="5"/>
        <v>-1.4210854715202004E-14</v>
      </c>
      <c r="F62" s="49">
        <f t="shared" si="5"/>
        <v>29.516214285714273</v>
      </c>
      <c r="G62" s="49">
        <f t="shared" si="5"/>
        <v>46.215171428571445</v>
      </c>
      <c r="H62" s="49">
        <f t="shared" si="5"/>
        <v>24.881542857142822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103.31714285714285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527</v>
      </c>
      <c r="B65" s="49">
        <f>SUM(B55:B61)/7</f>
        <v>131.6357142857143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528</v>
      </c>
      <c r="B66" s="38">
        <f>SUM(C55:C61)/7</f>
        <v>103.31714285714285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529</v>
      </c>
      <c r="B68" s="38">
        <f>F62/SQRT(G62*H62)</f>
        <v>0.87042171505282351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1" workbookViewId="0">
      <selection activeCell="C70" sqref="C70"/>
    </sheetView>
  </sheetViews>
  <sheetFormatPr defaultRowHeight="15" x14ac:dyDescent="0.25"/>
  <cols>
    <col min="6" max="6" width="17.710937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530</v>
      </c>
      <c r="D3" s="45" t="s">
        <v>531</v>
      </c>
      <c r="E3" s="45" t="s">
        <v>532</v>
      </c>
      <c r="F3" s="46" t="s">
        <v>533</v>
      </c>
      <c r="G3" s="45" t="s">
        <v>534</v>
      </c>
      <c r="H3" s="45" t="s">
        <v>535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</row>
    <row r="50" spans="1:8" x14ac:dyDescent="0.25">
      <c r="A50" s="38">
        <v>47</v>
      </c>
      <c r="B50" s="55">
        <v>134.27000000000001</v>
      </c>
      <c r="C50" s="4" t="s">
        <v>75</v>
      </c>
      <c r="D50" s="4" t="s">
        <v>75</v>
      </c>
      <c r="E50" s="4" t="s">
        <v>75</v>
      </c>
      <c r="F50" s="4" t="s">
        <v>75</v>
      </c>
      <c r="G50" s="4" t="s">
        <v>75</v>
      </c>
      <c r="H50" s="4" t="s">
        <v>75</v>
      </c>
    </row>
    <row r="51" spans="1:8" x14ac:dyDescent="0.25">
      <c r="A51" s="38">
        <v>48</v>
      </c>
      <c r="B51" s="55">
        <v>133.72999999999999</v>
      </c>
      <c r="C51" s="4" t="s">
        <v>75</v>
      </c>
      <c r="D51" s="4" t="s">
        <v>75</v>
      </c>
      <c r="E51" s="4" t="s">
        <v>75</v>
      </c>
      <c r="F51" s="4" t="s">
        <v>75</v>
      </c>
      <c r="G51" s="4" t="s">
        <v>75</v>
      </c>
      <c r="H51" s="4" t="s">
        <v>75</v>
      </c>
    </row>
    <row r="52" spans="1:8" x14ac:dyDescent="0.25">
      <c r="A52" s="38">
        <v>49</v>
      </c>
      <c r="B52" s="55">
        <v>132.01</v>
      </c>
      <c r="C52" s="4" t="s">
        <v>75</v>
      </c>
      <c r="D52" s="4" t="s">
        <v>75</v>
      </c>
      <c r="E52" s="4" t="s">
        <v>75</v>
      </c>
      <c r="F52" s="4" t="s">
        <v>75</v>
      </c>
      <c r="G52" s="4" t="s">
        <v>75</v>
      </c>
      <c r="H52" s="4" t="s">
        <v>75</v>
      </c>
    </row>
    <row r="53" spans="1:8" x14ac:dyDescent="0.25">
      <c r="A53" s="38">
        <v>50</v>
      </c>
      <c r="B53" s="55">
        <v>130.59</v>
      </c>
      <c r="C53" s="4" t="s">
        <v>75</v>
      </c>
      <c r="D53" s="4" t="s">
        <v>75</v>
      </c>
      <c r="E53" s="4" t="s">
        <v>75</v>
      </c>
      <c r="F53" s="4" t="s">
        <v>75</v>
      </c>
      <c r="G53" s="4" t="s">
        <v>75</v>
      </c>
      <c r="H53" s="4" t="s">
        <v>75</v>
      </c>
    </row>
    <row r="54" spans="1:8" x14ac:dyDescent="0.25">
      <c r="A54" s="38">
        <v>51</v>
      </c>
      <c r="B54" s="55">
        <v>130.28</v>
      </c>
      <c r="C54" s="4" t="s">
        <v>75</v>
      </c>
      <c r="D54" s="4" t="s">
        <v>75</v>
      </c>
      <c r="E54" s="4" t="s">
        <v>75</v>
      </c>
      <c r="F54" s="4" t="s">
        <v>75</v>
      </c>
      <c r="G54" s="4" t="s">
        <v>75</v>
      </c>
      <c r="H54" s="4" t="s">
        <v>75</v>
      </c>
    </row>
    <row r="55" spans="1:8" x14ac:dyDescent="0.25">
      <c r="A55" s="38">
        <v>52</v>
      </c>
      <c r="B55" s="55">
        <v>129.16</v>
      </c>
      <c r="C55" s="4" t="s">
        <v>75</v>
      </c>
      <c r="D55" s="4" t="s">
        <v>75</v>
      </c>
      <c r="E55" s="4" t="s">
        <v>75</v>
      </c>
      <c r="F55" s="4" t="s">
        <v>75</v>
      </c>
      <c r="G55" s="4" t="s">
        <v>75</v>
      </c>
      <c r="H55" s="4" t="s">
        <v>75</v>
      </c>
    </row>
    <row r="56" spans="1:8" x14ac:dyDescent="0.25">
      <c r="A56" s="38">
        <v>53</v>
      </c>
      <c r="B56" s="55">
        <v>128.94</v>
      </c>
      <c r="C56" s="53">
        <f t="shared" ref="C56:C61" si="0">B5</f>
        <v>102.21</v>
      </c>
      <c r="D56" s="53">
        <f t="shared" ref="D56:D61" si="1">B56-$B$65</f>
        <v>-3.1083333333333201</v>
      </c>
      <c r="E56" s="53">
        <f t="shared" ref="E56:E61" si="2">C56-$B$66</f>
        <v>-1.2733333333333547</v>
      </c>
      <c r="F56" s="4">
        <f t="shared" ref="F56:F61" si="3">D56*E56</f>
        <v>3.957944444444494</v>
      </c>
      <c r="G56" s="4">
        <f t="shared" ref="G56:H61" si="4">D56*D56</f>
        <v>9.6617361111110291</v>
      </c>
      <c r="H56" s="4">
        <f t="shared" si="4"/>
        <v>1.6213777777778322</v>
      </c>
    </row>
    <row r="57" spans="1:8" x14ac:dyDescent="0.25">
      <c r="A57" s="38">
        <v>54</v>
      </c>
      <c r="B57" s="55">
        <v>129.30000000000001</v>
      </c>
      <c r="C57" s="53">
        <f t="shared" si="0"/>
        <v>102.16</v>
      </c>
      <c r="D57" s="53">
        <f t="shared" si="1"/>
        <v>-2.7483333333333064</v>
      </c>
      <c r="E57" s="53">
        <f t="shared" si="2"/>
        <v>-1.3233333333333519</v>
      </c>
      <c r="F57" s="4">
        <f t="shared" si="3"/>
        <v>3.6369611111111264</v>
      </c>
      <c r="G57" s="4">
        <f t="shared" si="4"/>
        <v>7.5533361111109629</v>
      </c>
      <c r="H57" s="4">
        <f t="shared" si="4"/>
        <v>1.7512111111111603</v>
      </c>
    </row>
    <row r="58" spans="1:8" x14ac:dyDescent="0.25">
      <c r="A58" s="38">
        <v>55</v>
      </c>
      <c r="B58" s="55">
        <v>131.22</v>
      </c>
      <c r="C58" s="53">
        <f t="shared" si="0"/>
        <v>102.06</v>
      </c>
      <c r="D58" s="53">
        <f t="shared" si="1"/>
        <v>-0.82833333333331893</v>
      </c>
      <c r="E58" s="53">
        <f t="shared" si="2"/>
        <v>-1.4233333333333462</v>
      </c>
      <c r="F58" s="4">
        <f t="shared" si="3"/>
        <v>1.1789944444444347</v>
      </c>
      <c r="G58" s="4">
        <f t="shared" si="4"/>
        <v>0.6861361111110873</v>
      </c>
      <c r="H58" s="4">
        <f t="shared" si="4"/>
        <v>2.0258777777778145</v>
      </c>
    </row>
    <row r="59" spans="1:8" x14ac:dyDescent="0.25">
      <c r="A59" s="38">
        <v>56</v>
      </c>
      <c r="B59" s="55">
        <v>132.52000000000001</v>
      </c>
      <c r="C59" s="53">
        <f t="shared" si="0"/>
        <v>102.55</v>
      </c>
      <c r="D59" s="53">
        <f t="shared" si="1"/>
        <v>0.47166666666669244</v>
      </c>
      <c r="E59" s="53">
        <f t="shared" si="2"/>
        <v>-0.93333333333335133</v>
      </c>
      <c r="F59" s="4">
        <f t="shared" si="3"/>
        <v>-0.44022222222225477</v>
      </c>
      <c r="G59" s="4">
        <f t="shared" si="4"/>
        <v>0.22246944444446876</v>
      </c>
      <c r="H59" s="4">
        <f t="shared" si="4"/>
        <v>0.8711111111111447</v>
      </c>
    </row>
    <row r="60" spans="1:8" x14ac:dyDescent="0.25">
      <c r="A60" s="38">
        <v>57</v>
      </c>
      <c r="B60" s="55">
        <v>134.25</v>
      </c>
      <c r="C60" s="53">
        <f t="shared" si="0"/>
        <v>104.35</v>
      </c>
      <c r="D60" s="53">
        <f t="shared" si="1"/>
        <v>2.2016666666666822</v>
      </c>
      <c r="E60" s="53">
        <f t="shared" si="2"/>
        <v>0.86666666666664582</v>
      </c>
      <c r="F60" s="4">
        <f t="shared" si="3"/>
        <v>1.9081111111110787</v>
      </c>
      <c r="G60" s="4">
        <f t="shared" si="4"/>
        <v>4.8473361111111792</v>
      </c>
      <c r="H60" s="4">
        <f t="shared" si="4"/>
        <v>0.75111111111107498</v>
      </c>
    </row>
    <row r="61" spans="1:8" x14ac:dyDescent="0.25">
      <c r="A61" s="38">
        <v>58</v>
      </c>
      <c r="B61" s="55">
        <v>136.06</v>
      </c>
      <c r="C61" s="53">
        <f t="shared" si="0"/>
        <v>107.57</v>
      </c>
      <c r="D61" s="53">
        <f t="shared" si="1"/>
        <v>4.0116666666666845</v>
      </c>
      <c r="E61" s="53">
        <f t="shared" si="2"/>
        <v>4.0866666666666447</v>
      </c>
      <c r="F61" s="4">
        <f t="shared" si="3"/>
        <v>16.394344444444428</v>
      </c>
      <c r="G61" s="4">
        <f t="shared" si="4"/>
        <v>16.093469444444587</v>
      </c>
      <c r="H61" s="4">
        <f t="shared" si="4"/>
        <v>16.700844444444265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5">SUM(C4:C61)</f>
        <v>620.90000000000009</v>
      </c>
      <c r="D62" s="49">
        <f t="shared" si="5"/>
        <v>1.1368683772161603E-13</v>
      </c>
      <c r="E62" s="49">
        <f t="shared" si="5"/>
        <v>-1.1368683772161603E-13</v>
      </c>
      <c r="F62" s="49">
        <f t="shared" si="5"/>
        <v>26.636133333333305</v>
      </c>
      <c r="G62" s="49">
        <f t="shared" si="5"/>
        <v>39.064483333333314</v>
      </c>
      <c r="H62" s="49">
        <f t="shared" si="5"/>
        <v>23.721533333333291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103.48333333333335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536</v>
      </c>
      <c r="B65" s="49">
        <f>SUM(B56:B61)/6</f>
        <v>132.04833333333332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537</v>
      </c>
      <c r="B66" s="38">
        <f>SUM(C56:C61)/6</f>
        <v>103.48333333333335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538</v>
      </c>
      <c r="B68" s="38">
        <f>F62/SQRT(G62*H62)</f>
        <v>0.8750014221363801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2" workbookViewId="0">
      <selection activeCell="B71" sqref="B71"/>
    </sheetView>
  </sheetViews>
  <sheetFormatPr defaultRowHeight="15" x14ac:dyDescent="0.25"/>
  <cols>
    <col min="6" max="6" width="18.42578125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539</v>
      </c>
      <c r="D3" s="45" t="s">
        <v>540</v>
      </c>
      <c r="E3" s="45" t="s">
        <v>541</v>
      </c>
      <c r="F3" s="46" t="s">
        <v>542</v>
      </c>
      <c r="G3" s="45" t="s">
        <v>543</v>
      </c>
      <c r="H3" s="45" t="s">
        <v>544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</row>
    <row r="50" spans="1:8" x14ac:dyDescent="0.25">
      <c r="A50" s="38">
        <v>47</v>
      </c>
      <c r="B50" s="55">
        <v>134.27000000000001</v>
      </c>
      <c r="C50" s="4" t="s">
        <v>75</v>
      </c>
      <c r="D50" s="4" t="s">
        <v>75</v>
      </c>
      <c r="E50" s="4" t="s">
        <v>75</v>
      </c>
      <c r="F50" s="4" t="s">
        <v>75</v>
      </c>
      <c r="G50" s="4" t="s">
        <v>75</v>
      </c>
      <c r="H50" s="4" t="s">
        <v>75</v>
      </c>
    </row>
    <row r="51" spans="1:8" x14ac:dyDescent="0.25">
      <c r="A51" s="38">
        <v>48</v>
      </c>
      <c r="B51" s="55">
        <v>133.72999999999999</v>
      </c>
      <c r="C51" s="4" t="s">
        <v>75</v>
      </c>
      <c r="D51" s="4" t="s">
        <v>75</v>
      </c>
      <c r="E51" s="4" t="s">
        <v>75</v>
      </c>
      <c r="F51" s="4" t="s">
        <v>75</v>
      </c>
      <c r="G51" s="4" t="s">
        <v>75</v>
      </c>
      <c r="H51" s="4" t="s">
        <v>75</v>
      </c>
    </row>
    <row r="52" spans="1:8" x14ac:dyDescent="0.25">
      <c r="A52" s="38">
        <v>49</v>
      </c>
      <c r="B52" s="55">
        <v>132.01</v>
      </c>
      <c r="C52" s="4" t="s">
        <v>75</v>
      </c>
      <c r="D52" s="4" t="s">
        <v>75</v>
      </c>
      <c r="E52" s="4" t="s">
        <v>75</v>
      </c>
      <c r="F52" s="4" t="s">
        <v>75</v>
      </c>
      <c r="G52" s="4" t="s">
        <v>75</v>
      </c>
      <c r="H52" s="4" t="s">
        <v>75</v>
      </c>
    </row>
    <row r="53" spans="1:8" x14ac:dyDescent="0.25">
      <c r="A53" s="38">
        <v>50</v>
      </c>
      <c r="B53" s="55">
        <v>130.59</v>
      </c>
      <c r="C53" s="4" t="s">
        <v>75</v>
      </c>
      <c r="D53" s="4" t="s">
        <v>75</v>
      </c>
      <c r="E53" s="4" t="s">
        <v>75</v>
      </c>
      <c r="F53" s="4" t="s">
        <v>75</v>
      </c>
      <c r="G53" s="4" t="s">
        <v>75</v>
      </c>
      <c r="H53" s="4" t="s">
        <v>75</v>
      </c>
    </row>
    <row r="54" spans="1:8" x14ac:dyDescent="0.25">
      <c r="A54" s="38">
        <v>51</v>
      </c>
      <c r="B54" s="55">
        <v>130.28</v>
      </c>
      <c r="C54" s="4" t="s">
        <v>75</v>
      </c>
      <c r="D54" s="4" t="s">
        <v>75</v>
      </c>
      <c r="E54" s="4" t="s">
        <v>75</v>
      </c>
      <c r="F54" s="4" t="s">
        <v>75</v>
      </c>
      <c r="G54" s="4" t="s">
        <v>75</v>
      </c>
      <c r="H54" s="4" t="s">
        <v>75</v>
      </c>
    </row>
    <row r="55" spans="1:8" x14ac:dyDescent="0.25">
      <c r="A55" s="38">
        <v>52</v>
      </c>
      <c r="B55" s="55">
        <v>129.16</v>
      </c>
      <c r="C55" s="4" t="s">
        <v>75</v>
      </c>
      <c r="D55" s="4" t="s">
        <v>75</v>
      </c>
      <c r="E55" s="4" t="s">
        <v>75</v>
      </c>
      <c r="F55" s="4" t="s">
        <v>75</v>
      </c>
      <c r="G55" s="4" t="s">
        <v>75</v>
      </c>
      <c r="H55" s="4" t="s">
        <v>75</v>
      </c>
    </row>
    <row r="56" spans="1:8" x14ac:dyDescent="0.25">
      <c r="A56" s="38">
        <v>53</v>
      </c>
      <c r="B56" s="55">
        <v>128.94</v>
      </c>
      <c r="C56" s="4" t="s">
        <v>75</v>
      </c>
      <c r="D56" s="4" t="s">
        <v>75</v>
      </c>
      <c r="E56" s="4" t="s">
        <v>75</v>
      </c>
      <c r="F56" s="4" t="s">
        <v>75</v>
      </c>
      <c r="G56" s="4" t="s">
        <v>75</v>
      </c>
      <c r="H56" s="4" t="s">
        <v>75</v>
      </c>
    </row>
    <row r="57" spans="1:8" x14ac:dyDescent="0.25">
      <c r="A57" s="38">
        <v>54</v>
      </c>
      <c r="B57" s="55">
        <v>129.30000000000001</v>
      </c>
      <c r="C57" s="53">
        <f>B4</f>
        <v>102.32</v>
      </c>
      <c r="D57" s="53">
        <f>B57-$B$65</f>
        <v>-3.3699999999999761</v>
      </c>
      <c r="E57" s="53">
        <f>C57-$B$66</f>
        <v>6.0000000000002274E-2</v>
      </c>
      <c r="F57" s="4">
        <f>D57*E57</f>
        <v>-0.20220000000000624</v>
      </c>
      <c r="G57" s="4">
        <f t="shared" ref="G57:H61" si="0">D57*D57</f>
        <v>11.35689999999984</v>
      </c>
      <c r="H57" s="4">
        <f t="shared" si="0"/>
        <v>3.6000000000002727E-3</v>
      </c>
    </row>
    <row r="58" spans="1:8" x14ac:dyDescent="0.25">
      <c r="A58" s="38">
        <v>55</v>
      </c>
      <c r="B58" s="55">
        <v>131.22</v>
      </c>
      <c r="C58" s="53">
        <f>B5</f>
        <v>102.21</v>
      </c>
      <c r="D58" s="53">
        <f>B58-$B$65</f>
        <v>-1.4499999999999886</v>
      </c>
      <c r="E58" s="53">
        <f>C58-$B$66</f>
        <v>-4.9999999999997158E-2</v>
      </c>
      <c r="F58" s="4">
        <f>D58*E58</f>
        <v>7.2499999999995304E-2</v>
      </c>
      <c r="G58" s="4">
        <f t="shared" si="0"/>
        <v>2.1024999999999672</v>
      </c>
      <c r="H58" s="4">
        <f t="shared" si="0"/>
        <v>2.499999999999716E-3</v>
      </c>
    </row>
    <row r="59" spans="1:8" x14ac:dyDescent="0.25">
      <c r="A59" s="38">
        <v>56</v>
      </c>
      <c r="B59" s="55">
        <v>132.52000000000001</v>
      </c>
      <c r="C59" s="53">
        <f>B6</f>
        <v>102.16</v>
      </c>
      <c r="D59" s="53">
        <f>B59-$B$65</f>
        <v>-0.14999999999997726</v>
      </c>
      <c r="E59" s="53">
        <f>C59-$B$66</f>
        <v>-9.9999999999994316E-2</v>
      </c>
      <c r="F59" s="4">
        <f>D59*E59</f>
        <v>1.4999999999996873E-2</v>
      </c>
      <c r="G59" s="4">
        <f t="shared" si="0"/>
        <v>2.2499999999993178E-2</v>
      </c>
      <c r="H59" s="4">
        <f t="shared" si="0"/>
        <v>9.999999999998864E-3</v>
      </c>
    </row>
    <row r="60" spans="1:8" x14ac:dyDescent="0.25">
      <c r="A60" s="38">
        <v>57</v>
      </c>
      <c r="B60" s="55">
        <v>134.25</v>
      </c>
      <c r="C60" s="53">
        <f>B7</f>
        <v>102.06</v>
      </c>
      <c r="D60" s="53">
        <f>B60-$B$65</f>
        <v>1.5800000000000125</v>
      </c>
      <c r="E60" s="53">
        <f>C60-$B$66</f>
        <v>-0.19999999999998863</v>
      </c>
      <c r="F60" s="4">
        <f>D60*E60</f>
        <v>-0.31599999999998452</v>
      </c>
      <c r="G60" s="4">
        <f t="shared" si="0"/>
        <v>2.4964000000000395</v>
      </c>
      <c r="H60" s="4">
        <f t="shared" si="0"/>
        <v>3.9999999999995456E-2</v>
      </c>
    </row>
    <row r="61" spans="1:8" x14ac:dyDescent="0.25">
      <c r="A61" s="38">
        <v>58</v>
      </c>
      <c r="B61" s="55">
        <v>136.06</v>
      </c>
      <c r="C61" s="53">
        <f>B8</f>
        <v>102.55</v>
      </c>
      <c r="D61" s="53">
        <f>B61-$B$65</f>
        <v>3.3900000000000148</v>
      </c>
      <c r="E61" s="53">
        <f>C61-$B$66</f>
        <v>0.29000000000000625</v>
      </c>
      <c r="F61" s="4">
        <f>D61*E61</f>
        <v>0.98310000000002551</v>
      </c>
      <c r="G61" s="4">
        <f t="shared" si="0"/>
        <v>11.4921000000001</v>
      </c>
      <c r="H61" s="4">
        <f t="shared" si="0"/>
        <v>8.410000000000363E-2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1">SUM(C4:C61)</f>
        <v>511.29999999999995</v>
      </c>
      <c r="D62" s="49">
        <f t="shared" si="1"/>
        <v>8.5265128291212022E-14</v>
      </c>
      <c r="E62" s="49">
        <f t="shared" si="1"/>
        <v>2.8421709430404007E-14</v>
      </c>
      <c r="F62" s="49">
        <f t="shared" si="1"/>
        <v>0.55240000000002698</v>
      </c>
      <c r="G62" s="49">
        <f t="shared" si="1"/>
        <v>27.470399999999941</v>
      </c>
      <c r="H62" s="49">
        <f t="shared" si="1"/>
        <v>0.14019999999999794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102.25999999999999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545</v>
      </c>
      <c r="B65" s="49">
        <f>SUM(B57:B61)/5</f>
        <v>132.66999999999999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546</v>
      </c>
      <c r="B66" s="38">
        <f>SUM(C57:C61)/5</f>
        <v>102.25999999999999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547</v>
      </c>
      <c r="B68" s="38">
        <f>F62/SQRT(G62*H62)</f>
        <v>0.2814797596041535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8"/>
  <sheetViews>
    <sheetView topLeftCell="A58" workbookViewId="0">
      <selection activeCell="C72" sqref="C72"/>
    </sheetView>
  </sheetViews>
  <sheetFormatPr defaultRowHeight="15" x14ac:dyDescent="0.25"/>
  <cols>
    <col min="6" max="6" width="18" customWidth="1"/>
  </cols>
  <sheetData>
    <row r="2" spans="1:8" x14ac:dyDescent="0.25">
      <c r="A2" s="43">
        <v>1</v>
      </c>
      <c r="B2" s="43">
        <v>2</v>
      </c>
      <c r="C2" s="43">
        <v>3</v>
      </c>
      <c r="D2" s="43">
        <v>4</v>
      </c>
      <c r="E2" s="43">
        <v>5</v>
      </c>
      <c r="F2" s="43">
        <v>6</v>
      </c>
      <c r="G2" s="43">
        <v>7</v>
      </c>
      <c r="H2" s="43">
        <v>8</v>
      </c>
    </row>
    <row r="3" spans="1:8" ht="18" x14ac:dyDescent="0.25">
      <c r="A3" s="44" t="s">
        <v>67</v>
      </c>
      <c r="B3" s="44" t="s">
        <v>68</v>
      </c>
      <c r="C3" s="45" t="s">
        <v>548</v>
      </c>
      <c r="D3" s="45" t="s">
        <v>549</v>
      </c>
      <c r="E3" s="45" t="s">
        <v>550</v>
      </c>
      <c r="F3" s="46" t="s">
        <v>551</v>
      </c>
      <c r="G3" s="45" t="s">
        <v>552</v>
      </c>
      <c r="H3" s="45" t="s">
        <v>553</v>
      </c>
    </row>
    <row r="4" spans="1:8" x14ac:dyDescent="0.25">
      <c r="A4" s="38">
        <v>1</v>
      </c>
      <c r="B4" s="54">
        <v>102.32</v>
      </c>
      <c r="C4" s="4" t="s">
        <v>75</v>
      </c>
      <c r="D4" s="4" t="s">
        <v>75</v>
      </c>
      <c r="E4" s="4" t="s">
        <v>75</v>
      </c>
      <c r="F4" s="4" t="s">
        <v>75</v>
      </c>
      <c r="G4" s="4" t="s">
        <v>75</v>
      </c>
      <c r="H4" s="4" t="s">
        <v>75</v>
      </c>
    </row>
    <row r="5" spans="1:8" x14ac:dyDescent="0.25">
      <c r="A5" s="38">
        <v>2</v>
      </c>
      <c r="B5" s="55">
        <v>102.21</v>
      </c>
      <c r="C5" s="4" t="s">
        <v>75</v>
      </c>
      <c r="D5" s="4" t="s">
        <v>75</v>
      </c>
      <c r="E5" s="4" t="s">
        <v>75</v>
      </c>
      <c r="F5" s="4" t="s">
        <v>75</v>
      </c>
      <c r="G5" s="4" t="s">
        <v>75</v>
      </c>
      <c r="H5" s="4" t="s">
        <v>75</v>
      </c>
    </row>
    <row r="6" spans="1:8" x14ac:dyDescent="0.25">
      <c r="A6" s="38">
        <v>3</v>
      </c>
      <c r="B6" s="55">
        <v>102.16</v>
      </c>
      <c r="C6" s="4" t="s">
        <v>75</v>
      </c>
      <c r="D6" s="4" t="s">
        <v>75</v>
      </c>
      <c r="E6" s="4" t="s">
        <v>75</v>
      </c>
      <c r="F6" s="4" t="s">
        <v>75</v>
      </c>
      <c r="G6" s="4" t="s">
        <v>75</v>
      </c>
      <c r="H6" s="4" t="s">
        <v>75</v>
      </c>
    </row>
    <row r="7" spans="1:8" x14ac:dyDescent="0.25">
      <c r="A7" s="38">
        <v>4</v>
      </c>
      <c r="B7" s="55">
        <v>102.06</v>
      </c>
      <c r="C7" s="4" t="s">
        <v>75</v>
      </c>
      <c r="D7" s="4" t="s">
        <v>75</v>
      </c>
      <c r="E7" s="4" t="s">
        <v>75</v>
      </c>
      <c r="F7" s="4" t="s">
        <v>75</v>
      </c>
      <c r="G7" s="4" t="s">
        <v>75</v>
      </c>
      <c r="H7" s="4" t="s">
        <v>75</v>
      </c>
    </row>
    <row r="8" spans="1:8" x14ac:dyDescent="0.25">
      <c r="A8" s="38">
        <v>5</v>
      </c>
      <c r="B8" s="55">
        <v>102.55</v>
      </c>
      <c r="C8" s="4" t="s">
        <v>75</v>
      </c>
      <c r="D8" s="4" t="s">
        <v>75</v>
      </c>
      <c r="E8" s="4" t="s">
        <v>75</v>
      </c>
      <c r="F8" s="4" t="s">
        <v>75</v>
      </c>
      <c r="G8" s="4" t="s">
        <v>75</v>
      </c>
      <c r="H8" s="4" t="s">
        <v>75</v>
      </c>
    </row>
    <row r="9" spans="1:8" x14ac:dyDescent="0.25">
      <c r="A9" s="38">
        <v>6</v>
      </c>
      <c r="B9" s="55">
        <v>104.35</v>
      </c>
      <c r="C9" s="4" t="s">
        <v>75</v>
      </c>
      <c r="D9" s="4" t="s">
        <v>75</v>
      </c>
      <c r="E9" s="4" t="s">
        <v>75</v>
      </c>
      <c r="F9" s="4" t="s">
        <v>75</v>
      </c>
      <c r="G9" s="4" t="s">
        <v>75</v>
      </c>
      <c r="H9" s="4" t="s">
        <v>75</v>
      </c>
    </row>
    <row r="10" spans="1:8" x14ac:dyDescent="0.25">
      <c r="A10" s="38">
        <v>7</v>
      </c>
      <c r="B10" s="55">
        <v>107.57</v>
      </c>
      <c r="C10" s="4" t="s">
        <v>75</v>
      </c>
      <c r="D10" s="4" t="s">
        <v>75</v>
      </c>
      <c r="E10" s="4" t="s">
        <v>75</v>
      </c>
      <c r="F10" s="4" t="s">
        <v>75</v>
      </c>
      <c r="G10" s="4" t="s">
        <v>75</v>
      </c>
      <c r="H10" s="4" t="s">
        <v>75</v>
      </c>
    </row>
    <row r="11" spans="1:8" x14ac:dyDescent="0.25">
      <c r="A11" s="38">
        <v>8</v>
      </c>
      <c r="B11" s="55">
        <v>111.96</v>
      </c>
      <c r="C11" s="4" t="s">
        <v>75</v>
      </c>
      <c r="D11" s="4" t="s">
        <v>75</v>
      </c>
      <c r="E11" s="4" t="s">
        <v>75</v>
      </c>
      <c r="F11" s="4" t="s">
        <v>75</v>
      </c>
      <c r="G11" s="4" t="s">
        <v>75</v>
      </c>
      <c r="H11" s="4" t="s">
        <v>75</v>
      </c>
    </row>
    <row r="12" spans="1:8" x14ac:dyDescent="0.25">
      <c r="A12" s="38">
        <v>9</v>
      </c>
      <c r="B12" s="55">
        <v>115.27</v>
      </c>
      <c r="C12" s="4" t="s">
        <v>75</v>
      </c>
      <c r="D12" s="4" t="s">
        <v>75</v>
      </c>
      <c r="E12" s="4" t="s">
        <v>75</v>
      </c>
      <c r="F12" s="4" t="s">
        <v>75</v>
      </c>
      <c r="G12" s="4" t="s">
        <v>75</v>
      </c>
      <c r="H12" s="4" t="s">
        <v>75</v>
      </c>
    </row>
    <row r="13" spans="1:8" x14ac:dyDescent="0.25">
      <c r="A13" s="38">
        <v>10</v>
      </c>
      <c r="B13" s="55">
        <v>117.17</v>
      </c>
      <c r="C13" s="4" t="s">
        <v>75</v>
      </c>
      <c r="D13" s="4" t="s">
        <v>75</v>
      </c>
      <c r="E13" s="4" t="s">
        <v>75</v>
      </c>
      <c r="F13" s="4" t="s">
        <v>75</v>
      </c>
      <c r="G13" s="4" t="s">
        <v>75</v>
      </c>
      <c r="H13" s="4" t="s">
        <v>75</v>
      </c>
    </row>
    <row r="14" spans="1:8" x14ac:dyDescent="0.25">
      <c r="A14" s="38">
        <v>11</v>
      </c>
      <c r="B14" s="55">
        <v>117.61</v>
      </c>
      <c r="C14" s="4" t="s">
        <v>75</v>
      </c>
      <c r="D14" s="4" t="s">
        <v>75</v>
      </c>
      <c r="E14" s="4" t="s">
        <v>75</v>
      </c>
      <c r="F14" s="4" t="s">
        <v>75</v>
      </c>
      <c r="G14" s="4" t="s">
        <v>75</v>
      </c>
      <c r="H14" s="4" t="s">
        <v>75</v>
      </c>
    </row>
    <row r="15" spans="1:8" x14ac:dyDescent="0.25">
      <c r="A15" s="38">
        <v>12</v>
      </c>
      <c r="B15" s="55">
        <v>117.26</v>
      </c>
      <c r="C15" s="4" t="s">
        <v>75</v>
      </c>
      <c r="D15" s="4" t="s">
        <v>75</v>
      </c>
      <c r="E15" s="4" t="s">
        <v>75</v>
      </c>
      <c r="F15" s="4" t="s">
        <v>75</v>
      </c>
      <c r="G15" s="4" t="s">
        <v>75</v>
      </c>
      <c r="H15" s="4" t="s">
        <v>75</v>
      </c>
    </row>
    <row r="16" spans="1:8" x14ac:dyDescent="0.25">
      <c r="A16" s="38">
        <v>13</v>
      </c>
      <c r="B16" s="55">
        <v>115.88</v>
      </c>
      <c r="C16" s="4" t="s">
        <v>75</v>
      </c>
      <c r="D16" s="4" t="s">
        <v>75</v>
      </c>
      <c r="E16" s="4" t="s">
        <v>75</v>
      </c>
      <c r="F16" s="4" t="s">
        <v>75</v>
      </c>
      <c r="G16" s="4" t="s">
        <v>75</v>
      </c>
      <c r="H16" s="4" t="s">
        <v>75</v>
      </c>
    </row>
    <row r="17" spans="1:8" x14ac:dyDescent="0.25">
      <c r="A17" s="38">
        <v>14</v>
      </c>
      <c r="B17" s="55">
        <v>113.35</v>
      </c>
      <c r="C17" s="4" t="s">
        <v>75</v>
      </c>
      <c r="D17" s="4" t="s">
        <v>75</v>
      </c>
      <c r="E17" s="4" t="s">
        <v>75</v>
      </c>
      <c r="F17" s="4" t="s">
        <v>75</v>
      </c>
      <c r="G17" s="4" t="s">
        <v>75</v>
      </c>
      <c r="H17" s="4" t="s">
        <v>75</v>
      </c>
    </row>
    <row r="18" spans="1:8" x14ac:dyDescent="0.25">
      <c r="A18" s="38">
        <v>15</v>
      </c>
      <c r="B18" s="55">
        <v>111.39</v>
      </c>
      <c r="C18" s="4" t="s">
        <v>75</v>
      </c>
      <c r="D18" s="4" t="s">
        <v>75</v>
      </c>
      <c r="E18" s="4" t="s">
        <v>75</v>
      </c>
      <c r="F18" s="4" t="s">
        <v>75</v>
      </c>
      <c r="G18" s="4" t="s">
        <v>75</v>
      </c>
      <c r="H18" s="4" t="s">
        <v>75</v>
      </c>
    </row>
    <row r="19" spans="1:8" x14ac:dyDescent="0.25">
      <c r="A19" s="38">
        <v>16</v>
      </c>
      <c r="B19" s="55">
        <v>109.76</v>
      </c>
      <c r="C19" s="4" t="s">
        <v>75</v>
      </c>
      <c r="D19" s="4" t="s">
        <v>75</v>
      </c>
      <c r="E19" s="4" t="s">
        <v>75</v>
      </c>
      <c r="F19" s="4" t="s">
        <v>75</v>
      </c>
      <c r="G19" s="4" t="s">
        <v>75</v>
      </c>
      <c r="H19" s="4" t="s">
        <v>75</v>
      </c>
    </row>
    <row r="20" spans="1:8" x14ac:dyDescent="0.25">
      <c r="A20" s="38">
        <v>17</v>
      </c>
      <c r="B20" s="55">
        <v>109.5</v>
      </c>
      <c r="C20" s="4" t="s">
        <v>75</v>
      </c>
      <c r="D20" s="4" t="s">
        <v>75</v>
      </c>
      <c r="E20" s="4" t="s">
        <v>75</v>
      </c>
      <c r="F20" s="4" t="s">
        <v>75</v>
      </c>
      <c r="G20" s="4" t="s">
        <v>75</v>
      </c>
      <c r="H20" s="4" t="s">
        <v>75</v>
      </c>
    </row>
    <row r="21" spans="1:8" x14ac:dyDescent="0.25">
      <c r="A21" s="38">
        <v>18</v>
      </c>
      <c r="B21" s="55">
        <v>108.86</v>
      </c>
      <c r="C21" s="4" t="s">
        <v>75</v>
      </c>
      <c r="D21" s="4" t="s">
        <v>75</v>
      </c>
      <c r="E21" s="4" t="s">
        <v>75</v>
      </c>
      <c r="F21" s="4" t="s">
        <v>75</v>
      </c>
      <c r="G21" s="4" t="s">
        <v>75</v>
      </c>
      <c r="H21" s="4" t="s">
        <v>75</v>
      </c>
    </row>
    <row r="22" spans="1:8" x14ac:dyDescent="0.25">
      <c r="A22" s="38">
        <v>19</v>
      </c>
      <c r="B22" s="55">
        <v>108.49</v>
      </c>
      <c r="C22" s="4" t="s">
        <v>75</v>
      </c>
      <c r="D22" s="4" t="s">
        <v>75</v>
      </c>
      <c r="E22" s="4" t="s">
        <v>75</v>
      </c>
      <c r="F22" s="4" t="s">
        <v>75</v>
      </c>
      <c r="G22" s="4" t="s">
        <v>75</v>
      </c>
      <c r="H22" s="4" t="s">
        <v>75</v>
      </c>
    </row>
    <row r="23" spans="1:8" x14ac:dyDescent="0.25">
      <c r="A23" s="38">
        <v>20</v>
      </c>
      <c r="B23" s="55">
        <v>108.36</v>
      </c>
      <c r="C23" s="4" t="s">
        <v>75</v>
      </c>
      <c r="D23" s="4" t="s">
        <v>75</v>
      </c>
      <c r="E23" s="4" t="s">
        <v>75</v>
      </c>
      <c r="F23" s="4" t="s">
        <v>75</v>
      </c>
      <c r="G23" s="4" t="s">
        <v>75</v>
      </c>
      <c r="H23" s="4" t="s">
        <v>75</v>
      </c>
    </row>
    <row r="24" spans="1:8" x14ac:dyDescent="0.25">
      <c r="A24" s="38">
        <v>21</v>
      </c>
      <c r="B24" s="55">
        <v>108.19</v>
      </c>
      <c r="C24" s="4" t="s">
        <v>75</v>
      </c>
      <c r="D24" s="4" t="s">
        <v>75</v>
      </c>
      <c r="E24" s="4" t="s">
        <v>75</v>
      </c>
      <c r="F24" s="4" t="s">
        <v>75</v>
      </c>
      <c r="G24" s="4" t="s">
        <v>75</v>
      </c>
      <c r="H24" s="4" t="s">
        <v>75</v>
      </c>
    </row>
    <row r="25" spans="1:8" x14ac:dyDescent="0.25">
      <c r="A25" s="38">
        <v>22</v>
      </c>
      <c r="B25" s="55">
        <v>107.8</v>
      </c>
      <c r="C25" s="4" t="s">
        <v>75</v>
      </c>
      <c r="D25" s="4" t="s">
        <v>75</v>
      </c>
      <c r="E25" s="4" t="s">
        <v>75</v>
      </c>
      <c r="F25" s="4" t="s">
        <v>75</v>
      </c>
      <c r="G25" s="4" t="s">
        <v>75</v>
      </c>
      <c r="H25" s="4" t="s">
        <v>75</v>
      </c>
    </row>
    <row r="26" spans="1:8" x14ac:dyDescent="0.25">
      <c r="A26" s="38">
        <v>23</v>
      </c>
      <c r="B26" s="55">
        <v>107.47</v>
      </c>
      <c r="C26" s="4" t="s">
        <v>75</v>
      </c>
      <c r="D26" s="4" t="s">
        <v>75</v>
      </c>
      <c r="E26" s="4" t="s">
        <v>75</v>
      </c>
      <c r="F26" s="4" t="s">
        <v>75</v>
      </c>
      <c r="G26" s="4" t="s">
        <v>75</v>
      </c>
      <c r="H26" s="4" t="s">
        <v>75</v>
      </c>
    </row>
    <row r="27" spans="1:8" x14ac:dyDescent="0.25">
      <c r="A27" s="38">
        <v>24</v>
      </c>
      <c r="B27" s="55">
        <v>107.03</v>
      </c>
      <c r="C27" s="4" t="s">
        <v>75</v>
      </c>
      <c r="D27" s="4" t="s">
        <v>75</v>
      </c>
      <c r="E27" s="4" t="s">
        <v>75</v>
      </c>
      <c r="F27" s="4" t="s">
        <v>75</v>
      </c>
      <c r="G27" s="4" t="s">
        <v>75</v>
      </c>
      <c r="H27" s="4" t="s">
        <v>75</v>
      </c>
    </row>
    <row r="28" spans="1:8" x14ac:dyDescent="0.25">
      <c r="A28" s="38">
        <v>25</v>
      </c>
      <c r="B28" s="55">
        <v>106.61</v>
      </c>
      <c r="C28" s="4" t="s">
        <v>75</v>
      </c>
      <c r="D28" s="4" t="s">
        <v>75</v>
      </c>
      <c r="E28" s="4" t="s">
        <v>75</v>
      </c>
      <c r="F28" s="4" t="s">
        <v>75</v>
      </c>
      <c r="G28" s="4" t="s">
        <v>75</v>
      </c>
      <c r="H28" s="4" t="s">
        <v>75</v>
      </c>
    </row>
    <row r="29" spans="1:8" x14ac:dyDescent="0.25">
      <c r="A29" s="38">
        <v>26</v>
      </c>
      <c r="B29" s="55">
        <v>106.57</v>
      </c>
      <c r="C29" s="4" t="s">
        <v>75</v>
      </c>
      <c r="D29" s="4" t="s">
        <v>75</v>
      </c>
      <c r="E29" s="4" t="s">
        <v>75</v>
      </c>
      <c r="F29" s="4" t="s">
        <v>75</v>
      </c>
      <c r="G29" s="4" t="s">
        <v>75</v>
      </c>
      <c r="H29" s="4" t="s">
        <v>75</v>
      </c>
    </row>
    <row r="30" spans="1:8" x14ac:dyDescent="0.25">
      <c r="A30" s="38">
        <v>27</v>
      </c>
      <c r="B30" s="55">
        <v>106.49</v>
      </c>
      <c r="C30" s="4" t="s">
        <v>75</v>
      </c>
      <c r="D30" s="4" t="s">
        <v>75</v>
      </c>
      <c r="E30" s="4" t="s">
        <v>75</v>
      </c>
      <c r="F30" s="4" t="s">
        <v>75</v>
      </c>
      <c r="G30" s="4" t="s">
        <v>75</v>
      </c>
      <c r="H30" s="4" t="s">
        <v>75</v>
      </c>
    </row>
    <row r="31" spans="1:8" x14ac:dyDescent="0.25">
      <c r="A31" s="38">
        <v>28</v>
      </c>
      <c r="B31" s="55">
        <v>107.04</v>
      </c>
      <c r="C31" s="4" t="s">
        <v>75</v>
      </c>
      <c r="D31" s="4" t="s">
        <v>75</v>
      </c>
      <c r="E31" s="4" t="s">
        <v>75</v>
      </c>
      <c r="F31" s="4" t="s">
        <v>75</v>
      </c>
      <c r="G31" s="4" t="s">
        <v>75</v>
      </c>
      <c r="H31" s="4" t="s">
        <v>75</v>
      </c>
    </row>
    <row r="32" spans="1:8" x14ac:dyDescent="0.25">
      <c r="A32" s="38">
        <v>29</v>
      </c>
      <c r="B32" s="55">
        <v>111.35</v>
      </c>
      <c r="C32" s="4" t="s">
        <v>75</v>
      </c>
      <c r="D32" s="4" t="s">
        <v>75</v>
      </c>
      <c r="E32" s="4" t="s">
        <v>75</v>
      </c>
      <c r="F32" s="4" t="s">
        <v>75</v>
      </c>
      <c r="G32" s="4" t="s">
        <v>75</v>
      </c>
      <c r="H32" s="4" t="s">
        <v>75</v>
      </c>
    </row>
    <row r="33" spans="1:8" x14ac:dyDescent="0.25">
      <c r="A33" s="38">
        <v>30</v>
      </c>
      <c r="B33" s="55">
        <v>117.54</v>
      </c>
      <c r="C33" s="4" t="s">
        <v>75</v>
      </c>
      <c r="D33" s="4" t="s">
        <v>75</v>
      </c>
      <c r="E33" s="4" t="s">
        <v>75</v>
      </c>
      <c r="F33" s="4" t="s">
        <v>75</v>
      </c>
      <c r="G33" s="4" t="s">
        <v>75</v>
      </c>
      <c r="H33" s="4" t="s">
        <v>75</v>
      </c>
    </row>
    <row r="34" spans="1:8" x14ac:dyDescent="0.25">
      <c r="A34" s="38">
        <v>31</v>
      </c>
      <c r="B34" s="55">
        <v>122.58</v>
      </c>
      <c r="C34" s="4" t="s">
        <v>75</v>
      </c>
      <c r="D34" s="4" t="s">
        <v>75</v>
      </c>
      <c r="E34" s="4" t="s">
        <v>75</v>
      </c>
      <c r="F34" s="4" t="s">
        <v>75</v>
      </c>
      <c r="G34" s="4" t="s">
        <v>75</v>
      </c>
      <c r="H34" s="4" t="s">
        <v>75</v>
      </c>
    </row>
    <row r="35" spans="1:8" x14ac:dyDescent="0.25">
      <c r="A35" s="38">
        <v>32</v>
      </c>
      <c r="B35" s="55">
        <v>128.16</v>
      </c>
      <c r="C35" s="4" t="s">
        <v>75</v>
      </c>
      <c r="D35" s="4" t="s">
        <v>75</v>
      </c>
      <c r="E35" s="4" t="s">
        <v>75</v>
      </c>
      <c r="F35" s="4" t="s">
        <v>75</v>
      </c>
      <c r="G35" s="4" t="s">
        <v>75</v>
      </c>
      <c r="H35" s="4" t="s">
        <v>75</v>
      </c>
    </row>
    <row r="36" spans="1:8" x14ac:dyDescent="0.25">
      <c r="A36" s="38">
        <v>33</v>
      </c>
      <c r="B36" s="55">
        <v>132.86000000000001</v>
      </c>
      <c r="C36" s="4" t="s">
        <v>75</v>
      </c>
      <c r="D36" s="4" t="s">
        <v>75</v>
      </c>
      <c r="E36" s="4" t="s">
        <v>75</v>
      </c>
      <c r="F36" s="4" t="s">
        <v>75</v>
      </c>
      <c r="G36" s="4" t="s">
        <v>75</v>
      </c>
      <c r="H36" s="4" t="s">
        <v>75</v>
      </c>
    </row>
    <row r="37" spans="1:8" x14ac:dyDescent="0.25">
      <c r="A37" s="38">
        <v>34</v>
      </c>
      <c r="B37" s="55">
        <v>134.91999999999999</v>
      </c>
      <c r="C37" s="4" t="s">
        <v>75</v>
      </c>
      <c r="D37" s="4" t="s">
        <v>75</v>
      </c>
      <c r="E37" s="4" t="s">
        <v>75</v>
      </c>
      <c r="F37" s="4" t="s">
        <v>75</v>
      </c>
      <c r="G37" s="4" t="s">
        <v>75</v>
      </c>
      <c r="H37" s="4" t="s">
        <v>75</v>
      </c>
    </row>
    <row r="38" spans="1:8" x14ac:dyDescent="0.25">
      <c r="A38" s="38">
        <v>35</v>
      </c>
      <c r="B38" s="55">
        <v>135.69999999999999</v>
      </c>
      <c r="C38" s="4" t="s">
        <v>75</v>
      </c>
      <c r="D38" s="4" t="s">
        <v>75</v>
      </c>
      <c r="E38" s="4" t="s">
        <v>75</v>
      </c>
      <c r="F38" s="4" t="s">
        <v>75</v>
      </c>
      <c r="G38" s="4" t="s">
        <v>75</v>
      </c>
      <c r="H38" s="4" t="s">
        <v>75</v>
      </c>
    </row>
    <row r="39" spans="1:8" x14ac:dyDescent="0.25">
      <c r="A39" s="38">
        <v>36</v>
      </c>
      <c r="B39" s="55">
        <v>136.13999999999999</v>
      </c>
      <c r="C39" s="4" t="s">
        <v>75</v>
      </c>
      <c r="D39" s="4" t="s">
        <v>75</v>
      </c>
      <c r="E39" s="4" t="s">
        <v>75</v>
      </c>
      <c r="F39" s="4" t="s">
        <v>75</v>
      </c>
      <c r="G39" s="4" t="s">
        <v>75</v>
      </c>
      <c r="H39" s="4" t="s">
        <v>75</v>
      </c>
    </row>
    <row r="40" spans="1:8" x14ac:dyDescent="0.25">
      <c r="A40" s="38">
        <v>37</v>
      </c>
      <c r="B40" s="55">
        <v>140.15</v>
      </c>
      <c r="C40" s="4" t="s">
        <v>75</v>
      </c>
      <c r="D40" s="4" t="s">
        <v>75</v>
      </c>
      <c r="E40" s="4" t="s">
        <v>75</v>
      </c>
      <c r="F40" s="4" t="s">
        <v>75</v>
      </c>
      <c r="G40" s="4" t="s">
        <v>75</v>
      </c>
      <c r="H40" s="4" t="s">
        <v>75</v>
      </c>
    </row>
    <row r="41" spans="1:8" x14ac:dyDescent="0.25">
      <c r="A41" s="38">
        <v>38</v>
      </c>
      <c r="B41" s="55">
        <v>140.09</v>
      </c>
      <c r="C41" s="4" t="s">
        <v>75</v>
      </c>
      <c r="D41" s="4" t="s">
        <v>75</v>
      </c>
      <c r="E41" s="4" t="s">
        <v>75</v>
      </c>
      <c r="F41" s="4" t="s">
        <v>75</v>
      </c>
      <c r="G41" s="4" t="s">
        <v>75</v>
      </c>
      <c r="H41" s="4" t="s">
        <v>75</v>
      </c>
    </row>
    <row r="42" spans="1:8" x14ac:dyDescent="0.25">
      <c r="A42" s="38">
        <v>39</v>
      </c>
      <c r="B42" s="55">
        <v>139.1</v>
      </c>
      <c r="C42" s="4" t="s">
        <v>75</v>
      </c>
      <c r="D42" s="4" t="s">
        <v>75</v>
      </c>
      <c r="E42" s="4" t="s">
        <v>75</v>
      </c>
      <c r="F42" s="4" t="s">
        <v>75</v>
      </c>
      <c r="G42" s="4" t="s">
        <v>75</v>
      </c>
      <c r="H42" s="4" t="s">
        <v>75</v>
      </c>
    </row>
    <row r="43" spans="1:8" x14ac:dyDescent="0.25">
      <c r="A43" s="38">
        <v>40</v>
      </c>
      <c r="B43" s="55">
        <v>137.5</v>
      </c>
      <c r="C43" s="4" t="s">
        <v>75</v>
      </c>
      <c r="D43" s="4" t="s">
        <v>75</v>
      </c>
      <c r="E43" s="4" t="s">
        <v>75</v>
      </c>
      <c r="F43" s="4" t="s">
        <v>75</v>
      </c>
      <c r="G43" s="4" t="s">
        <v>75</v>
      </c>
      <c r="H43" s="4" t="s">
        <v>75</v>
      </c>
    </row>
    <row r="44" spans="1:8" x14ac:dyDescent="0.25">
      <c r="A44" s="38">
        <v>41</v>
      </c>
      <c r="B44" s="55">
        <v>136.12</v>
      </c>
      <c r="C44" s="4" t="s">
        <v>75</v>
      </c>
      <c r="D44" s="4" t="s">
        <v>75</v>
      </c>
      <c r="E44" s="4" t="s">
        <v>75</v>
      </c>
      <c r="F44" s="4" t="s">
        <v>75</v>
      </c>
      <c r="G44" s="4" t="s">
        <v>75</v>
      </c>
      <c r="H44" s="4" t="s">
        <v>75</v>
      </c>
    </row>
    <row r="45" spans="1:8" x14ac:dyDescent="0.25">
      <c r="A45" s="38">
        <v>42</v>
      </c>
      <c r="B45" s="55">
        <v>135.22</v>
      </c>
      <c r="C45" s="4" t="s">
        <v>75</v>
      </c>
      <c r="D45" s="4" t="s">
        <v>75</v>
      </c>
      <c r="E45" s="4" t="s">
        <v>75</v>
      </c>
      <c r="F45" s="4" t="s">
        <v>75</v>
      </c>
      <c r="G45" s="4" t="s">
        <v>75</v>
      </c>
      <c r="H45" s="4" t="s">
        <v>75</v>
      </c>
    </row>
    <row r="46" spans="1:8" x14ac:dyDescent="0.25">
      <c r="A46" s="38">
        <v>43</v>
      </c>
      <c r="B46" s="55">
        <v>134.72999999999999</v>
      </c>
      <c r="C46" s="4" t="s">
        <v>75</v>
      </c>
      <c r="D46" s="4" t="s">
        <v>75</v>
      </c>
      <c r="E46" s="4" t="s">
        <v>75</v>
      </c>
      <c r="F46" s="4" t="s">
        <v>75</v>
      </c>
      <c r="G46" s="4" t="s">
        <v>75</v>
      </c>
      <c r="H46" s="4" t="s">
        <v>75</v>
      </c>
    </row>
    <row r="47" spans="1:8" x14ac:dyDescent="0.25">
      <c r="A47" s="38">
        <v>44</v>
      </c>
      <c r="B47" s="55">
        <v>134.38999999999999</v>
      </c>
      <c r="C47" s="4" t="s">
        <v>75</v>
      </c>
      <c r="D47" s="4" t="s">
        <v>75</v>
      </c>
      <c r="E47" s="4" t="s">
        <v>75</v>
      </c>
      <c r="F47" s="4" t="s">
        <v>75</v>
      </c>
      <c r="G47" s="4" t="s">
        <v>75</v>
      </c>
      <c r="H47" s="4" t="s">
        <v>75</v>
      </c>
    </row>
    <row r="48" spans="1:8" x14ac:dyDescent="0.25">
      <c r="A48" s="38">
        <v>45</v>
      </c>
      <c r="B48" s="55">
        <v>134.51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  <c r="H48" s="4" t="s">
        <v>75</v>
      </c>
    </row>
    <row r="49" spans="1:8" x14ac:dyDescent="0.25">
      <c r="A49" s="38">
        <v>46</v>
      </c>
      <c r="B49" s="55">
        <v>134.46</v>
      </c>
      <c r="C49" s="4" t="s">
        <v>75</v>
      </c>
      <c r="D49" s="4" t="s">
        <v>75</v>
      </c>
      <c r="E49" s="4" t="s">
        <v>75</v>
      </c>
      <c r="F49" s="4" t="s">
        <v>75</v>
      </c>
      <c r="G49" s="4" t="s">
        <v>75</v>
      </c>
      <c r="H49" s="4" t="s">
        <v>75</v>
      </c>
    </row>
    <row r="50" spans="1:8" x14ac:dyDescent="0.25">
      <c r="A50" s="38">
        <v>47</v>
      </c>
      <c r="B50" s="55">
        <v>134.27000000000001</v>
      </c>
      <c r="C50" s="4" t="s">
        <v>75</v>
      </c>
      <c r="D50" s="4" t="s">
        <v>75</v>
      </c>
      <c r="E50" s="4" t="s">
        <v>75</v>
      </c>
      <c r="F50" s="4" t="s">
        <v>75</v>
      </c>
      <c r="G50" s="4" t="s">
        <v>75</v>
      </c>
      <c r="H50" s="4" t="s">
        <v>75</v>
      </c>
    </row>
    <row r="51" spans="1:8" x14ac:dyDescent="0.25">
      <c r="A51" s="38">
        <v>48</v>
      </c>
      <c r="B51" s="55">
        <v>133.72999999999999</v>
      </c>
      <c r="C51" s="4" t="s">
        <v>75</v>
      </c>
      <c r="D51" s="4" t="s">
        <v>75</v>
      </c>
      <c r="E51" s="4" t="s">
        <v>75</v>
      </c>
      <c r="F51" s="4" t="s">
        <v>75</v>
      </c>
      <c r="G51" s="4" t="s">
        <v>75</v>
      </c>
      <c r="H51" s="4" t="s">
        <v>75</v>
      </c>
    </row>
    <row r="52" spans="1:8" x14ac:dyDescent="0.25">
      <c r="A52" s="38">
        <v>49</v>
      </c>
      <c r="B52" s="55">
        <v>132.01</v>
      </c>
      <c r="C52" s="4" t="s">
        <v>75</v>
      </c>
      <c r="D52" s="4" t="s">
        <v>75</v>
      </c>
      <c r="E52" s="4" t="s">
        <v>75</v>
      </c>
      <c r="F52" s="4" t="s">
        <v>75</v>
      </c>
      <c r="G52" s="4" t="s">
        <v>75</v>
      </c>
      <c r="H52" s="4" t="s">
        <v>75</v>
      </c>
    </row>
    <row r="53" spans="1:8" x14ac:dyDescent="0.25">
      <c r="A53" s="38">
        <v>50</v>
      </c>
      <c r="B53" s="55">
        <v>130.59</v>
      </c>
      <c r="C53" s="4" t="s">
        <v>75</v>
      </c>
      <c r="D53" s="4" t="s">
        <v>75</v>
      </c>
      <c r="E53" s="4" t="s">
        <v>75</v>
      </c>
      <c r="F53" s="4" t="s">
        <v>75</v>
      </c>
      <c r="G53" s="4" t="s">
        <v>75</v>
      </c>
      <c r="H53" s="4" t="s">
        <v>75</v>
      </c>
    </row>
    <row r="54" spans="1:8" x14ac:dyDescent="0.25">
      <c r="A54" s="38">
        <v>51</v>
      </c>
      <c r="B54" s="55">
        <v>130.28</v>
      </c>
      <c r="C54" s="4" t="s">
        <v>75</v>
      </c>
      <c r="D54" s="4" t="s">
        <v>75</v>
      </c>
      <c r="E54" s="4" t="s">
        <v>75</v>
      </c>
      <c r="F54" s="4" t="s">
        <v>75</v>
      </c>
      <c r="G54" s="4" t="s">
        <v>75</v>
      </c>
      <c r="H54" s="4" t="s">
        <v>75</v>
      </c>
    </row>
    <row r="55" spans="1:8" x14ac:dyDescent="0.25">
      <c r="A55" s="38">
        <v>52</v>
      </c>
      <c r="B55" s="55">
        <v>129.16</v>
      </c>
      <c r="C55" s="4" t="s">
        <v>75</v>
      </c>
      <c r="D55" s="4" t="s">
        <v>75</v>
      </c>
      <c r="E55" s="4" t="s">
        <v>75</v>
      </c>
      <c r="F55" s="4" t="s">
        <v>75</v>
      </c>
      <c r="G55" s="4" t="s">
        <v>75</v>
      </c>
      <c r="H55" s="4" t="s">
        <v>75</v>
      </c>
    </row>
    <row r="56" spans="1:8" x14ac:dyDescent="0.25">
      <c r="A56" s="38">
        <v>53</v>
      </c>
      <c r="B56" s="55">
        <v>128.94</v>
      </c>
      <c r="C56" s="4" t="s">
        <v>75</v>
      </c>
      <c r="D56" s="4" t="s">
        <v>75</v>
      </c>
      <c r="E56" s="4" t="s">
        <v>75</v>
      </c>
      <c r="F56" s="4" t="s">
        <v>75</v>
      </c>
      <c r="G56" s="4" t="s">
        <v>75</v>
      </c>
      <c r="H56" s="4" t="s">
        <v>75</v>
      </c>
    </row>
    <row r="57" spans="1:8" x14ac:dyDescent="0.25">
      <c r="A57" s="38">
        <v>54</v>
      </c>
      <c r="B57" s="55">
        <v>129.30000000000001</v>
      </c>
      <c r="C57" s="4" t="s">
        <v>75</v>
      </c>
      <c r="D57" s="4" t="s">
        <v>75</v>
      </c>
      <c r="E57" s="4" t="s">
        <v>75</v>
      </c>
      <c r="F57" s="4" t="s">
        <v>75</v>
      </c>
      <c r="G57" s="4" t="s">
        <v>75</v>
      </c>
      <c r="H57" s="4" t="s">
        <v>75</v>
      </c>
    </row>
    <row r="58" spans="1:8" x14ac:dyDescent="0.25">
      <c r="A58" s="38">
        <v>55</v>
      </c>
      <c r="B58" s="55">
        <v>131.22</v>
      </c>
      <c r="C58" s="53">
        <f>B4</f>
        <v>102.32</v>
      </c>
      <c r="D58" s="53">
        <f>B58-$B$65</f>
        <v>-2.2924999999999898</v>
      </c>
      <c r="E58" s="53">
        <f>C58-$B$66</f>
        <v>0.13250000000000739</v>
      </c>
      <c r="F58" s="4">
        <f>D58*E58</f>
        <v>-0.3037562500000156</v>
      </c>
      <c r="G58" s="4">
        <f t="shared" ref="G58:H61" si="0">D58*D58</f>
        <v>5.2555562499999535</v>
      </c>
      <c r="H58" s="4">
        <f t="shared" si="0"/>
        <v>1.7556250000001959E-2</v>
      </c>
    </row>
    <row r="59" spans="1:8" x14ac:dyDescent="0.25">
      <c r="A59" s="38">
        <v>56</v>
      </c>
      <c r="B59" s="55">
        <v>132.52000000000001</v>
      </c>
      <c r="C59" s="53">
        <f>B5</f>
        <v>102.21</v>
      </c>
      <c r="D59" s="53">
        <f>B59-$B$65</f>
        <v>-0.9924999999999784</v>
      </c>
      <c r="E59" s="53">
        <f>C59-$B$66</f>
        <v>2.2500000000007958E-2</v>
      </c>
      <c r="F59" s="4">
        <f>D59*E59</f>
        <v>-2.2331250000007411E-2</v>
      </c>
      <c r="G59" s="4">
        <f t="shared" si="0"/>
        <v>0.98505624999995711</v>
      </c>
      <c r="H59" s="4">
        <f t="shared" si="0"/>
        <v>5.0625000000035808E-4</v>
      </c>
    </row>
    <row r="60" spans="1:8" x14ac:dyDescent="0.25">
      <c r="A60" s="38">
        <v>57</v>
      </c>
      <c r="B60" s="55">
        <v>134.25</v>
      </c>
      <c r="C60" s="53">
        <f>B6</f>
        <v>102.16</v>
      </c>
      <c r="D60" s="53">
        <f>B60-$B$65</f>
        <v>0.73750000000001137</v>
      </c>
      <c r="E60" s="53">
        <f>C60-$B$66</f>
        <v>-2.74999999999892E-2</v>
      </c>
      <c r="F60" s="4">
        <f>D60*E60</f>
        <v>-2.0281249999992347E-2</v>
      </c>
      <c r="G60" s="4">
        <f t="shared" si="0"/>
        <v>0.5439062500000168</v>
      </c>
      <c r="H60" s="4">
        <f t="shared" si="0"/>
        <v>7.5624999999940594E-4</v>
      </c>
    </row>
    <row r="61" spans="1:8" x14ac:dyDescent="0.25">
      <c r="A61" s="38">
        <v>58</v>
      </c>
      <c r="B61" s="55">
        <v>136.06</v>
      </c>
      <c r="C61" s="53">
        <f>B7</f>
        <v>102.06</v>
      </c>
      <c r="D61" s="53">
        <f>B61-$B$65</f>
        <v>2.5475000000000136</v>
      </c>
      <c r="E61" s="53">
        <f>C61-$B$66</f>
        <v>-0.12749999999998352</v>
      </c>
      <c r="F61" s="4">
        <f>D61*E61</f>
        <v>-0.32480624999995972</v>
      </c>
      <c r="G61" s="4">
        <f t="shared" si="0"/>
        <v>6.4897562500000694</v>
      </c>
      <c r="H61" s="4">
        <f t="shared" si="0"/>
        <v>1.6256249999995795E-2</v>
      </c>
    </row>
    <row r="62" spans="1:8" x14ac:dyDescent="0.25">
      <c r="A62" s="38" t="s">
        <v>76</v>
      </c>
      <c r="B62" s="49">
        <f>SUM(B4:B61)</f>
        <v>7013.130000000001</v>
      </c>
      <c r="C62" s="49">
        <f t="shared" ref="C62:H62" si="1">SUM(C4:C61)</f>
        <v>408.74999999999994</v>
      </c>
      <c r="D62" s="49">
        <f t="shared" si="1"/>
        <v>5.6843418860808015E-14</v>
      </c>
      <c r="E62" s="49">
        <f t="shared" si="1"/>
        <v>4.2632564145606011E-14</v>
      </c>
      <c r="F62" s="49">
        <f t="shared" si="1"/>
        <v>-0.6711749999999751</v>
      </c>
      <c r="G62" s="49">
        <f t="shared" si="1"/>
        <v>13.274274999999996</v>
      </c>
      <c r="H62" s="49">
        <f t="shared" si="1"/>
        <v>3.5074999999997518E-2</v>
      </c>
    </row>
    <row r="63" spans="1:8" x14ac:dyDescent="0.25">
      <c r="A63" s="38" t="s">
        <v>77</v>
      </c>
      <c r="B63" s="49">
        <f>AVERAGE(B4:B61)</f>
        <v>120.91603448275863</v>
      </c>
      <c r="C63" s="49">
        <f>AVERAGE(C4:C61)</f>
        <v>102.18749999999999</v>
      </c>
      <c r="D63" s="38"/>
      <c r="E63" s="38"/>
      <c r="F63" s="38"/>
      <c r="G63" s="38"/>
      <c r="H63" s="38"/>
    </row>
    <row r="64" spans="1:8" x14ac:dyDescent="0.25">
      <c r="A64" s="38"/>
      <c r="B64" s="38"/>
      <c r="C64" s="38"/>
      <c r="D64" s="38"/>
      <c r="E64" s="38"/>
      <c r="F64" s="38"/>
      <c r="G64" s="38"/>
      <c r="H64" s="38"/>
    </row>
    <row r="65" spans="1:8" ht="18" x14ac:dyDescent="0.35">
      <c r="A65" s="38" t="s">
        <v>554</v>
      </c>
      <c r="B65" s="49">
        <f>SUM(B58:B61)/4</f>
        <v>133.51249999999999</v>
      </c>
      <c r="C65" s="38"/>
      <c r="D65" s="38"/>
      <c r="E65" s="38"/>
      <c r="F65" s="38"/>
      <c r="G65" s="38"/>
      <c r="H65" s="38"/>
    </row>
    <row r="66" spans="1:8" ht="18" x14ac:dyDescent="0.35">
      <c r="A66" s="38" t="s">
        <v>555</v>
      </c>
      <c r="B66" s="38">
        <f>SUM(C58:C61)/4</f>
        <v>102.18749999999999</v>
      </c>
      <c r="C66" s="38"/>
      <c r="D66" s="38"/>
      <c r="E66" s="38"/>
      <c r="F66" s="38"/>
      <c r="G66" s="38"/>
      <c r="H66" s="38"/>
    </row>
    <row r="67" spans="1:8" x14ac:dyDescent="0.25">
      <c r="A67" s="38"/>
      <c r="B67" s="38"/>
      <c r="C67" s="38"/>
      <c r="D67" s="38"/>
      <c r="E67" s="38"/>
      <c r="F67" s="38"/>
      <c r="G67" s="38"/>
      <c r="H67" s="38"/>
    </row>
    <row r="68" spans="1:8" ht="18" x14ac:dyDescent="0.35">
      <c r="A68" s="38" t="s">
        <v>556</v>
      </c>
      <c r="B68" s="38">
        <f>F62/SQRT(G62*H62)</f>
        <v>-0.98362945733469231</v>
      </c>
      <c r="C68" s="38"/>
      <c r="D68" s="38"/>
      <c r="E68" s="38"/>
      <c r="F68" s="38"/>
      <c r="G68" s="38"/>
      <c r="H68" s="3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90</vt:i4>
      </vt:variant>
    </vt:vector>
  </HeadingPairs>
  <TitlesOfParts>
    <vt:vector size="90" baseType="lpstr">
      <vt:lpstr>АД исход данных</vt:lpstr>
      <vt:lpstr>Тит лист</vt:lpstr>
      <vt:lpstr>Выводы</vt:lpstr>
      <vt:lpstr>анализ врем ряда</vt:lpstr>
      <vt:lpstr>анализ У от Х1</vt:lpstr>
      <vt:lpstr>анализ У от Х2</vt:lpstr>
      <vt:lpstr>анализ У от Х3</vt:lpstr>
      <vt:lpstr>анализ У от Х4</vt:lpstr>
      <vt:lpstr>анализ У от Х5</vt:lpstr>
      <vt:lpstr>анализ У от Х6</vt:lpstr>
      <vt:lpstr>анализ Многофак</vt:lpstr>
      <vt:lpstr>анализ Y от t-1</vt:lpstr>
      <vt:lpstr>анализ Y от t-2</vt:lpstr>
      <vt:lpstr>Мультикол (коррел)</vt:lpstr>
      <vt:lpstr>Исслед сезон</vt:lpstr>
      <vt:lpstr>Тренд (лин)</vt:lpstr>
      <vt:lpstr>Y от Х5 и Х6</vt:lpstr>
      <vt:lpstr>Y от Х6</vt:lpstr>
      <vt:lpstr>Y от Х5</vt:lpstr>
      <vt:lpstr>Y от Х4</vt:lpstr>
      <vt:lpstr>Y от Х3</vt:lpstr>
      <vt:lpstr>Y от Х2</vt:lpstr>
      <vt:lpstr>Y от Х1</vt:lpstr>
      <vt:lpstr>Y от t-1</vt:lpstr>
      <vt:lpstr>Y от t-2</vt:lpstr>
      <vt:lpstr>все Х</vt:lpstr>
      <vt:lpstr>АД Y от Х5 и Х6</vt:lpstr>
      <vt:lpstr>АД Y от t-1</vt:lpstr>
      <vt:lpstr>АД Y от t-2</vt:lpstr>
      <vt:lpstr>АД Y от Х6</vt:lpstr>
      <vt:lpstr>АД Y от Х5</vt:lpstr>
      <vt:lpstr>АД Y от Х4</vt:lpstr>
      <vt:lpstr>АД Y от Х3</vt:lpstr>
      <vt:lpstr>АД Y от Х2</vt:lpstr>
      <vt:lpstr>АД Y от Х1</vt:lpstr>
      <vt:lpstr>АД тренд (лин)</vt:lpstr>
      <vt:lpstr>r1 ВР</vt:lpstr>
      <vt:lpstr>r2 ВР</vt:lpstr>
      <vt:lpstr>r3 ВР</vt:lpstr>
      <vt:lpstr>r4 ВР</vt:lpstr>
      <vt:lpstr>r5 ВР</vt:lpstr>
      <vt:lpstr>r6 ВР</vt:lpstr>
      <vt:lpstr>r7 ВР</vt:lpstr>
      <vt:lpstr>r8 ВР</vt:lpstr>
      <vt:lpstr>r9 ВР</vt:lpstr>
      <vt:lpstr>r10 ВР</vt:lpstr>
      <vt:lpstr>r11 ВР</vt:lpstr>
      <vt:lpstr>r12 ВР</vt:lpstr>
      <vt:lpstr>r13 ВР</vt:lpstr>
      <vt:lpstr>r14 ВР</vt:lpstr>
      <vt:lpstr>r15 ВР</vt:lpstr>
      <vt:lpstr>r16 ВР</vt:lpstr>
      <vt:lpstr>r17 ВР</vt:lpstr>
      <vt:lpstr>r18 ВР</vt:lpstr>
      <vt:lpstr>r19 ВР</vt:lpstr>
      <vt:lpstr>r20 ВР</vt:lpstr>
      <vt:lpstr>r21 ВР</vt:lpstr>
      <vt:lpstr>r22 ВР</vt:lpstr>
      <vt:lpstr>r23 ВР</vt:lpstr>
      <vt:lpstr>r24 ВР</vt:lpstr>
      <vt:lpstr>r25 ВР</vt:lpstr>
      <vt:lpstr>r26 ВР</vt:lpstr>
      <vt:lpstr>r27 ВР</vt:lpstr>
      <vt:lpstr>r28 ВР</vt:lpstr>
      <vt:lpstr>r29 ВР</vt:lpstr>
      <vt:lpstr>r30 ВР</vt:lpstr>
      <vt:lpstr>r31 ВР</vt:lpstr>
      <vt:lpstr>r32 ВР</vt:lpstr>
      <vt:lpstr>r33 ВР</vt:lpstr>
      <vt:lpstr>r34 ВР</vt:lpstr>
      <vt:lpstr>r35 ВР</vt:lpstr>
      <vt:lpstr>r36 ВР</vt:lpstr>
      <vt:lpstr>r37 ВР</vt:lpstr>
      <vt:lpstr>r38 ВР</vt:lpstr>
      <vt:lpstr>r39 ВР</vt:lpstr>
      <vt:lpstr>r40 ВР</vt:lpstr>
      <vt:lpstr>r41 ВР</vt:lpstr>
      <vt:lpstr>r42 ВР</vt:lpstr>
      <vt:lpstr>r43 ВР</vt:lpstr>
      <vt:lpstr>r44 ВР</vt:lpstr>
      <vt:lpstr>r45 ВР</vt:lpstr>
      <vt:lpstr>r46 ВР</vt:lpstr>
      <vt:lpstr>r47 ВР</vt:lpstr>
      <vt:lpstr>r48 ВР</vt:lpstr>
      <vt:lpstr>r49 ВР</vt:lpstr>
      <vt:lpstr>r50 ВР</vt:lpstr>
      <vt:lpstr>r51 ВР</vt:lpstr>
      <vt:lpstr>r52ВР</vt:lpstr>
      <vt:lpstr>r53 ВР</vt:lpstr>
      <vt:lpstr>r54 ВР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Олеся</dc:creator>
  <cp:lastModifiedBy>Olesia Repina</cp:lastModifiedBy>
  <dcterms:created xsi:type="dcterms:W3CDTF">2021-02-23T08:42:20Z</dcterms:created>
  <dcterms:modified xsi:type="dcterms:W3CDTF">2023-08-07T19:37:02Z</dcterms:modified>
</cp:coreProperties>
</file>