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elipe/Desktop/"/>
    </mc:Choice>
  </mc:AlternateContent>
  <xr:revisionPtr revIDLastSave="0" documentId="13_ncr:1_{5636DA1A-D97F-114B-9EBE-67AA49EB8408}" xr6:coauthVersionLast="47" xr6:coauthVersionMax="47" xr10:uidLastSave="{00000000-0000-0000-0000-000000000000}"/>
  <bookViews>
    <workbookView xWindow="30080" yWindow="620" windowWidth="30080" windowHeight="31420" activeTab="5" xr2:uid="{2C4A84BD-A3DB-4AA8-A534-AEF0133E117B}"/>
  </bookViews>
  <sheets>
    <sheet name="ESTUDO" sheetId="33" state="hidden" r:id="rId1"/>
    <sheet name="QUOTE" sheetId="34" state="hidden" r:id="rId2"/>
    <sheet name="DESKQUOTE" sheetId="31" state="hidden" r:id="rId3"/>
    <sheet name="Base" sheetId="36" state="hidden" r:id="rId4"/>
    <sheet name="INPUTS" sheetId="35" r:id="rId5"/>
    <sheet name="Pricing" sheetId="37" r:id="rId6"/>
    <sheet name="Input data (H1 - estimativa)" sheetId="39" r:id="rId7"/>
    <sheet name="Input data (H2 - emissão)" sheetId="38" r:id="rId8"/>
    <sheet name="Coberturas" sheetId="41" r:id="rId9"/>
    <sheet name="_56F9DC9755BA473782653E2940F9" sheetId="27" state="veryHidden" r:id="rId10"/>
  </sheets>
  <definedNames>
    <definedName name="_56F9DC9755BA473782653E2940F9FormId">"EaXCu8ZhwUatP2uZAJ-3ueYWqckLrT9Bm1TAMwzEdPxUMVpVWU5TRzlOU1VRM0RQRUlOWkM5MlhOUCQlQCN0PWcu"</definedName>
    <definedName name="_56F9DC9755BA473782653E2940F9ResponseSheet">"Form1"</definedName>
    <definedName name="_56F9DC9755BA473782653E2940F9SourceDocId">"{33744e44-e5e6-4742-8c7c-9ace6326242f}"</definedName>
    <definedName name="_xlnm._FilterDatabase" localSheetId="3" hidden="1">INPUTS!#REF!</definedName>
    <definedName name="_xlnm._FilterDatabase" localSheetId="0" hidden="1">ESTUDO!$N$4:$N$20</definedName>
    <definedName name="_xlnm._FilterDatabase" localSheetId="1" hidden="1">INPUTS!#REF!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7" l="1"/>
  <c r="D22" i="37"/>
  <c r="D21" i="37"/>
  <c r="E23" i="37" l="1"/>
  <c r="E21" i="37"/>
  <c r="E5" i="37"/>
  <c r="C9" i="37"/>
  <c r="K15" i="37"/>
  <c r="L15" i="37" s="1"/>
  <c r="K14" i="37"/>
  <c r="L14" i="37" s="1"/>
  <c r="K13" i="37"/>
  <c r="L13" i="37" s="1"/>
  <c r="K12" i="37"/>
  <c r="L12" i="37" s="1"/>
  <c r="K11" i="37"/>
  <c r="L11" i="37" s="1"/>
  <c r="K10" i="37"/>
  <c r="L10" i="37" s="1"/>
  <c r="K9" i="37"/>
  <c r="L9" i="37" s="1"/>
  <c r="K8" i="37"/>
  <c r="L8" i="37" s="1"/>
  <c r="K7" i="37"/>
  <c r="L7" i="37" s="1"/>
  <c r="K6" i="37"/>
  <c r="L6" i="37" s="1"/>
  <c r="D24" i="37"/>
  <c r="E24" i="37" s="1"/>
  <c r="E22" i="37"/>
  <c r="L5" i="37"/>
  <c r="F11" i="36"/>
  <c r="D32" i="37"/>
  <c r="E32" i="37" s="1"/>
  <c r="D31" i="37"/>
  <c r="E31" i="37" s="1"/>
  <c r="D30" i="37"/>
  <c r="E30" i="37" s="1"/>
  <c r="D29" i="37"/>
  <c r="E29" i="37" s="1"/>
  <c r="D28" i="37"/>
  <c r="E28" i="37" s="1"/>
  <c r="D27" i="37"/>
  <c r="E27" i="37" s="1"/>
  <c r="D26" i="37"/>
  <c r="E26" i="37" s="1"/>
  <c r="D25" i="37"/>
  <c r="E25" i="37" s="1"/>
  <c r="K55" i="36"/>
  <c r="K56" i="36"/>
  <c r="K57" i="36"/>
  <c r="K58" i="36"/>
  <c r="K59" i="36"/>
  <c r="K54" i="36"/>
  <c r="G20" i="36"/>
  <c r="E10" i="36"/>
  <c r="E33" i="37" l="1"/>
  <c r="P6" i="37" s="1"/>
  <c r="G15" i="37"/>
  <c r="M15" i="37" s="1"/>
  <c r="C7" i="37"/>
  <c r="E6" i="37"/>
  <c r="E12" i="37"/>
  <c r="E8" i="37"/>
  <c r="C11" i="37"/>
  <c r="C5" i="37"/>
  <c r="C12" i="37"/>
  <c r="C8" i="37"/>
  <c r="I15" i="37"/>
  <c r="O15" i="37" s="1"/>
  <c r="E11" i="37"/>
  <c r="E7" i="37"/>
  <c r="C14" i="37"/>
  <c r="C10" i="37"/>
  <c r="C6" i="37"/>
  <c r="E14" i="37"/>
  <c r="I14" i="37" s="1"/>
  <c r="O14" i="37" s="1"/>
  <c r="AC14" i="37" s="1"/>
  <c r="E10" i="37"/>
  <c r="C13" i="37"/>
  <c r="G13" i="37" s="1"/>
  <c r="M13" i="37" s="1"/>
  <c r="E13" i="37"/>
  <c r="E9" i="37"/>
  <c r="D33" i="37"/>
  <c r="G27" i="36"/>
  <c r="G29" i="36"/>
  <c r="G26" i="36"/>
  <c r="G25" i="36"/>
  <c r="G24" i="36"/>
  <c r="G22" i="36"/>
  <c r="G19" i="36"/>
  <c r="F9" i="36"/>
  <c r="A4" i="35"/>
  <c r="G28" i="36"/>
  <c r="E9" i="36"/>
  <c r="L64" i="35"/>
  <c r="G44" i="36"/>
  <c r="Q46" i="35"/>
  <c r="R46" i="35" s="1"/>
  <c r="Q47" i="35"/>
  <c r="R47" i="35" s="1"/>
  <c r="Q48" i="35"/>
  <c r="R48" i="35" s="1"/>
  <c r="Q49" i="35"/>
  <c r="R49" i="35" s="1"/>
  <c r="Q50" i="35"/>
  <c r="R50" i="35" s="1"/>
  <c r="Q51" i="35"/>
  <c r="R51" i="35" s="1"/>
  <c r="Q52" i="35"/>
  <c r="R52" i="35" s="1"/>
  <c r="Q53" i="35"/>
  <c r="R53" i="35" s="1"/>
  <c r="Q54" i="35"/>
  <c r="R54" i="35" s="1"/>
  <c r="Q55" i="35"/>
  <c r="R55" i="35" s="1"/>
  <c r="F10" i="36"/>
  <c r="E14" i="34"/>
  <c r="C9" i="35"/>
  <c r="C10" i="35" s="1"/>
  <c r="B9" i="35"/>
  <c r="B8" i="35"/>
  <c r="B7" i="35"/>
  <c r="D6" i="35"/>
  <c r="D7" i="35" s="1"/>
  <c r="D8" i="35" s="1"/>
  <c r="D9" i="35" s="1"/>
  <c r="D10" i="35" s="1"/>
  <c r="D11" i="35" s="1"/>
  <c r="D12" i="35" s="1"/>
  <c r="D13" i="35" s="1"/>
  <c r="D14" i="35" s="1"/>
  <c r="D15" i="35" s="1"/>
  <c r="D16" i="35" s="1"/>
  <c r="D17" i="35" s="1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49" i="35" s="1"/>
  <c r="D50" i="35" s="1"/>
  <c r="D51" i="35" s="1"/>
  <c r="D52" i="35" s="1"/>
  <c r="D53" i="35" s="1"/>
  <c r="D54" i="35" s="1"/>
  <c r="D55" i="35" s="1"/>
  <c r="D56" i="35" s="1"/>
  <c r="D57" i="35" s="1"/>
  <c r="D58" i="35" s="1"/>
  <c r="D59" i="35" s="1"/>
  <c r="D60" i="35" s="1"/>
  <c r="B6" i="35"/>
  <c r="G23" i="36"/>
  <c r="G21" i="36"/>
  <c r="E17" i="34"/>
  <c r="G9" i="35"/>
  <c r="G10" i="35" s="1"/>
  <c r="F11" i="35" s="1"/>
  <c r="F9" i="35"/>
  <c r="F8" i="35"/>
  <c r="F7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F6" i="35"/>
  <c r="E28" i="34"/>
  <c r="E18" i="34"/>
  <c r="AA14" i="37" l="1"/>
  <c r="AE14" i="37"/>
  <c r="O21" i="37"/>
  <c r="AC15" i="37"/>
  <c r="O24" i="37"/>
  <c r="O18" i="37"/>
  <c r="G14" i="37"/>
  <c r="M14" i="37" s="1"/>
  <c r="G12" i="37"/>
  <c r="M12" i="37" s="1"/>
  <c r="I13" i="37"/>
  <c r="O13" i="37" s="1"/>
  <c r="AC13" i="37" s="1"/>
  <c r="P15" i="37"/>
  <c r="R15" i="37" s="1"/>
  <c r="P7" i="37"/>
  <c r="P11" i="37"/>
  <c r="P10" i="37"/>
  <c r="P8" i="37"/>
  <c r="P14" i="37"/>
  <c r="P13" i="37"/>
  <c r="R13" i="37" s="1"/>
  <c r="AB13" i="37" s="1"/>
  <c r="P5" i="37"/>
  <c r="P12" i="37"/>
  <c r="P9" i="37"/>
  <c r="F15" i="36"/>
  <c r="F3" i="36"/>
  <c r="B11" i="35"/>
  <c r="C11" i="35"/>
  <c r="C12" i="35" s="1"/>
  <c r="B13" i="35" s="1"/>
  <c r="B10" i="35"/>
  <c r="F10" i="35"/>
  <c r="G11" i="35"/>
  <c r="E22" i="34"/>
  <c r="E21" i="34"/>
  <c r="AE13" i="37" l="1"/>
  <c r="AA13" i="37"/>
  <c r="O20" i="37"/>
  <c r="AB15" i="37"/>
  <c r="AD13" i="37"/>
  <c r="Z13" i="37"/>
  <c r="AA15" i="37"/>
  <c r="AE15" i="37"/>
  <c r="O23" i="37"/>
  <c r="O17" i="37"/>
  <c r="R14" i="37"/>
  <c r="S15" i="37"/>
  <c r="T15" i="37"/>
  <c r="W15" i="37" s="1"/>
  <c r="U15" i="37"/>
  <c r="S13" i="37"/>
  <c r="U13" i="37"/>
  <c r="T13" i="37"/>
  <c r="W13" i="37" s="1"/>
  <c r="R12" i="37"/>
  <c r="AB12" i="37" s="1"/>
  <c r="I12" i="37"/>
  <c r="O12" i="37" s="1"/>
  <c r="AC12" i="37" s="1"/>
  <c r="G11" i="37"/>
  <c r="M11" i="37" s="1"/>
  <c r="R11" i="37" s="1"/>
  <c r="AB11" i="37" s="1"/>
  <c r="B12" i="35"/>
  <c r="G14" i="36"/>
  <c r="C13" i="35"/>
  <c r="B14" i="35" s="1"/>
  <c r="G12" i="35"/>
  <c r="F12" i="35"/>
  <c r="D3" i="34"/>
  <c r="X13" i="37" l="1"/>
  <c r="AJ13" i="37" s="1"/>
  <c r="AI13" i="37"/>
  <c r="X15" i="37"/>
  <c r="AJ15" i="37" s="1"/>
  <c r="AI15" i="37"/>
  <c r="AA12" i="37"/>
  <c r="AE12" i="37"/>
  <c r="AD12" i="37"/>
  <c r="Z12" i="37"/>
  <c r="Z11" i="37"/>
  <c r="AD11" i="37"/>
  <c r="Z15" i="37"/>
  <c r="AD15" i="37"/>
  <c r="S14" i="37"/>
  <c r="AB14" i="37"/>
  <c r="U14" i="37"/>
  <c r="T14" i="37"/>
  <c r="W14" i="37" s="1"/>
  <c r="S11" i="37"/>
  <c r="U11" i="37"/>
  <c r="T11" i="37"/>
  <c r="W11" i="37" s="1"/>
  <c r="S12" i="37"/>
  <c r="U12" i="37"/>
  <c r="T12" i="37"/>
  <c r="W12" i="37" s="1"/>
  <c r="I11" i="37"/>
  <c r="O11" i="37" s="1"/>
  <c r="AC11" i="37" s="1"/>
  <c r="G10" i="37"/>
  <c r="M10" i="37" s="1"/>
  <c r="R10" i="37" s="1"/>
  <c r="AB10" i="37" s="1"/>
  <c r="C14" i="35"/>
  <c r="C15" i="35" s="1"/>
  <c r="B15" i="35"/>
  <c r="G13" i="35"/>
  <c r="F13" i="35"/>
  <c r="F17" i="34"/>
  <c r="F22" i="34"/>
  <c r="F21" i="34"/>
  <c r="E20" i="34"/>
  <c r="F20" i="34" s="1"/>
  <c r="E16" i="34"/>
  <c r="F16" i="34" s="1"/>
  <c r="E15" i="34"/>
  <c r="F14" i="34"/>
  <c r="E13" i="34"/>
  <c r="F13" i="34" s="1"/>
  <c r="E19" i="34"/>
  <c r="F19" i="34" s="1"/>
  <c r="F18" i="34"/>
  <c r="E12" i="34"/>
  <c r="AK15" i="37" l="1"/>
  <c r="AG15" i="37"/>
  <c r="AL15" i="37"/>
  <c r="AH15" i="37"/>
  <c r="X11" i="37"/>
  <c r="AJ11" i="37" s="1"/>
  <c r="AI11" i="37"/>
  <c r="X12" i="37"/>
  <c r="AJ12" i="37" s="1"/>
  <c r="AI12" i="37"/>
  <c r="AG13" i="37"/>
  <c r="AK13" i="37"/>
  <c r="X14" i="37"/>
  <c r="AJ14" i="37" s="1"/>
  <c r="AI14" i="37"/>
  <c r="AL13" i="37"/>
  <c r="AH13" i="37"/>
  <c r="Z10" i="37"/>
  <c r="AD10" i="37"/>
  <c r="Z14" i="37"/>
  <c r="AD14" i="37"/>
  <c r="AA11" i="37"/>
  <c r="AE11" i="37"/>
  <c r="S10" i="37"/>
  <c r="T10" i="37"/>
  <c r="W10" i="37" s="1"/>
  <c r="U10" i="37"/>
  <c r="G9" i="37"/>
  <c r="M9" i="37" s="1"/>
  <c r="R9" i="37" s="1"/>
  <c r="AB9" i="37" s="1"/>
  <c r="I10" i="37"/>
  <c r="O10" i="37" s="1"/>
  <c r="AC10" i="37" s="1"/>
  <c r="C16" i="35"/>
  <c r="B16" i="35"/>
  <c r="E30" i="34"/>
  <c r="F14" i="35"/>
  <c r="G14" i="35"/>
  <c r="F15" i="34"/>
  <c r="F12" i="34"/>
  <c r="E23" i="34"/>
  <c r="AH12" i="37" l="1"/>
  <c r="AL12" i="37"/>
  <c r="AG12" i="37"/>
  <c r="AK12" i="37"/>
  <c r="AK11" i="37"/>
  <c r="AG11" i="37"/>
  <c r="X10" i="37"/>
  <c r="AJ10" i="37" s="1"/>
  <c r="AI10" i="37"/>
  <c r="AG14" i="37"/>
  <c r="AK14" i="37"/>
  <c r="AL11" i="37"/>
  <c r="AH11" i="37"/>
  <c r="AH14" i="37"/>
  <c r="AL14" i="37"/>
  <c r="Z9" i="37"/>
  <c r="AD9" i="37"/>
  <c r="AE10" i="37"/>
  <c r="AA10" i="37"/>
  <c r="S9" i="37"/>
  <c r="T9" i="37"/>
  <c r="W9" i="37" s="1"/>
  <c r="U9" i="37"/>
  <c r="I9" i="37"/>
  <c r="O9" i="37" s="1"/>
  <c r="AC9" i="37" s="1"/>
  <c r="G8" i="37"/>
  <c r="M8" i="37" s="1"/>
  <c r="R8" i="37" s="1"/>
  <c r="AB8" i="37" s="1"/>
  <c r="C17" i="35"/>
  <c r="B17" i="35"/>
  <c r="F15" i="35"/>
  <c r="G15" i="35"/>
  <c r="F29" i="34"/>
  <c r="AG10" i="37" l="1"/>
  <c r="AK10" i="37"/>
  <c r="X9" i="37"/>
  <c r="AJ9" i="37" s="1"/>
  <c r="AI9" i="37"/>
  <c r="AL10" i="37"/>
  <c r="AH10" i="37"/>
  <c r="AD8" i="37"/>
  <c r="Z8" i="37"/>
  <c r="AA9" i="37"/>
  <c r="AE9" i="37"/>
  <c r="S8" i="37"/>
  <c r="T8" i="37"/>
  <c r="W8" i="37" s="1"/>
  <c r="U8" i="37"/>
  <c r="G7" i="37"/>
  <c r="M7" i="37" s="1"/>
  <c r="R7" i="37" s="1"/>
  <c r="AB7" i="37" s="1"/>
  <c r="I8" i="37"/>
  <c r="O8" i="37" s="1"/>
  <c r="AC8" i="37" s="1"/>
  <c r="C18" i="35"/>
  <c r="B18" i="35"/>
  <c r="G16" i="35"/>
  <c r="F16" i="35"/>
  <c r="G34" i="34"/>
  <c r="E34" i="34"/>
  <c r="F32" i="34" s="1"/>
  <c r="G29" i="34"/>
  <c r="C82" i="33"/>
  <c r="D82" i="33" s="1"/>
  <c r="E82" i="33" s="1"/>
  <c r="E81" i="33" s="1"/>
  <c r="C83" i="33"/>
  <c r="D83" i="33" s="1"/>
  <c r="E83" i="33" s="1"/>
  <c r="F86" i="33" s="1"/>
  <c r="C84" i="33"/>
  <c r="E84" i="33" s="1"/>
  <c r="F87" i="33" s="1"/>
  <c r="D14" i="33"/>
  <c r="D12" i="33"/>
  <c r="AG9" i="37" l="1"/>
  <c r="AK9" i="37"/>
  <c r="AH9" i="37"/>
  <c r="AL9" i="37"/>
  <c r="X8" i="37"/>
  <c r="AJ8" i="37" s="1"/>
  <c r="AI8" i="37"/>
  <c r="AE8" i="37"/>
  <c r="AA8" i="37"/>
  <c r="Z7" i="37"/>
  <c r="AD7" i="37"/>
  <c r="S7" i="37"/>
  <c r="T7" i="37"/>
  <c r="W7" i="37" s="1"/>
  <c r="U7" i="37"/>
  <c r="I7" i="37"/>
  <c r="O7" i="37" s="1"/>
  <c r="AC7" i="37" s="1"/>
  <c r="G5" i="37"/>
  <c r="M5" i="37" s="1"/>
  <c r="R5" i="37" s="1"/>
  <c r="AB5" i="37" s="1"/>
  <c r="G6" i="37"/>
  <c r="M6" i="37" s="1"/>
  <c r="R6" i="37" s="1"/>
  <c r="AB6" i="37" s="1"/>
  <c r="B19" i="35"/>
  <c r="C19" i="35"/>
  <c r="I34" i="34"/>
  <c r="E45" i="34"/>
  <c r="E55" i="34"/>
  <c r="G41" i="34"/>
  <c r="J34" i="34"/>
  <c r="G17" i="35"/>
  <c r="F17" i="35"/>
  <c r="G35" i="34"/>
  <c r="E41" i="34"/>
  <c r="E39" i="34"/>
  <c r="E38" i="34"/>
  <c r="E37" i="34"/>
  <c r="E36" i="34"/>
  <c r="E35" i="34"/>
  <c r="E40" i="34"/>
  <c r="G40" i="34"/>
  <c r="G36" i="34"/>
  <c r="G37" i="34"/>
  <c r="G38" i="34"/>
  <c r="J38" i="34" s="1"/>
  <c r="G39" i="34"/>
  <c r="H34" i="34"/>
  <c r="F85" i="33"/>
  <c r="F88" i="33" s="1"/>
  <c r="AK8" i="37" l="1"/>
  <c r="AG8" i="37"/>
  <c r="AL8" i="37"/>
  <c r="AH8" i="37"/>
  <c r="X7" i="37"/>
  <c r="AJ7" i="37" s="1"/>
  <c r="AI7" i="37"/>
  <c r="Z6" i="37"/>
  <c r="AD6" i="37"/>
  <c r="AD5" i="37"/>
  <c r="Z5" i="37"/>
  <c r="AE7" i="37"/>
  <c r="AA7" i="37"/>
  <c r="S6" i="37"/>
  <c r="T6" i="37"/>
  <c r="W6" i="37" s="1"/>
  <c r="U6" i="37"/>
  <c r="S5" i="37"/>
  <c r="T5" i="37"/>
  <c r="W5" i="37" s="1"/>
  <c r="U5" i="37"/>
  <c r="I6" i="37"/>
  <c r="O6" i="37" s="1"/>
  <c r="AC6" i="37" s="1"/>
  <c r="I5" i="37"/>
  <c r="O5" i="37" s="1"/>
  <c r="AC5" i="37" s="1"/>
  <c r="C20" i="35"/>
  <c r="B20" i="35"/>
  <c r="L55" i="34"/>
  <c r="K55" i="34"/>
  <c r="K45" i="34"/>
  <c r="L45" i="34"/>
  <c r="I3" i="34"/>
  <c r="J41" i="34"/>
  <c r="K41" i="34" s="1"/>
  <c r="L41" i="34" s="1"/>
  <c r="J40" i="34"/>
  <c r="K40" i="34" s="1"/>
  <c r="L40" i="34" s="1"/>
  <c r="J39" i="34"/>
  <c r="K39" i="34" s="1"/>
  <c r="L39" i="34" s="1"/>
  <c r="E58" i="34"/>
  <c r="J37" i="34"/>
  <c r="K37" i="34" s="1"/>
  <c r="L37" i="34" s="1"/>
  <c r="E57" i="34"/>
  <c r="J35" i="34"/>
  <c r="K35" i="34" s="1"/>
  <c r="L35" i="34" s="1"/>
  <c r="E46" i="34"/>
  <c r="F55" i="34"/>
  <c r="F45" i="34"/>
  <c r="G45" i="34" s="1"/>
  <c r="J36" i="34"/>
  <c r="K36" i="34" s="1"/>
  <c r="L36" i="34" s="1"/>
  <c r="E56" i="34"/>
  <c r="H41" i="34"/>
  <c r="E52" i="34"/>
  <c r="I41" i="34"/>
  <c r="G18" i="35"/>
  <c r="F18" i="35"/>
  <c r="H35" i="34"/>
  <c r="H36" i="34"/>
  <c r="E51" i="34"/>
  <c r="I35" i="34"/>
  <c r="E47" i="34"/>
  <c r="I40" i="34"/>
  <c r="H40" i="34"/>
  <c r="I36" i="34"/>
  <c r="I38" i="34"/>
  <c r="E48" i="34"/>
  <c r="E49" i="34"/>
  <c r="H38" i="34"/>
  <c r="K34" i="34"/>
  <c r="L34" i="34" s="1"/>
  <c r="E50" i="34"/>
  <c r="K50" i="34" s="1"/>
  <c r="H37" i="34"/>
  <c r="I39" i="34"/>
  <c r="F34" i="34"/>
  <c r="H39" i="34"/>
  <c r="I37" i="34"/>
  <c r="F37" i="34"/>
  <c r="K38" i="34"/>
  <c r="L38" i="34" s="1"/>
  <c r="F38" i="34"/>
  <c r="F36" i="34"/>
  <c r="F35" i="34"/>
  <c r="F39" i="34"/>
  <c r="F40" i="34"/>
  <c r="F41" i="34"/>
  <c r="H79" i="33"/>
  <c r="G80" i="33" s="1"/>
  <c r="G79" i="33"/>
  <c r="G78" i="33"/>
  <c r="C78" i="33"/>
  <c r="G77" i="33"/>
  <c r="I76" i="33"/>
  <c r="I77" i="33" s="1"/>
  <c r="I78" i="33" s="1"/>
  <c r="I79" i="33" s="1"/>
  <c r="I80" i="33" s="1"/>
  <c r="I81" i="33" s="1"/>
  <c r="I82" i="33" s="1"/>
  <c r="I83" i="33" s="1"/>
  <c r="I84" i="33" s="1"/>
  <c r="I85" i="33" s="1"/>
  <c r="I86" i="33" s="1"/>
  <c r="I87" i="33" s="1"/>
  <c r="I88" i="33" s="1"/>
  <c r="I89" i="33" s="1"/>
  <c r="I90" i="33" s="1"/>
  <c r="I91" i="33" s="1"/>
  <c r="I92" i="33" s="1"/>
  <c r="I93" i="33" s="1"/>
  <c r="I94" i="33" s="1"/>
  <c r="I95" i="33" s="1"/>
  <c r="I96" i="33" s="1"/>
  <c r="I97" i="33" s="1"/>
  <c r="I98" i="33" s="1"/>
  <c r="I99" i="33" s="1"/>
  <c r="I100" i="33" s="1"/>
  <c r="I101" i="33" s="1"/>
  <c r="I102" i="33" s="1"/>
  <c r="I103" i="33" s="1"/>
  <c r="I104" i="33" s="1"/>
  <c r="I105" i="33" s="1"/>
  <c r="I106" i="33" s="1"/>
  <c r="I107" i="33" s="1"/>
  <c r="I108" i="33" s="1"/>
  <c r="I109" i="33" s="1"/>
  <c r="I110" i="33" s="1"/>
  <c r="I111" i="33" s="1"/>
  <c r="I112" i="33" s="1"/>
  <c r="I113" i="33" s="1"/>
  <c r="I114" i="33" s="1"/>
  <c r="I115" i="33" s="1"/>
  <c r="I116" i="33" s="1"/>
  <c r="I117" i="33" s="1"/>
  <c r="I118" i="33" s="1"/>
  <c r="I119" i="33" s="1"/>
  <c r="I120" i="33" s="1"/>
  <c r="I121" i="33" s="1"/>
  <c r="I122" i="33" s="1"/>
  <c r="I123" i="33" s="1"/>
  <c r="I124" i="33" s="1"/>
  <c r="I125" i="33" s="1"/>
  <c r="I126" i="33" s="1"/>
  <c r="I127" i="33" s="1"/>
  <c r="I128" i="33" s="1"/>
  <c r="I129" i="33" s="1"/>
  <c r="I130" i="33" s="1"/>
  <c r="G76" i="33"/>
  <c r="E70" i="33"/>
  <c r="E69" i="33"/>
  <c r="E68" i="33"/>
  <c r="E67" i="33"/>
  <c r="E66" i="33"/>
  <c r="E65" i="33"/>
  <c r="C61" i="33"/>
  <c r="C60" i="33"/>
  <c r="C59" i="33"/>
  <c r="C58" i="33"/>
  <c r="C57" i="33"/>
  <c r="D28" i="33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E14" i="33"/>
  <c r="D13" i="33"/>
  <c r="E13" i="33" s="1"/>
  <c r="E12" i="33"/>
  <c r="D11" i="33"/>
  <c r="D2" i="33"/>
  <c r="AG7" i="37" l="1"/>
  <c r="AK7" i="37"/>
  <c r="AH7" i="37"/>
  <c r="AL7" i="37"/>
  <c r="X5" i="37"/>
  <c r="AJ5" i="37" s="1"/>
  <c r="AI5" i="37"/>
  <c r="X6" i="37"/>
  <c r="AJ6" i="37" s="1"/>
  <c r="AI6" i="37"/>
  <c r="AE6" i="37"/>
  <c r="AA6" i="37"/>
  <c r="AE5" i="37"/>
  <c r="AA5" i="37"/>
  <c r="C21" i="35"/>
  <c r="B21" i="35"/>
  <c r="L47" i="34"/>
  <c r="K47" i="34"/>
  <c r="F52" i="34"/>
  <c r="H52" i="34" s="1"/>
  <c r="K52" i="34"/>
  <c r="L52" i="34"/>
  <c r="L57" i="34"/>
  <c r="K57" i="34"/>
  <c r="L48" i="34"/>
  <c r="K48" i="34"/>
  <c r="F46" i="34"/>
  <c r="G46" i="34" s="1"/>
  <c r="K46" i="34"/>
  <c r="L46" i="34"/>
  <c r="L50" i="34"/>
  <c r="L49" i="34"/>
  <c r="K49" i="34"/>
  <c r="K51" i="34"/>
  <c r="L51" i="34"/>
  <c r="L56" i="34"/>
  <c r="K56" i="34"/>
  <c r="K58" i="34"/>
  <c r="L58" i="34"/>
  <c r="H45" i="34"/>
  <c r="I5" i="34"/>
  <c r="I4" i="34"/>
  <c r="F56" i="34"/>
  <c r="F57" i="34"/>
  <c r="F58" i="34"/>
  <c r="H55" i="34"/>
  <c r="G55" i="34"/>
  <c r="I55" i="34" s="1"/>
  <c r="J55" i="34" s="1"/>
  <c r="G19" i="35"/>
  <c r="F19" i="35"/>
  <c r="G5" i="31"/>
  <c r="F51" i="34"/>
  <c r="F47" i="34"/>
  <c r="F48" i="34"/>
  <c r="F49" i="34"/>
  <c r="H49" i="34" s="1"/>
  <c r="F50" i="34"/>
  <c r="H80" i="33"/>
  <c r="H81" i="33" s="1"/>
  <c r="D23" i="33"/>
  <c r="D30" i="33"/>
  <c r="E11" i="33"/>
  <c r="AL5" i="37" l="1"/>
  <c r="AH5" i="37"/>
  <c r="AK6" i="37"/>
  <c r="AG6" i="37"/>
  <c r="AK5" i="37"/>
  <c r="AG5" i="37"/>
  <c r="AL6" i="37"/>
  <c r="AH6" i="37"/>
  <c r="B22" i="35"/>
  <c r="C22" i="35"/>
  <c r="G12" i="31"/>
  <c r="G52" i="34"/>
  <c r="I52" i="34" s="1"/>
  <c r="F12" i="31" s="1"/>
  <c r="J4" i="34"/>
  <c r="I6" i="34"/>
  <c r="H58" i="34"/>
  <c r="G58" i="34"/>
  <c r="I58" i="34" s="1"/>
  <c r="J58" i="34" s="1"/>
  <c r="G57" i="34"/>
  <c r="I57" i="34" s="1"/>
  <c r="J57" i="34" s="1"/>
  <c r="H57" i="34"/>
  <c r="G56" i="34"/>
  <c r="I56" i="34" s="1"/>
  <c r="J56" i="34" s="1"/>
  <c r="H56" i="34"/>
  <c r="G10" i="31"/>
  <c r="H50" i="34"/>
  <c r="G51" i="34"/>
  <c r="I51" i="34" s="1"/>
  <c r="F11" i="31" s="1"/>
  <c r="H51" i="34"/>
  <c r="I46" i="34"/>
  <c r="F6" i="31" s="1"/>
  <c r="H46" i="34"/>
  <c r="G48" i="34"/>
  <c r="H48" i="34"/>
  <c r="G47" i="34"/>
  <c r="I47" i="34" s="1"/>
  <c r="F7" i="31" s="1"/>
  <c r="H47" i="34"/>
  <c r="G20" i="35"/>
  <c r="F20" i="35"/>
  <c r="I45" i="34"/>
  <c r="F5" i="31" s="1"/>
  <c r="G6" i="31"/>
  <c r="G11" i="31"/>
  <c r="G7" i="31"/>
  <c r="G8" i="31"/>
  <c r="G9" i="31"/>
  <c r="G49" i="34"/>
  <c r="I49" i="34" s="1"/>
  <c r="F9" i="31" s="1"/>
  <c r="G50" i="34"/>
  <c r="I50" i="34" s="1"/>
  <c r="J50" i="34" s="1"/>
  <c r="H10" i="31" s="1"/>
  <c r="G81" i="33"/>
  <c r="F34" i="33"/>
  <c r="G82" i="33"/>
  <c r="H82" i="33"/>
  <c r="B23" i="35" l="1"/>
  <c r="C23" i="35"/>
  <c r="I48" i="34"/>
  <c r="F8" i="31" s="1"/>
  <c r="G27" i="34"/>
  <c r="J45" i="34"/>
  <c r="H5" i="31" s="1"/>
  <c r="J52" i="34"/>
  <c r="H12" i="31" s="1"/>
  <c r="J46" i="34"/>
  <c r="H6" i="31" s="1"/>
  <c r="J51" i="34"/>
  <c r="H11" i="31" s="1"/>
  <c r="G21" i="35"/>
  <c r="F21" i="35"/>
  <c r="J47" i="34"/>
  <c r="H7" i="31" s="1"/>
  <c r="J49" i="34"/>
  <c r="H9" i="31" s="1"/>
  <c r="F10" i="31"/>
  <c r="H34" i="33"/>
  <c r="G34" i="33"/>
  <c r="D34" i="33"/>
  <c r="D45" i="33"/>
  <c r="E45" i="33" s="1"/>
  <c r="F45" i="33" s="1"/>
  <c r="H83" i="33"/>
  <c r="G83" i="33"/>
  <c r="C24" i="35" l="1"/>
  <c r="B24" i="35"/>
  <c r="J48" i="34"/>
  <c r="H8" i="31" s="1"/>
  <c r="G22" i="35"/>
  <c r="F22" i="35"/>
  <c r="H45" i="33"/>
  <c r="J45" i="33"/>
  <c r="E34" i="33"/>
  <c r="G84" i="33"/>
  <c r="H84" i="33"/>
  <c r="F39" i="33"/>
  <c r="I34" i="33"/>
  <c r="J34" i="33" s="1"/>
  <c r="F41" i="33"/>
  <c r="F40" i="33"/>
  <c r="E57" i="33"/>
  <c r="F57" i="33" s="1"/>
  <c r="H57" i="33" s="1"/>
  <c r="I57" i="33" s="1"/>
  <c r="F37" i="33"/>
  <c r="F38" i="33"/>
  <c r="F35" i="33"/>
  <c r="D57" i="33"/>
  <c r="F36" i="33"/>
  <c r="C25" i="35" l="1"/>
  <c r="B25" i="35"/>
  <c r="F23" i="35"/>
  <c r="G23" i="35"/>
  <c r="D37" i="33"/>
  <c r="D48" i="33"/>
  <c r="E48" i="33" s="1"/>
  <c r="F48" i="33" s="1"/>
  <c r="H37" i="33"/>
  <c r="G37" i="33"/>
  <c r="G40" i="33"/>
  <c r="H40" i="33"/>
  <c r="D40" i="33"/>
  <c r="D51" i="33"/>
  <c r="E51" i="33" s="1"/>
  <c r="F51" i="33" s="1"/>
  <c r="H41" i="33"/>
  <c r="D52" i="33"/>
  <c r="E52" i="33" s="1"/>
  <c r="F52" i="33" s="1"/>
  <c r="G41" i="33"/>
  <c r="D41" i="33"/>
  <c r="D36" i="33"/>
  <c r="D47" i="33"/>
  <c r="E47" i="33" s="1"/>
  <c r="F47" i="33" s="1"/>
  <c r="H36" i="33"/>
  <c r="G36" i="33"/>
  <c r="D38" i="33"/>
  <c r="G38" i="33"/>
  <c r="H38" i="33"/>
  <c r="D49" i="33"/>
  <c r="E49" i="33" s="1"/>
  <c r="F49" i="33" s="1"/>
  <c r="D50" i="33"/>
  <c r="E50" i="33" s="1"/>
  <c r="F50" i="33" s="1"/>
  <c r="D39" i="33"/>
  <c r="H39" i="33"/>
  <c r="G39" i="33"/>
  <c r="H35" i="33"/>
  <c r="D46" i="33"/>
  <c r="E46" i="33" s="1"/>
  <c r="F46" i="33" s="1"/>
  <c r="D35" i="33"/>
  <c r="G35" i="33"/>
  <c r="H85" i="33"/>
  <c r="G85" i="33"/>
  <c r="C26" i="35" l="1"/>
  <c r="B26" i="35"/>
  <c r="G24" i="35"/>
  <c r="F24" i="35"/>
  <c r="H51" i="33"/>
  <c r="J51" i="33"/>
  <c r="H47" i="33"/>
  <c r="J47" i="33"/>
  <c r="H50" i="33"/>
  <c r="J50" i="33"/>
  <c r="H49" i="33"/>
  <c r="J49" i="33"/>
  <c r="H46" i="33"/>
  <c r="J46" i="33"/>
  <c r="H52" i="33"/>
  <c r="J52" i="33"/>
  <c r="H48" i="33"/>
  <c r="J48" i="33"/>
  <c r="E40" i="33"/>
  <c r="E39" i="33"/>
  <c r="E36" i="33"/>
  <c r="E37" i="33"/>
  <c r="I38" i="33"/>
  <c r="J38" i="33" s="1"/>
  <c r="E38" i="33"/>
  <c r="I41" i="33"/>
  <c r="J41" i="33" s="1"/>
  <c r="E41" i="33"/>
  <c r="I35" i="33"/>
  <c r="J35" i="33" s="1"/>
  <c r="E35" i="33"/>
  <c r="E60" i="33"/>
  <c r="F60" i="33" s="1"/>
  <c r="H60" i="33" s="1"/>
  <c r="I60" i="33" s="1"/>
  <c r="D60" i="33"/>
  <c r="I39" i="33"/>
  <c r="J39" i="33" s="1"/>
  <c r="D59" i="33"/>
  <c r="E59" i="33"/>
  <c r="F59" i="33" s="1"/>
  <c r="H59" i="33" s="1"/>
  <c r="I59" i="33" s="1"/>
  <c r="I37" i="33"/>
  <c r="J37" i="33" s="1"/>
  <c r="D61" i="33"/>
  <c r="I40" i="33"/>
  <c r="J40" i="33" s="1"/>
  <c r="E61" i="33"/>
  <c r="F61" i="33" s="1"/>
  <c r="H61" i="33" s="1"/>
  <c r="I61" i="33" s="1"/>
  <c r="H86" i="33"/>
  <c r="G86" i="33"/>
  <c r="E58" i="33"/>
  <c r="F58" i="33" s="1"/>
  <c r="H58" i="33" s="1"/>
  <c r="I58" i="33" s="1"/>
  <c r="D58" i="33"/>
  <c r="I36" i="33"/>
  <c r="J36" i="33" s="1"/>
  <c r="C27" i="35" l="1"/>
  <c r="B27" i="35"/>
  <c r="G25" i="35"/>
  <c r="F25" i="35"/>
  <c r="H87" i="33"/>
  <c r="G87" i="33"/>
  <c r="C28" i="35" l="1"/>
  <c r="B28" i="35"/>
  <c r="F26" i="35"/>
  <c r="G26" i="35"/>
  <c r="G88" i="33"/>
  <c r="H88" i="33"/>
  <c r="C29" i="35" l="1"/>
  <c r="B29" i="35"/>
  <c r="G27" i="35"/>
  <c r="F27" i="35"/>
  <c r="H89" i="33"/>
  <c r="G89" i="33"/>
  <c r="C30" i="35" l="1"/>
  <c r="B30" i="35"/>
  <c r="G28" i="35"/>
  <c r="F28" i="35"/>
  <c r="G90" i="33"/>
  <c r="H90" i="33"/>
  <c r="B31" i="35" l="1"/>
  <c r="C31" i="35"/>
  <c r="F29" i="35"/>
  <c r="G29" i="35"/>
  <c r="H91" i="33"/>
  <c r="G91" i="33"/>
  <c r="C32" i="35" l="1"/>
  <c r="B32" i="35"/>
  <c r="G30" i="35"/>
  <c r="F30" i="35"/>
  <c r="G92" i="33"/>
  <c r="H92" i="33"/>
  <c r="C33" i="35" l="1"/>
  <c r="B33" i="35"/>
  <c r="F31" i="35"/>
  <c r="G31" i="35"/>
  <c r="H93" i="33"/>
  <c r="G93" i="33"/>
  <c r="C34" i="35" l="1"/>
  <c r="B34" i="35"/>
  <c r="G32" i="35"/>
  <c r="F32" i="35"/>
  <c r="G94" i="33"/>
  <c r="H94" i="33"/>
  <c r="C35" i="35" l="1"/>
  <c r="B35" i="35"/>
  <c r="G33" i="35"/>
  <c r="F33" i="35"/>
  <c r="H95" i="33"/>
  <c r="G95" i="33"/>
  <c r="C36" i="35" l="1"/>
  <c r="B36" i="35"/>
  <c r="F34" i="35"/>
  <c r="G34" i="35"/>
  <c r="G96" i="33"/>
  <c r="H96" i="33"/>
  <c r="C37" i="35" l="1"/>
  <c r="B37" i="35"/>
  <c r="F35" i="35"/>
  <c r="G35" i="35"/>
  <c r="H97" i="33"/>
  <c r="G97" i="33"/>
  <c r="B38" i="35" l="1"/>
  <c r="C38" i="35"/>
  <c r="G36" i="35"/>
  <c r="F36" i="35"/>
  <c r="G98" i="33"/>
  <c r="H98" i="33"/>
  <c r="B39" i="35" l="1"/>
  <c r="C39" i="35"/>
  <c r="G37" i="35"/>
  <c r="F37" i="35"/>
  <c r="H99" i="33"/>
  <c r="G99" i="33"/>
  <c r="C40" i="35" l="1"/>
  <c r="B40" i="35"/>
  <c r="G38" i="35"/>
  <c r="F38" i="35"/>
  <c r="G100" i="33"/>
  <c r="H100" i="33"/>
  <c r="C41" i="35" l="1"/>
  <c r="B41" i="35"/>
  <c r="F39" i="35"/>
  <c r="G39" i="35"/>
  <c r="H101" i="33"/>
  <c r="G101" i="33"/>
  <c r="C42" i="35" l="1"/>
  <c r="B42" i="35"/>
  <c r="G40" i="35"/>
  <c r="F40" i="35"/>
  <c r="H102" i="33"/>
  <c r="G102" i="33"/>
  <c r="B43" i="35" l="1"/>
  <c r="C43" i="35"/>
  <c r="G41" i="35"/>
  <c r="F41" i="35"/>
  <c r="H103" i="33"/>
  <c r="G103" i="33"/>
  <c r="C44" i="35" l="1"/>
  <c r="B44" i="35"/>
  <c r="F42" i="35"/>
  <c r="G42" i="35"/>
  <c r="G104" i="33"/>
  <c r="H104" i="33"/>
  <c r="C45" i="35" l="1"/>
  <c r="B45" i="35"/>
  <c r="G43" i="35"/>
  <c r="F43" i="35"/>
  <c r="H105" i="33"/>
  <c r="G105" i="33"/>
  <c r="B46" i="35" l="1"/>
  <c r="C46" i="35"/>
  <c r="G44" i="35"/>
  <c r="F44" i="35"/>
  <c r="G106" i="33"/>
  <c r="H106" i="33"/>
  <c r="B47" i="35" l="1"/>
  <c r="C47" i="35"/>
  <c r="F45" i="35"/>
  <c r="G45" i="35"/>
  <c r="H107" i="33"/>
  <c r="G107" i="33"/>
  <c r="C48" i="35" l="1"/>
  <c r="B48" i="35"/>
  <c r="F46" i="35"/>
  <c r="G46" i="35"/>
  <c r="G108" i="33"/>
  <c r="H108" i="33"/>
  <c r="C49" i="35" l="1"/>
  <c r="B49" i="35"/>
  <c r="F47" i="35"/>
  <c r="G47" i="35"/>
  <c r="H109" i="33"/>
  <c r="G109" i="33"/>
  <c r="C50" i="35" l="1"/>
  <c r="B50" i="35"/>
  <c r="F48" i="35"/>
  <c r="G48" i="35"/>
  <c r="G110" i="33"/>
  <c r="H110" i="33"/>
  <c r="C51" i="35" l="1"/>
  <c r="B51" i="35"/>
  <c r="G49" i="35"/>
  <c r="F49" i="35"/>
  <c r="H111" i="33"/>
  <c r="G111" i="33"/>
  <c r="C52" i="35" l="1"/>
  <c r="B52" i="35"/>
  <c r="F50" i="35"/>
  <c r="G50" i="35"/>
  <c r="G112" i="33"/>
  <c r="H112" i="33"/>
  <c r="C53" i="35" l="1"/>
  <c r="B53" i="35"/>
  <c r="F51" i="35"/>
  <c r="G51" i="35"/>
  <c r="H113" i="33"/>
  <c r="G113" i="33"/>
  <c r="B54" i="35" l="1"/>
  <c r="C54" i="35"/>
  <c r="G52" i="35"/>
  <c r="F52" i="35"/>
  <c r="G114" i="33"/>
  <c r="H114" i="33"/>
  <c r="B55" i="35" l="1"/>
  <c r="C55" i="35"/>
  <c r="F53" i="35"/>
  <c r="G53" i="35"/>
  <c r="H115" i="33"/>
  <c r="G115" i="33"/>
  <c r="C56" i="35" l="1"/>
  <c r="B56" i="35"/>
  <c r="F54" i="35"/>
  <c r="G54" i="35"/>
  <c r="G116" i="33"/>
  <c r="H116" i="33"/>
  <c r="C57" i="35" l="1"/>
  <c r="B57" i="35"/>
  <c r="F55" i="35"/>
  <c r="G55" i="35"/>
  <c r="H117" i="33"/>
  <c r="G117" i="33"/>
  <c r="C58" i="35" l="1"/>
  <c r="B58" i="35"/>
  <c r="G56" i="35"/>
  <c r="F56" i="35"/>
  <c r="H118" i="33"/>
  <c r="G118" i="33"/>
  <c r="B59" i="35" l="1"/>
  <c r="C59" i="35"/>
  <c r="G57" i="35"/>
  <c r="F57" i="35"/>
  <c r="H119" i="33"/>
  <c r="G119" i="33"/>
  <c r="C60" i="35" l="1"/>
  <c r="B60" i="35"/>
  <c r="G58" i="35"/>
  <c r="F58" i="35"/>
  <c r="G120" i="33"/>
  <c r="H120" i="33"/>
  <c r="C61" i="35" l="1"/>
  <c r="B61" i="35"/>
  <c r="G59" i="35"/>
  <c r="F59" i="35"/>
  <c r="H121" i="33"/>
  <c r="G121" i="33"/>
  <c r="C62" i="35" l="1"/>
  <c r="B62" i="35"/>
  <c r="G60" i="35"/>
  <c r="F60" i="35"/>
  <c r="G122" i="33"/>
  <c r="H122" i="33"/>
  <c r="C63" i="35" l="1"/>
  <c r="B63" i="35"/>
  <c r="G61" i="35"/>
  <c r="F61" i="35"/>
  <c r="H123" i="33"/>
  <c r="G123" i="33"/>
  <c r="B64" i="35" l="1"/>
  <c r="C64" i="35"/>
  <c r="G62" i="35"/>
  <c r="F62" i="35"/>
  <c r="G124" i="33"/>
  <c r="H124" i="33"/>
  <c r="C65" i="35" l="1"/>
  <c r="B65" i="35"/>
  <c r="G63" i="35"/>
  <c r="F63" i="35"/>
  <c r="H125" i="33"/>
  <c r="G125" i="33"/>
  <c r="C66" i="35" l="1"/>
  <c r="B66" i="35"/>
  <c r="F64" i="35"/>
  <c r="G64" i="35"/>
  <c r="H126" i="33"/>
  <c r="G126" i="33"/>
  <c r="C67" i="35" l="1"/>
  <c r="B67" i="35"/>
  <c r="G65" i="35"/>
  <c r="F65" i="35"/>
  <c r="H127" i="33"/>
  <c r="G127" i="33"/>
  <c r="B68" i="35" l="1"/>
  <c r="C68" i="35"/>
  <c r="F66" i="35"/>
  <c r="G66" i="35"/>
  <c r="G128" i="33"/>
  <c r="H128" i="33"/>
  <c r="C69" i="35" l="1"/>
  <c r="B69" i="35"/>
  <c r="G67" i="35"/>
  <c r="F67" i="35"/>
  <c r="H129" i="33"/>
  <c r="G129" i="33"/>
  <c r="C70" i="35" l="1"/>
  <c r="B70" i="35"/>
  <c r="F68" i="35"/>
  <c r="G68" i="35"/>
  <c r="G130" i="33"/>
  <c r="H130" i="33"/>
  <c r="C71" i="35" l="1"/>
  <c r="B71" i="35"/>
  <c r="F69" i="35"/>
  <c r="G69" i="35"/>
  <c r="H131" i="33"/>
  <c r="G131" i="33"/>
  <c r="B72" i="35" l="1"/>
  <c r="C72" i="35"/>
  <c r="G70" i="35"/>
  <c r="F70" i="35"/>
  <c r="G132" i="33"/>
  <c r="H132" i="33"/>
  <c r="C73" i="35" l="1"/>
  <c r="B73" i="35"/>
  <c r="G71" i="35"/>
  <c r="F71" i="35"/>
  <c r="H133" i="33"/>
  <c r="G133" i="33"/>
  <c r="C74" i="35" l="1"/>
  <c r="B74" i="35"/>
  <c r="F72" i="35"/>
  <c r="G72" i="35"/>
  <c r="H134" i="33"/>
  <c r="G134" i="33"/>
  <c r="C75" i="35" l="1"/>
  <c r="B75" i="35"/>
  <c r="G73" i="35"/>
  <c r="F73" i="35"/>
  <c r="H135" i="33"/>
  <c r="G135" i="33"/>
  <c r="B76" i="35" l="1"/>
  <c r="C76" i="35"/>
  <c r="G74" i="35"/>
  <c r="F74" i="35"/>
  <c r="G136" i="33"/>
  <c r="H136" i="33"/>
  <c r="C77" i="35" l="1"/>
  <c r="B77" i="35"/>
  <c r="G75" i="35"/>
  <c r="F75" i="35"/>
  <c r="H137" i="33"/>
  <c r="G137" i="33"/>
  <c r="C78" i="35" l="1"/>
  <c r="B78" i="35"/>
  <c r="F76" i="35"/>
  <c r="G76" i="35"/>
  <c r="H138" i="33"/>
  <c r="G138" i="33"/>
  <c r="C79" i="35" l="1"/>
  <c r="B79" i="35"/>
  <c r="F77" i="35"/>
  <c r="G77" i="35"/>
  <c r="H139" i="33"/>
  <c r="G139" i="33"/>
  <c r="B80" i="35" l="1"/>
  <c r="C80" i="35"/>
  <c r="G78" i="35"/>
  <c r="F78" i="35"/>
  <c r="G140" i="33"/>
  <c r="H140" i="33"/>
  <c r="B81" i="35" l="1"/>
  <c r="C81" i="35"/>
  <c r="G79" i="35"/>
  <c r="F79" i="35"/>
  <c r="H141" i="33"/>
  <c r="G141" i="33"/>
  <c r="C82" i="35" l="1"/>
  <c r="B82" i="35"/>
  <c r="F80" i="35"/>
  <c r="G80" i="35"/>
  <c r="H142" i="33"/>
  <c r="G142" i="33"/>
  <c r="C83" i="35" l="1"/>
  <c r="B83" i="35"/>
  <c r="F81" i="35"/>
  <c r="G81" i="35"/>
  <c r="H143" i="33"/>
  <c r="G143" i="33"/>
  <c r="B84" i="35" l="1"/>
  <c r="C84" i="35"/>
  <c r="G82" i="35"/>
  <c r="F82" i="35"/>
  <c r="G144" i="33"/>
  <c r="H144" i="33"/>
  <c r="C85" i="35" l="1"/>
  <c r="B85" i="35"/>
  <c r="G83" i="35"/>
  <c r="F83" i="35"/>
  <c r="H145" i="33"/>
  <c r="G145" i="33"/>
  <c r="C86" i="35" l="1"/>
  <c r="B86" i="35"/>
  <c r="F84" i="35"/>
  <c r="G84" i="35"/>
  <c r="H146" i="33"/>
  <c r="G146" i="33"/>
  <c r="C87" i="35" l="1"/>
  <c r="B87" i="35"/>
  <c r="G85" i="35"/>
  <c r="F85" i="35"/>
  <c r="H147" i="33"/>
  <c r="G147" i="33"/>
  <c r="B88" i="35" l="1"/>
  <c r="C88" i="35"/>
  <c r="G86" i="35"/>
  <c r="F86" i="35"/>
  <c r="G148" i="33"/>
  <c r="H148" i="33"/>
  <c r="C89" i="35" l="1"/>
  <c r="B89" i="35"/>
  <c r="G87" i="35"/>
  <c r="F87" i="35"/>
  <c r="H149" i="33"/>
  <c r="G149" i="33"/>
  <c r="C90" i="35" l="1"/>
  <c r="B90" i="35"/>
  <c r="F88" i="35"/>
  <c r="G88" i="35"/>
  <c r="H150" i="33"/>
  <c r="G150" i="33"/>
  <c r="C91" i="35" l="1"/>
  <c r="B91" i="35"/>
  <c r="B92" i="35" s="1"/>
  <c r="F89" i="35"/>
  <c r="G89" i="35"/>
  <c r="H151" i="33"/>
  <c r="G151" i="33"/>
  <c r="G90" i="35" l="1"/>
  <c r="F90" i="35"/>
  <c r="G152" i="33"/>
  <c r="H152" i="33"/>
  <c r="G91" i="35" l="1"/>
  <c r="F91" i="35"/>
  <c r="F92" i="35" s="1"/>
  <c r="H153" i="33"/>
  <c r="G153" i="33"/>
  <c r="H154" i="33" l="1"/>
  <c r="G154" i="33"/>
  <c r="H155" i="33" l="1"/>
  <c r="G155" i="33"/>
  <c r="H156" i="33" l="1"/>
  <c r="G156" i="33"/>
  <c r="H157" i="33" l="1"/>
  <c r="G157" i="33"/>
  <c r="H158" i="33" l="1"/>
  <c r="G158" i="33"/>
  <c r="H159" i="33" l="1"/>
  <c r="G159" i="33"/>
  <c r="G160" i="33" l="1"/>
  <c r="H160" i="33"/>
  <c r="H161" i="33" l="1"/>
  <c r="G161" i="33"/>
  <c r="G162" i="33" s="1"/>
  <c r="G4" i="31" l="1"/>
  <c r="F4" i="31" l="1"/>
  <c r="H4" i="31" s="1"/>
  <c r="G3" i="31"/>
  <c r="F3" i="31" l="1"/>
  <c r="H3" i="31" s="1"/>
  <c r="G30" i="36"/>
  <c r="G45" i="36" s="1"/>
  <c r="G47" i="36" s="1"/>
  <c r="G49" i="36" s="1"/>
  <c r="F13" i="36"/>
  <c r="F14" i="36" s="1"/>
  <c r="E61" i="36" l="1"/>
  <c r="F12" i="36"/>
  <c r="F59" i="36" s="1"/>
  <c r="F58" i="36" l="1"/>
  <c r="J58" i="36" s="1"/>
  <c r="J59" i="36"/>
  <c r="F54" i="36"/>
  <c r="J54" i="36" s="1"/>
  <c r="F57" i="36"/>
  <c r="J57" i="36" s="1"/>
  <c r="F56" i="36"/>
  <c r="J56" i="36" s="1"/>
  <c r="G59" i="36"/>
  <c r="F55" i="36"/>
  <c r="J55" i="36" s="1"/>
  <c r="H59" i="36"/>
  <c r="H58" i="36"/>
  <c r="G58" i="36" l="1"/>
  <c r="H55" i="36"/>
  <c r="G55" i="36"/>
  <c r="G56" i="36"/>
  <c r="H56" i="36"/>
  <c r="H57" i="36"/>
  <c r="G57" i="36"/>
  <c r="G54" i="36"/>
  <c r="H54" i="36"/>
</calcChain>
</file>

<file path=xl/sharedStrings.xml><?xml version="1.0" encoding="utf-8"?>
<sst xmlns="http://schemas.openxmlformats.org/spreadsheetml/2006/main" count="990" uniqueCount="553">
  <si>
    <t>PENDENTE</t>
  </si>
  <si>
    <t>N/A</t>
  </si>
  <si>
    <t>RATER</t>
  </si>
  <si>
    <t>INPUTS</t>
  </si>
  <si>
    <t>PARÂMETROS</t>
  </si>
  <si>
    <t>VARIÁVEIS</t>
  </si>
  <si>
    <t>Prêmio Mínimo:</t>
  </si>
  <si>
    <t>CORRETORAS PARCEIRAS</t>
  </si>
  <si>
    <t>FASES DE TESTES</t>
  </si>
  <si>
    <t>TIPO DE ESTUDO 1</t>
  </si>
  <si>
    <t>TIPO DE ESTUDO 2</t>
  </si>
  <si>
    <t>TRATAMENTO SOB INVESTIGAÇÃO</t>
  </si>
  <si>
    <t>MODO DE EXECUÇÃO / ADMINISTRAÇÃO</t>
  </si>
  <si>
    <t>AVALIÇÃO DO RISCO</t>
  </si>
  <si>
    <t>POTENCIAL OU HISÓRICO DE SAES</t>
  </si>
  <si>
    <t>ALOCACAÇÃO DE RESSEGURO</t>
  </si>
  <si>
    <t>STATUS GERAL</t>
  </si>
  <si>
    <t>STATUS PROSPECÇÃO SEGURO</t>
  </si>
  <si>
    <t>STATUS DE COTAÇÃO DE SEGURO MGA</t>
  </si>
  <si>
    <t>STATUS PROSPECÇÃO RESSEGURO</t>
  </si>
  <si>
    <t>STATUS CONTRATO SEGURO</t>
  </si>
  <si>
    <t>STATUS CONTRATO RESSEGURO</t>
  </si>
  <si>
    <t>STATUS DE EMISSÃO MGA</t>
  </si>
  <si>
    <t>ALOCAÇÃO DE RESSEGURO MGA</t>
  </si>
  <si>
    <t>STATUS PRÊMIO SEGURO</t>
  </si>
  <si>
    <t>STATUS PRÊMIO RESSEGURO</t>
  </si>
  <si>
    <t>STATUS RECEITA SEGURO</t>
  </si>
  <si>
    <t>STATUS RECEITA RESSEGURO</t>
  </si>
  <si>
    <t>STATUS SINISTRO SEGURO</t>
  </si>
  <si>
    <t>STATUS SINISTRO RESSEGURO</t>
  </si>
  <si>
    <t>STATUS DE SINISTRO MGA</t>
  </si>
  <si>
    <t>STATUS RECEITA MGA</t>
  </si>
  <si>
    <t>Aon Corretora de Seguros Ltda</t>
  </si>
  <si>
    <t>Terapêutico</t>
  </si>
  <si>
    <t>Prospectivo</t>
  </si>
  <si>
    <t>Ato cirurgico</t>
  </si>
  <si>
    <t>Baixo</t>
  </si>
  <si>
    <t>FACULTATIVO</t>
  </si>
  <si>
    <t>ABERTO</t>
  </si>
  <si>
    <t>PROSPECTANDO</t>
  </si>
  <si>
    <t>EMISSÃO PENDENTE</t>
  </si>
  <si>
    <t>AGUARDANDO APROVAÇÃO DA CIA</t>
  </si>
  <si>
    <t>LINESLIP NEWLINE</t>
  </si>
  <si>
    <t>AGUARDANDO EMISSÃO</t>
  </si>
  <si>
    <t>AGUARDANDO FORMALIZAÇÃO</t>
  </si>
  <si>
    <t>BOOKADO</t>
  </si>
  <si>
    <t>NOTIFICADO</t>
  </si>
  <si>
    <t>Equipe Administração e Corretagem de Seguros Ltda</t>
  </si>
  <si>
    <t>I</t>
  </si>
  <si>
    <t>Puro</t>
  </si>
  <si>
    <t>Retrospectivo</t>
  </si>
  <si>
    <t>Endovenosa</t>
  </si>
  <si>
    <t>Baixo-médio</t>
  </si>
  <si>
    <t>ENCERRADO</t>
  </si>
  <si>
    <t>AGUARDANDO COTAÇÃO</t>
  </si>
  <si>
    <t>AGUARDANDO RESSEGURO</t>
  </si>
  <si>
    <t>EMITIDO, REVISÃO PENDENTE</t>
  </si>
  <si>
    <t>SOB REVISÃO COMPLIANCE</t>
  </si>
  <si>
    <t>LINESLIP CHAUCER</t>
  </si>
  <si>
    <t>A VENCER</t>
  </si>
  <si>
    <t>A COLETAR</t>
  </si>
  <si>
    <t>ATRASADO</t>
  </si>
  <si>
    <t>FATURADO</t>
  </si>
  <si>
    <t>INFORMAÇÕES PENDENTES</t>
  </si>
  <si>
    <t>Ceding Commission:</t>
  </si>
  <si>
    <t>Genebra Corretora de Seguros Ltda</t>
  </si>
  <si>
    <t>I/II</t>
  </si>
  <si>
    <t>Equipamento</t>
  </si>
  <si>
    <t>Médio</t>
  </si>
  <si>
    <t>COTAÇÃO ENTREGUE</t>
  </si>
  <si>
    <t>AGUARDANDO SIGN-OFF HDI</t>
  </si>
  <si>
    <t>RETIFICAÇÃO PENDENTE</t>
  </si>
  <si>
    <t>SLIP SUBMETIDO AO RESSEGURADOR</t>
  </si>
  <si>
    <t>EMITIDO</t>
  </si>
  <si>
    <t>FACILITY</t>
  </si>
  <si>
    <t>PRORROGADO</t>
  </si>
  <si>
    <t>CANCELADO</t>
  </si>
  <si>
    <t>EM REGULAÇÃO</t>
  </si>
  <si>
    <t>Global Risk Corretora de Seguros</t>
  </si>
  <si>
    <t>II</t>
  </si>
  <si>
    <t>Estratégia de tratamento</t>
  </si>
  <si>
    <t>Médio-alto</t>
  </si>
  <si>
    <t>POSTERGADO</t>
  </si>
  <si>
    <t>APROVADO, ENVIO PENDENTE</t>
  </si>
  <si>
    <t>SLIP ASSINADO, ENVIO PENDENTE</t>
  </si>
  <si>
    <t>RETENÇÃO PRÓPRIA</t>
  </si>
  <si>
    <t>SEM COMISSÃO</t>
  </si>
  <si>
    <t>APROVADO PELA CIA</t>
  </si>
  <si>
    <t>APROVADO PELO RESSEGURADOR</t>
  </si>
  <si>
    <t>HPC Corretora e Administradora de Seguros Ltda</t>
  </si>
  <si>
    <t>II/III</t>
  </si>
  <si>
    <t>Agressiva</t>
  </si>
  <si>
    <t>Transfusão, Transplante, Tecido, Órgãos, Terapia Celular</t>
  </si>
  <si>
    <t>Injeção intradérmica</t>
  </si>
  <si>
    <t>Alto</t>
  </si>
  <si>
    <t>FECHADO</t>
  </si>
  <si>
    <t>ENTREGUE AO CLIENTE</t>
  </si>
  <si>
    <t>ENTREGUE À CIA</t>
  </si>
  <si>
    <t>DEVOLUÇÃO</t>
  </si>
  <si>
    <t>LIQUIDADO</t>
  </si>
  <si>
    <t>PRICING USD</t>
  </si>
  <si>
    <t>PRICING BRL</t>
  </si>
  <si>
    <t>Lazam-MDS Corretora e Administradora de Seguros S/A</t>
  </si>
  <si>
    <t>III</t>
  </si>
  <si>
    <t>Amena</t>
  </si>
  <si>
    <t>Outros</t>
  </si>
  <si>
    <t>Injeção intramuscular</t>
  </si>
  <si>
    <t>Inaceitável</t>
  </si>
  <si>
    <t>PERDIDO</t>
  </si>
  <si>
    <t>SLIP ASSINADO PELA CIA</t>
  </si>
  <si>
    <t>SEM PRÊMIO</t>
  </si>
  <si>
    <t>COLETADO, REMISSÃO PENDENTE</t>
  </si>
  <si>
    <t>PAGO</t>
  </si>
  <si>
    <t>RECUSADO</t>
  </si>
  <si>
    <t>Não</t>
  </si>
  <si>
    <t>Sim</t>
  </si>
  <si>
    <t>Lockton Corretora de Seguros Ltda</t>
  </si>
  <si>
    <t>III/IV</t>
  </si>
  <si>
    <t>Injeção intratecal</t>
  </si>
  <si>
    <t>PAGO AO RESSEGURADOR</t>
  </si>
  <si>
    <t>SEM SINISTROS</t>
  </si>
  <si>
    <t>Fase do teste:</t>
  </si>
  <si>
    <t>Lugano Corretora de Seguros S/S Ltda</t>
  </si>
  <si>
    <t>IV</t>
  </si>
  <si>
    <t>Invasivo</t>
  </si>
  <si>
    <t>Injeção intravenosa</t>
  </si>
  <si>
    <t>Marsh Corretora de Seguros Ltda</t>
  </si>
  <si>
    <t>Não-Invasivo</t>
  </si>
  <si>
    <t>Injeção intravítrea</t>
  </si>
  <si>
    <t>BAIXADO</t>
  </si>
  <si>
    <t>Monarca Corretora de Seguros e Administradora Ltda</t>
  </si>
  <si>
    <t>Injeção subcutânea</t>
  </si>
  <si>
    <t>AGUARDANDO INFO</t>
  </si>
  <si>
    <t>Own-it Corretora de Seguros ltda</t>
  </si>
  <si>
    <t>Intravascular</t>
  </si>
  <si>
    <t>RBM Corretora de Seguros Ltda</t>
  </si>
  <si>
    <t>Obtenção e análise de dados</t>
  </si>
  <si>
    <t>Rep Eng - Consultoria, Gerencia de Riscos e Corretora de Seguros Ltda</t>
  </si>
  <si>
    <t>Tópica</t>
  </si>
  <si>
    <t>Sanyuu Corretagem de Seguros Ltda</t>
  </si>
  <si>
    <t>Via inalatória</t>
  </si>
  <si>
    <t>SDuarte Corretora de Seguros Ltda</t>
  </si>
  <si>
    <t>Via oral</t>
  </si>
  <si>
    <t>Saudável</t>
  </si>
  <si>
    <t>Doente</t>
  </si>
  <si>
    <t>Trial Administradora e Corretora de Seguros Ltda</t>
  </si>
  <si>
    <t>Radioterapia</t>
  </si>
  <si>
    <t>TRR Corretora de Seguros Ltda</t>
  </si>
  <si>
    <t>Qualquer</t>
  </si>
  <si>
    <t>Nenhum</t>
  </si>
  <si>
    <t>Ungaretti Corretora de Seguros Ltda</t>
  </si>
  <si>
    <t>Victory Consulting Corretora de Seguros Ltda</t>
  </si>
  <si>
    <t>N do Estudo:</t>
  </si>
  <si>
    <t>Desconto/Agravo comercial:</t>
  </si>
  <si>
    <t>TOTAL</t>
  </si>
  <si>
    <t>TABELA DE PRÊMIOS</t>
  </si>
  <si>
    <t>LIMITES</t>
  </si>
  <si>
    <t xml:space="preserve">PRÊMIO NET </t>
  </si>
  <si>
    <t>PRÊMIO NET USD</t>
  </si>
  <si>
    <t>PRÊMIO LÍQUIDO</t>
  </si>
  <si>
    <t>PRÊMIO TOTAL</t>
  </si>
  <si>
    <t>OPÇÃO 1 DE LIMITE:</t>
  </si>
  <si>
    <t>OPÇÃO 2 DE LIMITE:</t>
  </si>
  <si>
    <t>OPÇÃO 3 DE LIMITE:</t>
  </si>
  <si>
    <t>OPÇÃO 4 DE LIMITE:</t>
  </si>
  <si>
    <t>OPÇÃO 5 DE LIMITE:</t>
  </si>
  <si>
    <t>OPÇÃO 6 DE LIMITE:</t>
  </si>
  <si>
    <t>OPÇÃO 7 DE LIMITE:</t>
  </si>
  <si>
    <t>OPÇÃO 8 DE LIMITE:</t>
  </si>
  <si>
    <t>&gt;84</t>
  </si>
  <si>
    <t>ROE:</t>
  </si>
  <si>
    <t>[favor informar]</t>
  </si>
  <si>
    <t>None</t>
  </si>
  <si>
    <t>EaXCu8ZhwUatP2uZAJ-3ueYWqckLrT9Bm1TAMwzEdPxUMVpVWU5TRzlOU1VRM0RQRUlOWkM5MlhOUCQlQCN0PWcu</t>
  </si>
  <si>
    <t>Form1</t>
  </si>
  <si>
    <t>{33744e44-e5e6-4742-8c7c-9ace6326242f}</t>
  </si>
  <si>
    <t>SUBLIMITES</t>
  </si>
  <si>
    <t>OPÇÃO 9 DE LIMITE:</t>
  </si>
  <si>
    <t>OPÇÃO 10 DE LIMITE:</t>
  </si>
  <si>
    <t>Drug</t>
  </si>
  <si>
    <t>Unknown</t>
  </si>
  <si>
    <t>Surgery</t>
  </si>
  <si>
    <t>Sick</t>
  </si>
  <si>
    <t>No</t>
  </si>
  <si>
    <t>High</t>
  </si>
  <si>
    <t>Medium</t>
  </si>
  <si>
    <t>Low</t>
  </si>
  <si>
    <t>Medium-low</t>
  </si>
  <si>
    <t>Unkown</t>
  </si>
  <si>
    <t>AGRAVO HDI</t>
  </si>
  <si>
    <t>PRËMIO LÍQUIDO</t>
  </si>
  <si>
    <t>FRANQUIAS</t>
  </si>
  <si>
    <t>Iniciativa do Investigador / Universidade?</t>
  </si>
  <si>
    <t>Limite mínimo solicitado:</t>
  </si>
  <si>
    <t>Prêmio mínimo net por participante:</t>
  </si>
  <si>
    <t>Risk Score:</t>
  </si>
  <si>
    <t>DADOS</t>
  </si>
  <si>
    <t>DESCONTO</t>
  </si>
  <si>
    <t>Assessment da patologia sob tratamento:</t>
  </si>
  <si>
    <t>Condição clínica do participante:</t>
  </si>
  <si>
    <t>Sublimites aplicáveis:</t>
  </si>
  <si>
    <t>Franquias aplicáveis:</t>
  </si>
  <si>
    <t>Período total de testes em meses:</t>
  </si>
  <si>
    <t>Estudo de intervenção ou observacional:</t>
  </si>
  <si>
    <t>Objeto sob experimentação clínica:</t>
  </si>
  <si>
    <t>Assessment de SAEs do objeto sob experimentação:</t>
  </si>
  <si>
    <t>Envolve hipervulneráveis:</t>
  </si>
  <si>
    <t>RATE</t>
  </si>
  <si>
    <t>PRÊMIO NET BRL</t>
  </si>
  <si>
    <t>QUOTE</t>
  </si>
  <si>
    <t>PAPER HDI</t>
  </si>
  <si>
    <t>CTIS QUOTE</t>
  </si>
  <si>
    <t>Agravo HDI:</t>
  </si>
  <si>
    <t>Retailer's Commission:</t>
  </si>
  <si>
    <t>Reinsurance Brokerage:</t>
  </si>
  <si>
    <t>Mild</t>
  </si>
  <si>
    <t>PPP</t>
  </si>
  <si>
    <t>Interventional</t>
  </si>
  <si>
    <t>High-medium</t>
  </si>
  <si>
    <t>Unceptable</t>
  </si>
  <si>
    <t>Not toxical</t>
  </si>
  <si>
    <t>Potentially toxical</t>
  </si>
  <si>
    <t>Toxical</t>
  </si>
  <si>
    <t>Very toxical</t>
  </si>
  <si>
    <t>Vaccine</t>
  </si>
  <si>
    <t>Medical Device</t>
  </si>
  <si>
    <t>Objeto sob estudo invasivo ou não-invasivo:</t>
  </si>
  <si>
    <t>seg dir</t>
  </si>
  <si>
    <t>mga</t>
  </si>
  <si>
    <t>re</t>
  </si>
  <si>
    <t>Observational</t>
  </si>
  <si>
    <t>MGA'S FEE</t>
  </si>
  <si>
    <t>Transfusion, Transplant, Tissue, Organs, Cellular Therapy</t>
  </si>
  <si>
    <t>Other</t>
  </si>
  <si>
    <t>Food &amp; Nutrition</t>
  </si>
  <si>
    <t>Cannabis &amp; Derivatives</t>
  </si>
  <si>
    <t>Trial Phase:</t>
  </si>
  <si>
    <t>Assessment SAEs/potencial toxity to human health:</t>
  </si>
  <si>
    <t>Pathology assessement</t>
  </si>
  <si>
    <t>Study type:</t>
  </si>
  <si>
    <t>Object under trial:</t>
  </si>
  <si>
    <t>Hypervulnerables:</t>
  </si>
  <si>
    <t>Participants' health condition:</t>
  </si>
  <si>
    <t>Policy limit:</t>
  </si>
  <si>
    <t>Sublimits?</t>
  </si>
  <si>
    <t>Deductibles?</t>
  </si>
  <si>
    <t>Period of trials in months:</t>
  </si>
  <si>
    <t>DATA</t>
  </si>
  <si>
    <t>VARIABLES</t>
  </si>
  <si>
    <t>PARAMETERS</t>
  </si>
  <si>
    <t>Minimum premium:</t>
  </si>
  <si>
    <t>HDI's margin:</t>
  </si>
  <si>
    <t>Comestics &amp; Higiene</t>
  </si>
  <si>
    <t>Potentially not toxical</t>
  </si>
  <si>
    <t>RISK SCORE</t>
  </si>
  <si>
    <t>N of the trial</t>
  </si>
  <si>
    <t>Investigator's initiative or sponsored by University?</t>
  </si>
  <si>
    <t>DISCOUNT</t>
  </si>
  <si>
    <t>Discount / Loadings</t>
  </si>
  <si>
    <t>Basis Premium</t>
  </si>
  <si>
    <t>Net premium per participant</t>
  </si>
  <si>
    <t>Risk Score</t>
  </si>
  <si>
    <t>TOTAL ON NET</t>
  </si>
  <si>
    <t>TOTAL ON HDI'S PRICING</t>
  </si>
  <si>
    <t>OPTIONS</t>
  </si>
  <si>
    <t>LIMITS</t>
  </si>
  <si>
    <t>NET PREMIUM</t>
  </si>
  <si>
    <t>NET PREMIUM USD</t>
  </si>
  <si>
    <t>NET PREMIUM BRL</t>
  </si>
  <si>
    <t>IN FULL PREMIUM</t>
  </si>
  <si>
    <t>TOTAL PREMIUM</t>
  </si>
  <si>
    <t>TOTAL PPP</t>
  </si>
  <si>
    <t>HDI LOADING</t>
  </si>
  <si>
    <t>RANGE OF N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</si>
  <si>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</si>
  <si>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</si>
  <si>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</si>
  <si>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</si>
  <si>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</si>
  <si>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</si>
  <si>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</si>
  <si>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</si>
  <si>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BRL 500K</t>
  </si>
  <si>
    <t>BRL 750K</t>
  </si>
  <si>
    <t>BRL 1M</t>
  </si>
  <si>
    <t>BRL 2M</t>
  </si>
  <si>
    <t>BRL 3M</t>
  </si>
  <si>
    <t>BRL 5M</t>
  </si>
  <si>
    <t>BRL 7M</t>
  </si>
  <si>
    <t>BRL 10M</t>
  </si>
  <si>
    <t>BRL 15M</t>
  </si>
  <si>
    <t>BRL 20M</t>
  </si>
  <si>
    <t xml:space="preserve">BRL 250,000.00 </t>
  </si>
  <si>
    <t>POS de 10% com mínimo de BRL 15,000.00</t>
  </si>
  <si>
    <t>Reinsurance</t>
  </si>
  <si>
    <t>MGA</t>
  </si>
  <si>
    <t>Insurance</t>
  </si>
  <si>
    <t>FIDENTIA'S FEES</t>
  </si>
  <si>
    <t>Service</t>
  </si>
  <si>
    <t>Minimum fee</t>
  </si>
  <si>
    <t>INFULL PREMIUM ON NET</t>
  </si>
  <si>
    <t>Agressive</t>
  </si>
  <si>
    <t>Yes</t>
  </si>
  <si>
    <t>Medical Devices</t>
  </si>
  <si>
    <t>Drugs</t>
  </si>
  <si>
    <t>Data Collection (Observational)</t>
  </si>
  <si>
    <t>Drugs, Pharmaceuticals &amp; Molecules</t>
  </si>
  <si>
    <t>Object under trial</t>
  </si>
  <si>
    <t>Discount Level</t>
  </si>
  <si>
    <t>Alimentação e nutrição</t>
  </si>
  <si>
    <t>Dispositivos médicos</t>
  </si>
  <si>
    <t>Vacinas</t>
  </si>
  <si>
    <t>Cirurgia</t>
  </si>
  <si>
    <t>Transfusão, transplante, tecidos, órgãos, terapia celular</t>
  </si>
  <si>
    <t>Cannabis e derivados</t>
  </si>
  <si>
    <t>Coleta de dados (Observacional)</t>
  </si>
  <si>
    <t>Medicamentos, fármacos &amp; moléculas</t>
  </si>
  <si>
    <t>Comésticos e higiene</t>
  </si>
  <si>
    <t>Minimum Premium</t>
  </si>
  <si>
    <t>ROE</t>
  </si>
  <si>
    <t>Basis Premium PPP</t>
  </si>
  <si>
    <t>SCORE</t>
  </si>
  <si>
    <t>Trial phase:</t>
  </si>
  <si>
    <t>RISK RULE</t>
  </si>
  <si>
    <t>Consider take the risk</t>
  </si>
  <si>
    <t>Consider transfer the risk</t>
  </si>
  <si>
    <t>Evaluate risk outcomes vs premium balance</t>
  </si>
  <si>
    <t>total</t>
  </si>
  <si>
    <t>Transfer the risk is necessary</t>
  </si>
  <si>
    <t>pointer</t>
  </si>
  <si>
    <t>before</t>
  </si>
  <si>
    <t>after</t>
  </si>
  <si>
    <t>risk score</t>
  </si>
  <si>
    <t>PREMIUM BASELINES</t>
  </si>
  <si>
    <t>N of the study</t>
  </si>
  <si>
    <t>Clinical Trial</t>
  </si>
  <si>
    <t>Comparability Study</t>
  </si>
  <si>
    <t>Research (non-intervenctional)</t>
  </si>
  <si>
    <t>RWE</t>
  </si>
  <si>
    <t>Post-Market Study</t>
  </si>
  <si>
    <t>PTA</t>
  </si>
  <si>
    <t>Expanded Access</t>
  </si>
  <si>
    <t xml:space="preserve">Compassionate Use  </t>
  </si>
  <si>
    <t>Retrospective</t>
  </si>
  <si>
    <t>Prospective data collection</t>
  </si>
  <si>
    <t>Systematic review</t>
  </si>
  <si>
    <t>Comparability studies</t>
  </si>
  <si>
    <t>Gold standard trials</t>
  </si>
  <si>
    <t>Expanded access</t>
  </si>
  <si>
    <t>Compassionate use</t>
  </si>
  <si>
    <t>Adaptative</t>
  </si>
  <si>
    <t>Nutrition</t>
  </si>
  <si>
    <t>Dermatological</t>
  </si>
  <si>
    <t>Muscular</t>
  </si>
  <si>
    <t>Mental and behavioral disorders</t>
  </si>
  <si>
    <t>Ophthalmology</t>
  </si>
  <si>
    <t>Gastrointestinal</t>
  </si>
  <si>
    <t>Endocrinology</t>
  </si>
  <si>
    <t>Respiratory diseases</t>
  </si>
  <si>
    <t>Infectious diseases</t>
  </si>
  <si>
    <t>Genitourinary</t>
  </si>
  <si>
    <t>Oncology</t>
  </si>
  <si>
    <t>Neurology</t>
  </si>
  <si>
    <t>Heart diseases</t>
  </si>
  <si>
    <t>Life science area:</t>
  </si>
  <si>
    <t>Nutrition, Dermatological, Muscular, Mental and behavioral disorders, Ophthalmology, Gastrointestinal, Endocrinology, Respiratory Ds, Infectious Ds, Genitourinary, Oncology, Neurology, Heart Ds, Other</t>
  </si>
  <si>
    <t>RWE &amp; phase IV &amp; pharmacovigilance</t>
  </si>
  <si>
    <t>First-in-human &amp; early-phased trials</t>
  </si>
  <si>
    <t>Period of treatment:</t>
  </si>
  <si>
    <t>Number of doses:</t>
  </si>
  <si>
    <t>Target of action (administration):</t>
  </si>
  <si>
    <t>Known SAEs related to the object under trial:</t>
  </si>
  <si>
    <t>Evaluate risk vs premium</t>
  </si>
  <si>
    <t>Consider taking the risk</t>
  </si>
  <si>
    <t>Consider tranferring the risk</t>
  </si>
  <si>
    <t>Company's margin:</t>
  </si>
  <si>
    <t>Participants N</t>
  </si>
  <si>
    <t>Transfer the risk is highly recommended</t>
  </si>
  <si>
    <t>Several</t>
  </si>
  <si>
    <t>USD</t>
  </si>
  <si>
    <t>Systemic</t>
  </si>
  <si>
    <t>Chronic</t>
  </si>
  <si>
    <t>Premium baselines</t>
  </si>
  <si>
    <t>Policy Limits</t>
  </si>
  <si>
    <t>CCY</t>
  </si>
  <si>
    <t>Base RoL</t>
  </si>
  <si>
    <t>N</t>
  </si>
  <si>
    <t>N of countries</t>
  </si>
  <si>
    <t>Base in-Full Premium</t>
  </si>
  <si>
    <t>Company's Capital</t>
  </si>
  <si>
    <t>Aggravation Factor</t>
  </si>
  <si>
    <t>Estimated Premium</t>
  </si>
  <si>
    <t>—</t>
  </si>
  <si>
    <t>Capital Optimization Factor</t>
  </si>
  <si>
    <t>Base Premium</t>
  </si>
  <si>
    <t>Set-up</t>
  </si>
  <si>
    <t>Rate</t>
  </si>
  <si>
    <t>Average Premium per Country</t>
  </si>
  <si>
    <t>Premium per Participant</t>
  </si>
  <si>
    <t>Taxas (mínima e máxima) sobre limite</t>
  </si>
  <si>
    <t>Desconto por fator de otimização de volume de capital</t>
  </si>
  <si>
    <t>Número de países sobre limite</t>
  </si>
  <si>
    <t>Min</t>
  </si>
  <si>
    <t>Max</t>
  </si>
  <si>
    <t>Base Premium sobre número de países</t>
  </si>
  <si>
    <t>Score por variáveis</t>
  </si>
  <si>
    <t>Suma de score das variáveis</t>
  </si>
  <si>
    <t>Rate, Estimated Premium dividido por Company's Capital</t>
  </si>
  <si>
    <t>Average Premium per Country, Estimated Premium divido por número de países</t>
  </si>
  <si>
    <t>Premium per Participant, Estimated Premium dividido por N</t>
  </si>
  <si>
    <t>Estimated Premium, Base in-Full Premium (min) sobre fator de agravo</t>
  </si>
  <si>
    <t>BRL</t>
  </si>
  <si>
    <t>Brazilian Factor</t>
  </si>
  <si>
    <t>Brazilian Pricing</t>
  </si>
  <si>
    <t>Seu nome</t>
  </si>
  <si>
    <t>Sobre nome</t>
  </si>
  <si>
    <t>E-mail</t>
  </si>
  <si>
    <t>Telefone</t>
  </si>
  <si>
    <t>Empresa que representa</t>
  </si>
  <si>
    <t>País em que está situado</t>
  </si>
  <si>
    <t>Corretora de seguros que te atende</t>
  </si>
  <si>
    <t>Data prevista para aprovação de seu projeto</t>
  </si>
  <si>
    <t>Data</t>
  </si>
  <si>
    <t>texto livre</t>
  </si>
  <si>
    <t>telefone</t>
  </si>
  <si>
    <t>Formato</t>
  </si>
  <si>
    <t>Dados requeridos</t>
  </si>
  <si>
    <t>Datas estimadas de FVFP e LVLP</t>
  </si>
  <si>
    <t>Qual a fase do estudo</t>
  </si>
  <si>
    <t>N/A; I; I/II; II; II/III; III; III/IV; IV; Pendete; Outros</t>
  </si>
  <si>
    <t>Indique uma da opções abaixo que melhor se encaixa do tipo de estudo clínco</t>
  </si>
  <si>
    <t>Retrospectivo
Coleta de dados prospectiva
Revisão sistemática
RWE e fase IV e farmacovigilância
Estudo pós-comercialização
Estudos de comparabilidade
Estudos padrão-ouro
Acesso expandido
Uso compassivo
PTA
Primeira fase em humanos e fase inicial</t>
  </si>
  <si>
    <t>Coleta de dados (observacional)
Alimentos e nutrição
Comésticos e higiene
Medicamentos, produtos farmacêuticos e moléculas
Dispositivo médico
Vacina
Cirurgia
Transfusão, transplante, tecidos, órgãos, terapia celular
Cannabis e derivados
Outros</t>
  </si>
  <si>
    <t>Tipo de objeto sob estudo</t>
  </si>
  <si>
    <t>Qual é o método de administração</t>
  </si>
  <si>
    <t>Haverá recrutamento de hipervulneráveis?</t>
  </si>
  <si>
    <t>Sim / não</t>
  </si>
  <si>
    <t>Qual é o n do estudo</t>
  </si>
  <si>
    <t>Número</t>
  </si>
  <si>
    <t>Descreva os principais riscos listados no protocolo e tcle</t>
  </si>
  <si>
    <t>Indique em quantos países seu estudo será conduzido</t>
  </si>
  <si>
    <t>Horizonte I (estimativa de custos)</t>
  </si>
  <si>
    <t>Horizonte 2 (estimativa de custos)</t>
  </si>
  <si>
    <t>Razão Social</t>
  </si>
  <si>
    <t>CNPJ</t>
  </si>
  <si>
    <t>Endereço</t>
  </si>
  <si>
    <t>Atividade</t>
  </si>
  <si>
    <t>Sponsor / PI / Site / CRO / Others</t>
  </si>
  <si>
    <t>Dados do segurado</t>
  </si>
  <si>
    <t>Dados do estudo (objeto segurado)</t>
  </si>
  <si>
    <t>Título do estudo</t>
  </si>
  <si>
    <t>Acrônimo</t>
  </si>
  <si>
    <t>Número do protocolo</t>
  </si>
  <si>
    <t>Versão do protocolo</t>
  </si>
  <si>
    <t>Fase do estudo</t>
  </si>
  <si>
    <t>Tipo de projeto</t>
  </si>
  <si>
    <t xml:space="preserve">Ensaio Clínico / Pesquisa Clínica / PTA / Acesso Expandido / Uso Compassivo / </t>
  </si>
  <si>
    <t>Descrição do objeto sob investigação e demais rotinas necessárias</t>
  </si>
  <si>
    <t>Desenho do estudo</t>
  </si>
  <si>
    <t>Dados do corretor</t>
  </si>
  <si>
    <t>Corretor</t>
  </si>
  <si>
    <t>Felipe Pereira</t>
  </si>
  <si>
    <t>Dados da apólice</t>
  </si>
  <si>
    <t>Limite Máximo de Garantia</t>
  </si>
  <si>
    <t xml:space="preserve">Moeda </t>
  </si>
  <si>
    <t>BRL / USD</t>
  </si>
  <si>
    <t>Coberturas XYZ</t>
  </si>
  <si>
    <t>Franquias XYZ</t>
  </si>
  <si>
    <t>Sublimites XYZ</t>
  </si>
  <si>
    <t>Prêmio líquido</t>
  </si>
  <si>
    <t>Comissão de corretagem</t>
  </si>
  <si>
    <t>%</t>
  </si>
  <si>
    <t>Início de vigência da apólice</t>
  </si>
  <si>
    <t>Retroatividade</t>
  </si>
  <si>
    <t>FIP SUSEP</t>
  </si>
  <si>
    <t>Seção 1 - Responsabilidade Civil - Pesquisas Clínicas</t>
  </si>
  <si>
    <t>Seção 2 - Responsabilidade Civil - Profissional Agentes de Pesquisas Clínicas</t>
  </si>
  <si>
    <t>Seções</t>
  </si>
  <si>
    <t>Cobertura Básica</t>
  </si>
  <si>
    <t>Danos Pessoais a Terceiros</t>
  </si>
  <si>
    <t>Danos Materiais ao(s) Patrocinador(es) de Pesquisas Clínicas</t>
  </si>
  <si>
    <t>Incidente de Pesquisas Clínicas (ou Erros e/ou Omissões)</t>
  </si>
  <si>
    <t>Coberturas Adicionais</t>
  </si>
  <si>
    <t>COBERTURA PARA DESPESAS COM A SUBSTITUIÇÃO DE PESSOA CHAVE NO
DESENVOLVIMENTO DA PESQUISA CLÍNICA</t>
  </si>
  <si>
    <t>COBERTURA DO RISCO DE VIOLAÇÃO DE DIREITOS DA PROPRIEDADE INTELECTUAL</t>
  </si>
  <si>
    <t>COBERTURA DO RISCO DE ATAQUES CIBERNÉTICOS E INCIDENTE CIBERNÉTICO</t>
  </si>
  <si>
    <t>COBERTURA PARA DANOS AMBIENTAIS E ECOLÓGICOS</t>
  </si>
  <si>
    <t>COBERTURA PARA DESPESAS COM A RECONSTITUIÇÃO DA IMAGEM DO SEGURADO</t>
  </si>
  <si>
    <t>COBERTURA PARA DESPESAS COM O COMPARECIMENTO A TRIBUNAIS</t>
  </si>
  <si>
    <t>COBERTURA PARA O RISCO DE RESPONSABILIDADE CIVIL DO EMPREGADOR</t>
  </si>
  <si>
    <t>COBERTURA DO RISCO DE VIOLAÇÃO DE CONFIDENCIALIDADE E/OU DE SIGILO
PROFISSIONAL</t>
  </si>
  <si>
    <t>COBERTURA DE DESPESAS COM A RECONSTITUIÇÃO DE DOCUMENTOS DE TERCEIROS</t>
  </si>
  <si>
    <t>COBERTURA PARA DANOS GENÉTICOS RESULTANTES DE PESQUISA CLÍNICA</t>
  </si>
  <si>
    <t>COBERTURA PARA O RISCO DE DESVIO OU VIOLAÇÃO DE PROTOCOLO DA PESQUISA
CLÍNICA</t>
  </si>
  <si>
    <t>COBERTURA PARA O RISCO DE REEXECUÇÃO DE SERVIÇOS E/OU DE PROCEDIMENTOS
DA PESQUISA CLÍNICA</t>
  </si>
  <si>
    <t>COBERTURA PARA O RISCO DA EXISTÊNCIA, USO E CONSERVAÇÃO DE CONSULTÓRIOS E DEMAIS PRÉDIOS E/OU INSTALACÕES OCUPADOS PELO SEGURADO</t>
  </si>
  <si>
    <t>COBERTURA PARA PROGRAMAS ASSISTENCIAIS DE USO COMPASSIVO, ACESSO
EXPANDIDO E FORNECIMENTO PÓS-ESTUDO</t>
  </si>
  <si>
    <t>COBERTURA PARA DANOS A IMÓVEIS E INSTALAÇÕES DE TERCEIROS, OCUPADOS PELO SEGURADO PARA A REALIZAÇÃO DA PESQUISA CLÍNICA</t>
  </si>
  <si>
    <t>DANOS A PARTICIPANTES DE PESQUISA CLÍNICA TRANSPORTADOS POR VEÍCULOS
TERRESTRES</t>
  </si>
  <si>
    <t>COBERTURA PARA DANOS A OBJETOS PESSOAIS DE TERCEIROS</t>
  </si>
  <si>
    <t>Escopo de Coberturas</t>
  </si>
  <si>
    <t>Fixo: NENHUM para Coleta de dados (observacional); Alimentos e nutrição; Comésticos e higiene; Medicamentos, produtos farmacêuticos e moléculas; Cannabis e derivados; Outros
Fixo: R$ 250.000,00 para Dispositivos médicos; Vacina; Cirurgia; Transfusão, transplante, tecidos, órgãos, terapia celular</t>
  </si>
  <si>
    <t xml:space="preserve">Número - Fixo: limitado a R$ 1.000.000,00 </t>
  </si>
  <si>
    <t>Fixo: POS de 10% com mínimo de R$ 10.000,00 across the board para Coleta de dados (observacional); Alimentos e nutrição; Comésticos e higiene; Medicamentos, produtos farmacêuticos e moléculas; Cannabis e derivados; Outros
Fixo: POS de 20% com mínimo de R$ 25.000,00 across the board para Dispositivos médicos; Vacina; Cirurgia; Transfusão, transplante, tecidos, órgãos, terapia celular</t>
  </si>
  <si>
    <t>Término de vigência da apólice</t>
  </si>
  <si>
    <t>Data (limitado a 1.095 dias)</t>
  </si>
  <si>
    <t>Prazo adicional</t>
  </si>
  <si>
    <t>1 ano</t>
  </si>
  <si>
    <t>PESO</t>
  </si>
  <si>
    <t>Lógica de Cálculos</t>
  </si>
  <si>
    <t>Opções</t>
  </si>
  <si>
    <t>Despesas com a Defesa do Segurado</t>
  </si>
  <si>
    <t>Despesas com o Sinistro</t>
  </si>
  <si>
    <t>Despesas de Contenção de Sinistros</t>
  </si>
  <si>
    <t>Despesas de Salvamento de Sinistros</t>
  </si>
  <si>
    <t>Despesas Médico-Hospitalares</t>
  </si>
  <si>
    <t>Responsabilidade Subsidiária do Segurado</t>
  </si>
  <si>
    <t>Corresponsabilidade do Segurado Adicional</t>
  </si>
  <si>
    <t>Retrospective (no interventions)</t>
  </si>
  <si>
    <t>RWD</t>
  </si>
  <si>
    <t>Pharmacovigilance</t>
  </si>
  <si>
    <t>Post-trial Access</t>
  </si>
  <si>
    <t>Early-phased or first-in-human</t>
  </si>
  <si>
    <t>Bioavailability</t>
  </si>
  <si>
    <t>Bioequivalence</t>
  </si>
  <si>
    <t>Compassionate Use</t>
  </si>
  <si>
    <t>standard</t>
  </si>
  <si>
    <t>min</t>
  </si>
  <si>
    <t>max</t>
  </si>
  <si>
    <t>premium</t>
  </si>
  <si>
    <t>basic</t>
  </si>
  <si>
    <t>Pricing</t>
  </si>
  <si>
    <t>Basic</t>
  </si>
  <si>
    <t>Standard</t>
  </si>
  <si>
    <t>Premium</t>
  </si>
  <si>
    <t>Pricing USD - globe except Brazil</t>
  </si>
  <si>
    <t>Pricing BRL - Brazil, only</t>
  </si>
  <si>
    <t>@</t>
  </si>
  <si>
    <t>limite de apólice</t>
  </si>
  <si>
    <t>Tipo de estudo:</t>
  </si>
  <si>
    <t>Fase do estudo:</t>
  </si>
  <si>
    <t>Objeto sob estudo:</t>
  </si>
  <si>
    <t>Coleta de Dados (Observacional)</t>
  </si>
  <si>
    <t>Alimento Nutrição</t>
  </si>
  <si>
    <t>Cosméticos Higiêne</t>
  </si>
  <si>
    <t>Drogas Fármacos Moléculas</t>
  </si>
  <si>
    <t>Dispositivo Médico</t>
  </si>
  <si>
    <t>Vacina</t>
  </si>
  <si>
    <t>Transfusões Transplante Tecidos Órgãos Terapias Celulares</t>
  </si>
  <si>
    <t>Outro</t>
  </si>
  <si>
    <t>Cannabis Derivados ou Alucenógenos</t>
  </si>
  <si>
    <t>Uso Compassivo</t>
  </si>
  <si>
    <t>V4 @ 26 Sep 25; FP (PT)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</si>
</sst>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7" formatCode="&quot;R$&quot;\ #,##0.00;\-&quot;R$&quot;\ #,##0.00"/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[$USD]\ * #,##0.00_-;\-[$USD]\ * #,##0.00_-;_-[$USD]\ * &quot;-&quot;??_-;_-@_-"/>
    <numFmt numFmtId="166" formatCode="0.0000%"/>
    <numFmt numFmtId="167" formatCode="#,##0_ ;\-#,##0\ "/>
    <numFmt numFmtId="168" formatCode="[$USD]\ #,##0.00;[Red]\-[$USD]\ #,##0.00"/>
    <numFmt numFmtId="169" formatCode="[$BRL]\ #,##0.00;[Red]\-[$BRL]\ #,##0.00"/>
    <numFmt numFmtId="170" formatCode="[$USD]\ #,##0.00;\-[$USD]\ #,##0.00"/>
    <numFmt numFmtId="171" formatCode="yyyy\-mm\-dd\ h:mm"/>
    <numFmt numFmtId="172" formatCode="yyyy\-mm\-dd"/>
    <numFmt numFmtId="173" formatCode="[$BRL]\ #,##0.00"/>
    <numFmt numFmtId="174" formatCode="[$USD]\ #,##0.00"/>
    <numFmt numFmtId="175" formatCode="0.000000%"/>
    <numFmt numFmtId="176" formatCode="_-[$BRL]\ * #,##0.00_-;\-[$BRL]\ * #,##0.00_-;_-[$BRL]\ * &quot;-&quot;??_-;_-@_-"/>
    <numFmt numFmtId="177" formatCode="0.000000"/>
    <numFmt numFmtId="178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 (Corpo)"/>
    </font>
    <font>
      <sz val="11"/>
      <color theme="1"/>
      <name val="Calibri Light"/>
      <family val="2"/>
      <scheme val="major"/>
    </font>
    <font>
      <b/>
      <sz val="11"/>
      <color theme="1" tint="0.249977111117893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12"/>
      <color theme="1"/>
      <name val="Helvetica"/>
      <family val="2"/>
    </font>
    <font>
      <sz val="12"/>
      <color theme="1"/>
      <name val="Arial"/>
      <family val="2"/>
    </font>
    <font>
      <sz val="13"/>
      <color theme="1"/>
      <name val="Helvetica Neue"/>
      <family val="2"/>
    </font>
  </fonts>
  <fills count="2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BC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E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dotted">
        <color auto="1"/>
      </left>
      <right/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1" fontId="21" fillId="0" borderId="0"/>
    <xf numFmtId="172" fontId="21" fillId="0" borderId="0"/>
    <xf numFmtId="171" fontId="22" fillId="0" borderId="0"/>
    <xf numFmtId="172" fontId="22" fillId="0" borderId="0"/>
    <xf numFmtId="171" fontId="23" fillId="0" borderId="0"/>
    <xf numFmtId="172" fontId="23" fillId="0" borderId="0"/>
    <xf numFmtId="171" fontId="24" fillId="0" borderId="0"/>
    <xf numFmtId="172" fontId="24" fillId="0" borderId="0"/>
    <xf numFmtId="44" fontId="1" fillId="0" borderId="0" applyFont="0" applyFill="0" applyBorder="0" applyAlignment="0" applyProtection="0"/>
  </cellStyleXfs>
  <cellXfs count="323">
    <xf numFmtId="0" fontId="0" fillId="0" borderId="0" xfId="0"/>
    <xf numFmtId="0" fontId="3" fillId="0" borderId="0" xfId="0" applyFont="1" applyAlignment="1">
      <alignment horizontal="center"/>
    </xf>
    <xf numFmtId="8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0" fontId="0" fillId="0" borderId="0" xfId="0" applyNumberFormat="1"/>
    <xf numFmtId="0" fontId="3" fillId="0" borderId="1" xfId="0" applyFont="1" applyBorder="1" applyAlignment="1">
      <alignment horizontal="left" indent="1"/>
    </xf>
    <xf numFmtId="0" fontId="0" fillId="0" borderId="1" xfId="0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8" fontId="2" fillId="0" borderId="0" xfId="0" applyNumberFormat="1" applyFont="1" applyAlignment="1">
      <alignment horizontal="left" vertical="center" indent="1"/>
    </xf>
    <xf numFmtId="44" fontId="0" fillId="0" borderId="0" xfId="0" applyNumberForma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0" xfId="0" applyFont="1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0" fontId="9" fillId="5" borderId="2" xfId="0" applyFont="1" applyFill="1" applyBorder="1" applyAlignment="1">
      <alignment vertical="center"/>
    </xf>
    <xf numFmtId="0" fontId="3" fillId="0" borderId="0" xfId="0" applyFont="1" applyAlignment="1">
      <alignment horizontal="left"/>
    </xf>
    <xf numFmtId="0" fontId="6" fillId="4" borderId="2" xfId="0" applyFont="1" applyFill="1" applyBorder="1"/>
    <xf numFmtId="0" fontId="9" fillId="5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0" fontId="0" fillId="0" borderId="0" xfId="1" applyNumberFormat="1" applyFont="1"/>
    <xf numFmtId="0" fontId="1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/>
    <xf numFmtId="7" fontId="3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49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9" fontId="1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9" fontId="6" fillId="4" borderId="2" xfId="1" applyFont="1" applyFill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164" fontId="12" fillId="0" borderId="0" xfId="2" applyNumberFormat="1" applyFont="1" applyAlignment="1">
      <alignment horizontal="center"/>
    </xf>
    <xf numFmtId="10" fontId="12" fillId="0" borderId="0" xfId="0" applyNumberFormat="1" applyFont="1"/>
    <xf numFmtId="8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15" fillId="0" borderId="0" xfId="0" applyNumberFormat="1" applyFont="1" applyAlignment="1">
      <alignment horizontal="left"/>
    </xf>
    <xf numFmtId="8" fontId="12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8" fontId="16" fillId="0" borderId="0" xfId="0" applyNumberFormat="1" applyFont="1" applyAlignment="1">
      <alignment horizontal="left"/>
    </xf>
    <xf numFmtId="0" fontId="14" fillId="4" borderId="2" xfId="0" applyFont="1" applyFill="1" applyBorder="1"/>
    <xf numFmtId="8" fontId="14" fillId="0" borderId="0" xfId="0" applyNumberFormat="1" applyFont="1" applyAlignment="1">
      <alignment horizontal="left" vertical="center"/>
    </xf>
    <xf numFmtId="8" fontId="15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7" fontId="0" fillId="0" borderId="0" xfId="0" applyNumberFormat="1" applyAlignment="1">
      <alignment horizontal="center"/>
    </xf>
    <xf numFmtId="8" fontId="13" fillId="0" borderId="0" xfId="0" applyNumberFormat="1" applyFont="1" applyAlignment="1">
      <alignment horizontal="left" vertical="center" indent="1"/>
    </xf>
    <xf numFmtId="8" fontId="17" fillId="0" borderId="0" xfId="0" applyNumberFormat="1" applyFont="1" applyAlignment="1">
      <alignment horizontal="left"/>
    </xf>
    <xf numFmtId="168" fontId="17" fillId="0" borderId="0" xfId="0" applyNumberFormat="1" applyFont="1" applyAlignment="1">
      <alignment horizontal="left"/>
    </xf>
    <xf numFmtId="10" fontId="15" fillId="0" borderId="0" xfId="1" applyNumberFormat="1" applyFont="1" applyAlignment="1">
      <alignment horizontal="center"/>
    </xf>
    <xf numFmtId="8" fontId="18" fillId="0" borderId="0" xfId="0" applyNumberFormat="1" applyFont="1" applyAlignment="1">
      <alignment horizontal="left" vertical="center" indent="1"/>
    </xf>
    <xf numFmtId="8" fontId="19" fillId="0" borderId="0" xfId="0" applyNumberFormat="1" applyFont="1" applyAlignment="1">
      <alignment horizontal="left"/>
    </xf>
    <xf numFmtId="8" fontId="20" fillId="0" borderId="0" xfId="0" applyNumberFormat="1" applyFont="1" applyAlignment="1">
      <alignment horizontal="left"/>
    </xf>
    <xf numFmtId="10" fontId="20" fillId="0" borderId="0" xfId="1" applyNumberFormat="1" applyFont="1" applyAlignment="1">
      <alignment horizontal="center"/>
    </xf>
    <xf numFmtId="170" fontId="3" fillId="0" borderId="0" xfId="0" applyNumberFormat="1" applyFont="1" applyAlignment="1">
      <alignment horizontal="center"/>
    </xf>
    <xf numFmtId="169" fontId="12" fillId="0" borderId="0" xfId="0" applyNumberFormat="1" applyFont="1" applyAlignment="1">
      <alignment horizontal="center"/>
    </xf>
    <xf numFmtId="0" fontId="6" fillId="4" borderId="2" xfId="0" applyFont="1" applyFill="1" applyBorder="1" applyAlignment="1">
      <alignment horizontal="left"/>
    </xf>
    <xf numFmtId="8" fontId="12" fillId="0" borderId="0" xfId="0" applyNumberFormat="1" applyFont="1" applyAlignment="1">
      <alignment horizontal="left"/>
    </xf>
    <xf numFmtId="0" fontId="0" fillId="0" borderId="4" xfId="0" applyBorder="1"/>
    <xf numFmtId="173" fontId="19" fillId="0" borderId="0" xfId="0" applyNumberFormat="1" applyFont="1" applyAlignment="1">
      <alignment horizontal="left"/>
    </xf>
    <xf numFmtId="169" fontId="0" fillId="0" borderId="0" xfId="0" applyNumberFormat="1" applyAlignment="1">
      <alignment horizontal="center"/>
    </xf>
    <xf numFmtId="0" fontId="3" fillId="4" borderId="2" xfId="0" applyFont="1" applyFill="1" applyBorder="1" applyAlignment="1">
      <alignment horizontal="left"/>
    </xf>
    <xf numFmtId="173" fontId="17" fillId="0" borderId="0" xfId="0" applyNumberFormat="1" applyFont="1" applyAlignment="1">
      <alignment horizontal="left"/>
    </xf>
    <xf numFmtId="173" fontId="3" fillId="4" borderId="2" xfId="0" applyNumberFormat="1" applyFont="1" applyFill="1" applyBorder="1" applyAlignment="1">
      <alignment horizontal="left"/>
    </xf>
    <xf numFmtId="173" fontId="6" fillId="4" borderId="2" xfId="1" applyNumberFormat="1" applyFont="1" applyFill="1" applyBorder="1" applyAlignment="1">
      <alignment horizontal="left"/>
    </xf>
    <xf numFmtId="173" fontId="6" fillId="4" borderId="2" xfId="0" applyNumberFormat="1" applyFont="1" applyFill="1" applyBorder="1" applyAlignment="1">
      <alignment horizontal="left"/>
    </xf>
    <xf numFmtId="166" fontId="20" fillId="0" borderId="0" xfId="1" applyNumberFormat="1" applyFont="1" applyAlignment="1">
      <alignment horizontal="left"/>
    </xf>
    <xf numFmtId="166" fontId="15" fillId="0" borderId="0" xfId="1" applyNumberFormat="1" applyFont="1" applyAlignment="1">
      <alignment horizontal="center"/>
    </xf>
    <xf numFmtId="9" fontId="6" fillId="4" borderId="2" xfId="1" applyFont="1" applyFill="1" applyBorder="1" applyAlignment="1">
      <alignment horizontal="left"/>
    </xf>
    <xf numFmtId="8" fontId="18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left"/>
    </xf>
    <xf numFmtId="169" fontId="0" fillId="0" borderId="0" xfId="0" applyNumberForma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indent="1"/>
    </xf>
    <xf numFmtId="0" fontId="6" fillId="0" borderId="2" xfId="0" applyFont="1" applyBorder="1" applyAlignment="1">
      <alignment horizontal="left"/>
    </xf>
    <xf numFmtId="4" fontId="12" fillId="0" borderId="0" xfId="0" applyNumberFormat="1" applyFont="1" applyAlignment="1">
      <alignment horizontal="left"/>
    </xf>
    <xf numFmtId="173" fontId="1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0" fontId="3" fillId="14" borderId="2" xfId="0" applyFont="1" applyFill="1" applyBorder="1" applyAlignment="1">
      <alignment horizontal="left"/>
    </xf>
    <xf numFmtId="4" fontId="17" fillId="0" borderId="0" xfId="0" applyNumberFormat="1" applyFont="1" applyAlignment="1">
      <alignment horizontal="left"/>
    </xf>
    <xf numFmtId="4" fontId="20" fillId="0" borderId="0" xfId="0" applyNumberFormat="1" applyFont="1" applyAlignment="1">
      <alignment horizontal="left"/>
    </xf>
    <xf numFmtId="4" fontId="19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174" fontId="17" fillId="0" borderId="0" xfId="0" applyNumberFormat="1" applyFont="1" applyAlignment="1">
      <alignment horizontal="left"/>
    </xf>
    <xf numFmtId="173" fontId="15" fillId="0" borderId="0" xfId="0" applyNumberFormat="1" applyFont="1" applyAlignment="1">
      <alignment horizontal="left"/>
    </xf>
    <xf numFmtId="4" fontId="12" fillId="0" borderId="1" xfId="0" applyNumberFormat="1" applyFont="1" applyBorder="1" applyAlignment="1">
      <alignment horizontal="left"/>
    </xf>
    <xf numFmtId="0" fontId="0" fillId="15" borderId="4" xfId="0" applyFill="1" applyBorder="1"/>
    <xf numFmtId="0" fontId="3" fillId="6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5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 indent="1"/>
    </xf>
    <xf numFmtId="0" fontId="25" fillId="4" borderId="2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25" fillId="16" borderId="0" xfId="0" applyFont="1" applyFill="1"/>
    <xf numFmtId="0" fontId="25" fillId="4" borderId="2" xfId="0" applyFont="1" applyFill="1" applyBorder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center"/>
      <protection locked="0"/>
    </xf>
    <xf numFmtId="173" fontId="25" fillId="4" borderId="2" xfId="0" applyNumberFormat="1" applyFont="1" applyFill="1" applyBorder="1" applyAlignment="1" applyProtection="1">
      <alignment horizontal="left"/>
      <protection locked="0"/>
    </xf>
    <xf numFmtId="167" fontId="19" fillId="0" borderId="0" xfId="0" applyNumberFormat="1" applyFont="1"/>
    <xf numFmtId="0" fontId="19" fillId="4" borderId="0" xfId="0" applyFont="1" applyFill="1" applyAlignment="1" applyProtection="1">
      <alignment horizontal="left" vertical="center" indent="1"/>
      <protection locked="0"/>
    </xf>
    <xf numFmtId="0" fontId="19" fillId="0" borderId="0" xfId="0" applyFont="1" applyAlignment="1" applyProtection="1">
      <alignment horizontal="left" vertical="center" indent="1"/>
      <protection locked="0"/>
    </xf>
    <xf numFmtId="0" fontId="19" fillId="0" borderId="1" xfId="0" applyFont="1" applyBorder="1" applyAlignment="1">
      <alignment horizontal="left" vertical="center"/>
    </xf>
    <xf numFmtId="0" fontId="25" fillId="0" borderId="1" xfId="0" applyFont="1" applyBorder="1" applyAlignment="1" applyProtection="1">
      <alignment horizontal="left" vertical="center"/>
      <protection locked="0"/>
    </xf>
    <xf numFmtId="0" fontId="2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27" fillId="0" borderId="0" xfId="0" applyFont="1"/>
    <xf numFmtId="0" fontId="19" fillId="0" borderId="0" xfId="0" applyFont="1" applyAlignment="1">
      <alignment horizontal="right"/>
    </xf>
    <xf numFmtId="0" fontId="27" fillId="7" borderId="0" xfId="0" applyFont="1" applyFill="1"/>
    <xf numFmtId="0" fontId="27" fillId="0" borderId="0" xfId="0" applyFont="1" applyAlignment="1">
      <alignment horizontal="right"/>
    </xf>
    <xf numFmtId="0" fontId="27" fillId="7" borderId="0" xfId="0" applyFont="1" applyFill="1" applyAlignment="1">
      <alignment horizontal="right"/>
    </xf>
    <xf numFmtId="0" fontId="27" fillId="7" borderId="0" xfId="0" applyFont="1" applyFill="1" applyAlignment="1">
      <alignment horizontal="left"/>
    </xf>
    <xf numFmtId="0" fontId="19" fillId="4" borderId="0" xfId="0" applyFont="1" applyFill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right" vertical="center"/>
      <protection locked="0"/>
    </xf>
    <xf numFmtId="167" fontId="25" fillId="0" borderId="1" xfId="0" applyNumberFormat="1" applyFont="1" applyBorder="1" applyAlignment="1" applyProtection="1">
      <alignment horizontal="right" vertical="center"/>
      <protection locked="0"/>
    </xf>
    <xf numFmtId="8" fontId="19" fillId="0" borderId="0" xfId="0" applyNumberFormat="1" applyFont="1" applyAlignment="1">
      <alignment horizontal="center"/>
    </xf>
    <xf numFmtId="0" fontId="28" fillId="0" borderId="0" xfId="0" applyFont="1"/>
    <xf numFmtId="9" fontId="0" fillId="0" borderId="0" xfId="0" applyNumberFormat="1"/>
    <xf numFmtId="0" fontId="19" fillId="4" borderId="2" xfId="0" applyFont="1" applyFill="1" applyBorder="1" applyAlignment="1">
      <alignment horizontal="left"/>
    </xf>
    <xf numFmtId="0" fontId="19" fillId="4" borderId="2" xfId="0" applyFont="1" applyFill="1" applyBorder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167" fontId="25" fillId="0" borderId="0" xfId="0" applyNumberFormat="1" applyFont="1" applyAlignment="1" applyProtection="1">
      <alignment horizontal="right" vertical="center"/>
      <protection locked="0"/>
    </xf>
    <xf numFmtId="0" fontId="19" fillId="5" borderId="0" xfId="0" applyFont="1" applyFill="1" applyAlignment="1" applyProtection="1">
      <alignment horizontal="left" vertical="center" indent="1"/>
      <protection locked="0"/>
    </xf>
    <xf numFmtId="0" fontId="19" fillId="5" borderId="0" xfId="0" applyFont="1" applyFill="1" applyAlignment="1" applyProtection="1">
      <alignment horizontal="right" vertical="center"/>
      <protection locked="0"/>
    </xf>
    <xf numFmtId="164" fontId="19" fillId="0" borderId="0" xfId="2" applyNumberFormat="1" applyFont="1" applyBorder="1" applyAlignment="1" applyProtection="1">
      <alignment horizontal="center"/>
      <protection locked="0"/>
    </xf>
    <xf numFmtId="0" fontId="19" fillId="17" borderId="0" xfId="0" applyFont="1" applyFill="1"/>
    <xf numFmtId="0" fontId="19" fillId="7" borderId="0" xfId="0" applyFont="1" applyFill="1"/>
    <xf numFmtId="0" fontId="19" fillId="18" borderId="0" xfId="0" applyFont="1" applyFill="1"/>
    <xf numFmtId="0" fontId="19" fillId="3" borderId="0" xfId="0" applyFont="1" applyFill="1"/>
    <xf numFmtId="173" fontId="19" fillId="0" borderId="0" xfId="0" applyNumberFormat="1" applyFont="1" applyAlignment="1" applyProtection="1">
      <alignment horizontal="center"/>
      <protection locked="0"/>
    </xf>
    <xf numFmtId="169" fontId="19" fillId="0" borderId="0" xfId="0" applyNumberFormat="1" applyFont="1" applyAlignment="1" applyProtection="1">
      <alignment horizontal="left"/>
      <protection locked="0"/>
    </xf>
    <xf numFmtId="10" fontId="19" fillId="0" borderId="0" xfId="0" applyNumberFormat="1" applyFont="1" applyAlignment="1" applyProtection="1">
      <alignment horizontal="left"/>
      <protection locked="0"/>
    </xf>
    <xf numFmtId="165" fontId="25" fillId="0" borderId="0" xfId="0" applyNumberFormat="1" applyFont="1" applyAlignment="1" applyProtection="1">
      <alignment horizontal="left"/>
      <protection locked="0"/>
    </xf>
    <xf numFmtId="173" fontId="19" fillId="0" borderId="0" xfId="0" applyNumberFormat="1" applyFont="1" applyAlignment="1">
      <alignment horizontal="center"/>
    </xf>
    <xf numFmtId="0" fontId="19" fillId="0" borderId="0" xfId="0" applyFont="1" applyProtection="1">
      <protection locked="0"/>
    </xf>
    <xf numFmtId="3" fontId="19" fillId="0" borderId="0" xfId="0" applyNumberFormat="1" applyFont="1" applyAlignment="1" applyProtection="1">
      <alignment horizontal="left" indent="1"/>
      <protection locked="0"/>
    </xf>
    <xf numFmtId="4" fontId="19" fillId="0" borderId="0" xfId="0" applyNumberFormat="1" applyFont="1" applyAlignment="1" applyProtection="1">
      <alignment horizontal="left" vertical="center" indent="1"/>
      <protection locked="0"/>
    </xf>
    <xf numFmtId="175" fontId="19" fillId="0" borderId="0" xfId="1" applyNumberFormat="1" applyFont="1" applyAlignment="1" applyProtection="1">
      <alignment horizontal="left" vertical="center" indent="1"/>
      <protection locked="0"/>
    </xf>
    <xf numFmtId="0" fontId="25" fillId="0" borderId="0" xfId="0" applyFont="1"/>
    <xf numFmtId="0" fontId="25" fillId="0" borderId="0" xfId="0" applyFont="1" applyAlignment="1">
      <alignment horizontal="center"/>
    </xf>
    <xf numFmtId="7" fontId="25" fillId="0" borderId="0" xfId="0" applyNumberFormat="1" applyFont="1" applyAlignment="1" applyProtection="1">
      <alignment horizontal="center"/>
      <protection locked="0"/>
    </xf>
    <xf numFmtId="170" fontId="25" fillId="0" borderId="0" xfId="0" applyNumberFormat="1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/>
      <protection locked="0"/>
    </xf>
    <xf numFmtId="7" fontId="19" fillId="0" borderId="0" xfId="0" applyNumberFormat="1" applyFont="1" applyAlignment="1" applyProtection="1">
      <alignment horizontal="center"/>
      <protection locked="0"/>
    </xf>
    <xf numFmtId="10" fontId="19" fillId="0" borderId="0" xfId="0" applyNumberFormat="1" applyFont="1" applyAlignment="1" applyProtection="1">
      <alignment horizontal="center"/>
      <protection locked="0"/>
    </xf>
    <xf numFmtId="10" fontId="19" fillId="0" borderId="0" xfId="0" applyNumberFormat="1" applyFont="1" applyAlignment="1" applyProtection="1">
      <alignment horizontal="right"/>
      <protection locked="0"/>
    </xf>
    <xf numFmtId="169" fontId="19" fillId="0" borderId="0" xfId="0" applyNumberFormat="1" applyFont="1" applyAlignment="1" applyProtection="1">
      <alignment horizontal="right"/>
      <protection locked="0"/>
    </xf>
    <xf numFmtId="164" fontId="19" fillId="0" borderId="0" xfId="2" applyNumberFormat="1" applyFont="1" applyFill="1" applyBorder="1" applyAlignment="1" applyProtection="1">
      <alignment horizontal="center"/>
      <protection locked="0"/>
    </xf>
    <xf numFmtId="173" fontId="19" fillId="0" borderId="0" xfId="0" applyNumberFormat="1" applyFont="1" applyAlignment="1" applyProtection="1">
      <alignment horizontal="left"/>
      <protection locked="0"/>
    </xf>
    <xf numFmtId="176" fontId="19" fillId="0" borderId="0" xfId="13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 applyAlignment="1">
      <alignment horizontal="left" indent="1"/>
    </xf>
    <xf numFmtId="167" fontId="19" fillId="0" borderId="0" xfId="0" applyNumberFormat="1" applyFont="1" applyAlignment="1">
      <alignment horizontal="center"/>
    </xf>
    <xf numFmtId="8" fontId="25" fillId="0" borderId="0" xfId="0" applyNumberFormat="1" applyFont="1" applyAlignment="1">
      <alignment horizontal="left" vertical="center" indent="1"/>
    </xf>
    <xf numFmtId="165" fontId="19" fillId="0" borderId="0" xfId="13" applyNumberFormat="1" applyFont="1" applyAlignment="1" applyProtection="1">
      <alignment horizontal="center"/>
      <protection locked="0"/>
    </xf>
    <xf numFmtId="0" fontId="3" fillId="0" borderId="0" xfId="0" applyFont="1"/>
    <xf numFmtId="43" fontId="3" fillId="0" borderId="0" xfId="2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3" fontId="3" fillId="0" borderId="0" xfId="2" applyFont="1" applyBorder="1" applyAlignment="1">
      <alignment horizontal="center" vertical="center"/>
    </xf>
    <xf numFmtId="10" fontId="3" fillId="0" borderId="0" xfId="2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2" quotePrefix="1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 applyProtection="1">
      <alignment horizontal="left" vertical="center"/>
      <protection locked="0"/>
    </xf>
    <xf numFmtId="167" fontId="3" fillId="0" borderId="1" xfId="0" applyNumberFormat="1" applyFont="1" applyBorder="1" applyAlignment="1" applyProtection="1">
      <alignment horizontal="right" vertical="center"/>
      <protection locked="0"/>
    </xf>
    <xf numFmtId="43" fontId="3" fillId="0" borderId="0" xfId="2" applyFont="1" applyAlignment="1">
      <alignment vertical="center" wrapText="1"/>
    </xf>
    <xf numFmtId="43" fontId="3" fillId="0" borderId="0" xfId="2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9" fontId="5" fillId="0" borderId="0" xfId="0" applyNumberFormat="1" applyFont="1" applyAlignment="1">
      <alignment vertical="center"/>
    </xf>
    <xf numFmtId="178" fontId="3" fillId="0" borderId="1" xfId="0" applyNumberFormat="1" applyFont="1" applyBorder="1" applyAlignment="1" applyProtection="1">
      <alignment horizontal="right" vertical="center"/>
      <protection locked="0"/>
    </xf>
    <xf numFmtId="0" fontId="0" fillId="17" borderId="0" xfId="0" applyFill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9" fontId="0" fillId="17" borderId="0" xfId="0" applyNumberFormat="1" applyFill="1" applyAlignment="1">
      <alignment horizontal="center" vertical="center"/>
    </xf>
    <xf numFmtId="0" fontId="3" fillId="19" borderId="7" xfId="0" applyFont="1" applyFill="1" applyBorder="1" applyAlignment="1">
      <alignment horizontal="center" vertical="center" wrapText="1"/>
    </xf>
    <xf numFmtId="0" fontId="3" fillId="19" borderId="8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3" fontId="3" fillId="0" borderId="2" xfId="2" applyFont="1" applyBorder="1" applyAlignment="1">
      <alignment horizontal="center"/>
    </xf>
    <xf numFmtId="43" fontId="3" fillId="0" borderId="2" xfId="2" applyFont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43" fontId="1" fillId="0" borderId="0" xfId="2" applyFont="1"/>
    <xf numFmtId="175" fontId="1" fillId="0" borderId="0" xfId="1" applyNumberFormat="1" applyFont="1"/>
    <xf numFmtId="43" fontId="1" fillId="0" borderId="0" xfId="2" applyFont="1" applyAlignment="1">
      <alignment horizontal="center"/>
    </xf>
    <xf numFmtId="43" fontId="1" fillId="0" borderId="0" xfId="2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43" fontId="1" fillId="0" borderId="0" xfId="2" applyFont="1" applyAlignment="1">
      <alignment vertical="center"/>
    </xf>
    <xf numFmtId="175" fontId="1" fillId="0" borderId="0" xfId="1" applyNumberFormat="1" applyFont="1" applyAlignment="1">
      <alignment vertical="center"/>
    </xf>
    <xf numFmtId="43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3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horizontal="center" vertical="center"/>
    </xf>
    <xf numFmtId="43" fontId="1" fillId="19" borderId="7" xfId="0" applyNumberFormat="1" applyFont="1" applyFill="1" applyBorder="1" applyAlignment="1">
      <alignment vertical="center"/>
    </xf>
    <xf numFmtId="43" fontId="1" fillId="19" borderId="8" xfId="0" applyNumberFormat="1" applyFont="1" applyFill="1" applyBorder="1" applyAlignment="1">
      <alignment vertical="center"/>
    </xf>
    <xf numFmtId="43" fontId="1" fillId="0" borderId="0" xfId="0" applyNumberFormat="1" applyFont="1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0" fontId="1" fillId="4" borderId="0" xfId="0" applyFont="1" applyFill="1" applyAlignment="1" applyProtection="1">
      <alignment horizontal="left" vertical="center"/>
      <protection locked="0"/>
    </xf>
    <xf numFmtId="0" fontId="1" fillId="4" borderId="0" xfId="0" applyFont="1" applyFill="1" applyAlignment="1" applyProtection="1">
      <alignment horizontal="right" vertical="center"/>
      <protection locked="0"/>
    </xf>
    <xf numFmtId="178" fontId="1" fillId="4" borderId="0" xfId="0" applyNumberFormat="1" applyFont="1" applyFill="1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178" fontId="1" fillId="0" borderId="0" xfId="0" applyNumberFormat="1" applyFont="1" applyAlignment="1" applyProtection="1">
      <alignment horizontal="right" vertical="center"/>
      <protection locked="0"/>
    </xf>
    <xf numFmtId="0" fontId="1" fillId="5" borderId="0" xfId="0" applyFont="1" applyFill="1" applyAlignment="1" applyProtection="1">
      <alignment horizontal="left" vertical="center"/>
      <protection locked="0"/>
    </xf>
    <xf numFmtId="0" fontId="1" fillId="5" borderId="0" xfId="0" applyFont="1" applyFill="1" applyAlignment="1" applyProtection="1">
      <alignment horizontal="right" vertical="center"/>
      <protection locked="0"/>
    </xf>
    <xf numFmtId="178" fontId="1" fillId="5" borderId="0" xfId="0" applyNumberFormat="1" applyFont="1" applyFill="1" applyAlignment="1" applyProtection="1">
      <alignment horizontal="right" vertical="center"/>
      <protection locked="0"/>
    </xf>
    <xf numFmtId="0" fontId="1" fillId="0" borderId="1" xfId="0" applyFont="1" applyBorder="1" applyAlignment="1">
      <alignment horizontal="left" vertical="center"/>
    </xf>
    <xf numFmtId="175" fontId="1" fillId="0" borderId="0" xfId="1" applyNumberFormat="1" applyFont="1" applyAlignment="1">
      <alignment horizontal="center"/>
    </xf>
    <xf numFmtId="43" fontId="3" fillId="7" borderId="0" xfId="2" applyFont="1" applyFill="1" applyAlignment="1">
      <alignment horizontal="left"/>
    </xf>
    <xf numFmtId="175" fontId="1" fillId="7" borderId="0" xfId="1" applyNumberFormat="1" applyFont="1" applyFill="1"/>
    <xf numFmtId="0" fontId="3" fillId="0" borderId="15" xfId="0" applyFont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center" vertical="center" wrapText="1"/>
    </xf>
    <xf numFmtId="0" fontId="3" fillId="20" borderId="11" xfId="0" applyFont="1" applyFill="1" applyBorder="1" applyAlignment="1">
      <alignment vertical="center"/>
    </xf>
    <xf numFmtId="43" fontId="3" fillId="20" borderId="11" xfId="2" applyFont="1" applyFill="1" applyBorder="1" applyAlignment="1">
      <alignment vertical="center"/>
    </xf>
    <xf numFmtId="175" fontId="3" fillId="20" borderId="11" xfId="1" applyNumberFormat="1" applyFont="1" applyFill="1" applyBorder="1" applyAlignment="1">
      <alignment vertical="center"/>
    </xf>
    <xf numFmtId="43" fontId="3" fillId="20" borderId="11" xfId="0" applyNumberFormat="1" applyFont="1" applyFill="1" applyBorder="1" applyAlignment="1">
      <alignment horizontal="center" vertical="center"/>
    </xf>
    <xf numFmtId="9" fontId="3" fillId="20" borderId="11" xfId="0" applyNumberFormat="1" applyFont="1" applyFill="1" applyBorder="1" applyAlignment="1">
      <alignment horizontal="center" vertical="center"/>
    </xf>
    <xf numFmtId="43" fontId="3" fillId="20" borderId="11" xfId="0" applyNumberFormat="1" applyFont="1" applyFill="1" applyBorder="1" applyAlignment="1">
      <alignment vertical="center"/>
    </xf>
    <xf numFmtId="0" fontId="3" fillId="20" borderId="11" xfId="0" applyFont="1" applyFill="1" applyBorder="1" applyAlignment="1">
      <alignment horizontal="center" vertical="center"/>
    </xf>
    <xf numFmtId="177" fontId="3" fillId="20" borderId="11" xfId="0" applyNumberFormat="1" applyFont="1" applyFill="1" applyBorder="1" applyAlignment="1">
      <alignment horizontal="center" vertical="center"/>
    </xf>
    <xf numFmtId="43" fontId="3" fillId="20" borderId="12" xfId="0" applyNumberFormat="1" applyFont="1" applyFill="1" applyBorder="1" applyAlignment="1">
      <alignment vertical="center"/>
    </xf>
    <xf numFmtId="43" fontId="3" fillId="20" borderId="13" xfId="0" applyNumberFormat="1" applyFont="1" applyFill="1" applyBorder="1" applyAlignment="1">
      <alignment vertical="center"/>
    </xf>
    <xf numFmtId="43" fontId="3" fillId="21" borderId="11" xfId="0" applyNumberFormat="1" applyFont="1" applyFill="1" applyBorder="1" applyAlignment="1">
      <alignment vertical="center"/>
    </xf>
    <xf numFmtId="43" fontId="3" fillId="22" borderId="11" xfId="0" applyNumberFormat="1" applyFont="1" applyFill="1" applyBorder="1" applyAlignment="1">
      <alignment vertical="center"/>
    </xf>
    <xf numFmtId="43" fontId="3" fillId="23" borderId="11" xfId="0" applyNumberFormat="1" applyFont="1" applyFill="1" applyBorder="1" applyAlignment="1">
      <alignment vertical="center"/>
    </xf>
    <xf numFmtId="43" fontId="3" fillId="19" borderId="11" xfId="0" applyNumberFormat="1" applyFont="1" applyFill="1" applyBorder="1" applyAlignment="1">
      <alignment vertical="center"/>
    </xf>
    <xf numFmtId="43" fontId="3" fillId="25" borderId="11" xfId="0" applyNumberFormat="1" applyFont="1" applyFill="1" applyBorder="1" applyAlignment="1">
      <alignment vertical="center"/>
    </xf>
    <xf numFmtId="43" fontId="3" fillId="26" borderId="11" xfId="0" applyNumberFormat="1" applyFont="1" applyFill="1" applyBorder="1" applyAlignment="1">
      <alignment vertical="center"/>
    </xf>
    <xf numFmtId="0" fontId="3" fillId="20" borderId="0" xfId="0" applyFont="1" applyFill="1" applyBorder="1" applyAlignment="1">
      <alignment vertical="center"/>
    </xf>
    <xf numFmtId="43" fontId="3" fillId="20" borderId="0" xfId="2" applyFont="1" applyFill="1" applyBorder="1" applyAlignment="1">
      <alignment vertical="center"/>
    </xf>
    <xf numFmtId="175" fontId="3" fillId="20" borderId="0" xfId="1" applyNumberFormat="1" applyFont="1" applyFill="1" applyBorder="1" applyAlignment="1">
      <alignment vertical="center"/>
    </xf>
    <xf numFmtId="43" fontId="3" fillId="20" borderId="0" xfId="0" applyNumberFormat="1" applyFont="1" applyFill="1" applyBorder="1" applyAlignment="1">
      <alignment horizontal="center" vertical="center"/>
    </xf>
    <xf numFmtId="9" fontId="3" fillId="20" borderId="0" xfId="0" applyNumberFormat="1" applyFont="1" applyFill="1" applyBorder="1" applyAlignment="1">
      <alignment horizontal="center" vertical="center"/>
    </xf>
    <xf numFmtId="43" fontId="3" fillId="20" borderId="0" xfId="0" applyNumberFormat="1" applyFont="1" applyFill="1" applyBorder="1" applyAlignment="1">
      <alignment vertical="center"/>
    </xf>
    <xf numFmtId="0" fontId="3" fillId="20" borderId="0" xfId="0" applyFont="1" applyFill="1" applyBorder="1" applyAlignment="1">
      <alignment horizontal="center" vertical="center"/>
    </xf>
    <xf numFmtId="177" fontId="3" fillId="20" borderId="0" xfId="0" applyNumberFormat="1" applyFont="1" applyFill="1" applyBorder="1" applyAlignment="1">
      <alignment horizontal="center" vertical="center"/>
    </xf>
    <xf numFmtId="43" fontId="3" fillId="20" borderId="7" xfId="0" applyNumberFormat="1" applyFont="1" applyFill="1" applyBorder="1" applyAlignment="1">
      <alignment vertical="center"/>
    </xf>
    <xf numFmtId="43" fontId="3" fillId="20" borderId="8" xfId="0" applyNumberFormat="1" applyFont="1" applyFill="1" applyBorder="1" applyAlignment="1">
      <alignment vertical="center"/>
    </xf>
    <xf numFmtId="43" fontId="3" fillId="21" borderId="0" xfId="0" applyNumberFormat="1" applyFont="1" applyFill="1" applyBorder="1" applyAlignment="1">
      <alignment vertical="center"/>
    </xf>
    <xf numFmtId="43" fontId="3" fillId="22" borderId="0" xfId="0" applyNumberFormat="1" applyFont="1" applyFill="1" applyBorder="1" applyAlignment="1">
      <alignment vertical="center"/>
    </xf>
    <xf numFmtId="43" fontId="3" fillId="23" borderId="0" xfId="0" applyNumberFormat="1" applyFont="1" applyFill="1" applyBorder="1" applyAlignment="1">
      <alignment vertical="center"/>
    </xf>
    <xf numFmtId="43" fontId="3" fillId="19" borderId="0" xfId="0" applyNumberFormat="1" applyFont="1" applyFill="1" applyBorder="1" applyAlignment="1">
      <alignment vertical="center"/>
    </xf>
    <xf numFmtId="43" fontId="3" fillId="25" borderId="0" xfId="0" applyNumberFormat="1" applyFont="1" applyFill="1" applyBorder="1" applyAlignment="1">
      <alignment vertical="center"/>
    </xf>
    <xf numFmtId="43" fontId="3" fillId="26" borderId="0" xfId="0" applyNumberFormat="1" applyFont="1" applyFill="1" applyBorder="1" applyAlignment="1">
      <alignment vertical="center"/>
    </xf>
    <xf numFmtId="0" fontId="3" fillId="20" borderId="14" xfId="0" applyFont="1" applyFill="1" applyBorder="1" applyAlignment="1">
      <alignment vertical="center"/>
    </xf>
    <xf numFmtId="43" fontId="3" fillId="20" borderId="14" xfId="2" applyFont="1" applyFill="1" applyBorder="1" applyAlignment="1">
      <alignment vertical="center"/>
    </xf>
    <xf numFmtId="175" fontId="3" fillId="20" borderId="14" xfId="1" applyNumberFormat="1" applyFont="1" applyFill="1" applyBorder="1" applyAlignment="1">
      <alignment vertical="center"/>
    </xf>
    <xf numFmtId="43" fontId="3" fillId="20" borderId="14" xfId="0" applyNumberFormat="1" applyFont="1" applyFill="1" applyBorder="1" applyAlignment="1">
      <alignment horizontal="center" vertical="center"/>
    </xf>
    <xf numFmtId="9" fontId="3" fillId="20" borderId="14" xfId="0" applyNumberFormat="1" applyFont="1" applyFill="1" applyBorder="1" applyAlignment="1">
      <alignment horizontal="center" vertical="center"/>
    </xf>
    <xf numFmtId="43" fontId="3" fillId="20" borderId="14" xfId="0" applyNumberFormat="1" applyFont="1" applyFill="1" applyBorder="1" applyAlignment="1">
      <alignment vertical="center"/>
    </xf>
    <xf numFmtId="0" fontId="3" fillId="20" borderId="14" xfId="0" applyFont="1" applyFill="1" applyBorder="1" applyAlignment="1">
      <alignment horizontal="center" vertical="center"/>
    </xf>
    <xf numFmtId="177" fontId="3" fillId="20" borderId="14" xfId="0" applyNumberFormat="1" applyFont="1" applyFill="1" applyBorder="1" applyAlignment="1">
      <alignment horizontal="center" vertical="center"/>
    </xf>
    <xf numFmtId="43" fontId="3" fillId="20" borderId="9" xfId="0" applyNumberFormat="1" applyFont="1" applyFill="1" applyBorder="1" applyAlignment="1">
      <alignment vertical="center"/>
    </xf>
    <xf numFmtId="43" fontId="3" fillId="20" borderId="10" xfId="0" applyNumberFormat="1" applyFont="1" applyFill="1" applyBorder="1" applyAlignment="1">
      <alignment vertical="center"/>
    </xf>
    <xf numFmtId="43" fontId="3" fillId="21" borderId="14" xfId="0" applyNumberFormat="1" applyFont="1" applyFill="1" applyBorder="1" applyAlignment="1">
      <alignment vertical="center"/>
    </xf>
    <xf numFmtId="43" fontId="3" fillId="22" borderId="14" xfId="0" applyNumberFormat="1" applyFont="1" applyFill="1" applyBorder="1" applyAlignment="1">
      <alignment vertical="center"/>
    </xf>
    <xf numFmtId="43" fontId="3" fillId="23" borderId="14" xfId="0" applyNumberFormat="1" applyFont="1" applyFill="1" applyBorder="1" applyAlignment="1">
      <alignment vertical="center"/>
    </xf>
    <xf numFmtId="43" fontId="3" fillId="19" borderId="14" xfId="0" applyNumberFormat="1" applyFont="1" applyFill="1" applyBorder="1" applyAlignment="1">
      <alignment vertical="center"/>
    </xf>
    <xf numFmtId="43" fontId="3" fillId="26" borderId="14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3" fontId="1" fillId="0" borderId="0" xfId="2" applyFont="1" applyFill="1" applyBorder="1"/>
    <xf numFmtId="43" fontId="3" fillId="0" borderId="0" xfId="2" applyFont="1" applyFill="1" applyBorder="1" applyAlignment="1">
      <alignment vertical="center" wrapText="1"/>
    </xf>
    <xf numFmtId="43" fontId="1" fillId="0" borderId="0" xfId="2" applyFont="1" applyFill="1" applyBorder="1" applyAlignment="1">
      <alignment vertical="center"/>
    </xf>
    <xf numFmtId="43" fontId="3" fillId="0" borderId="0" xfId="2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43" fontId="3" fillId="0" borderId="0" xfId="2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right" vertical="center"/>
    </xf>
  </cellXfs>
  <cellStyles count="14">
    <cellStyle name="Comma" xfId="2" builtinId="3"/>
    <cellStyle name="Currency" xfId="13" builtinId="4"/>
    <cellStyle name="date" xfId="6" xr:uid="{C3BD8BDA-F044-4A20-B8FF-5AA97618C60B}"/>
    <cellStyle name="date 2" xfId="8" xr:uid="{F6761AAB-40A1-4105-8818-AB9C87479AB0}"/>
    <cellStyle name="date 3" xfId="10" xr:uid="{E73F3962-7130-46E6-849C-2DF8BDE5730A}"/>
    <cellStyle name="date 4" xfId="12" xr:uid="{38B8E5E3-E295-4D55-9D21-72009E865577}"/>
    <cellStyle name="datetime" xfId="5" xr:uid="{D11F517F-3DFC-48FC-AA07-0D280476956A}"/>
    <cellStyle name="datetime 2" xfId="7" xr:uid="{AC6E3703-9096-4E68-91D3-E5A56A899C6D}"/>
    <cellStyle name="datetime 3" xfId="9" xr:uid="{2EEEA05A-79DF-42F7-BF78-1F1A6205D66E}"/>
    <cellStyle name="datetime 4" xfId="11" xr:uid="{7CEAAB84-C5A3-41C8-B475-805D151635EE}"/>
    <cellStyle name="Moeda [0] 2" xfId="4" xr:uid="{748252B6-54A6-496A-9D20-55FC3F1993D5}"/>
    <cellStyle name="Normal" xfId="0" builtinId="0"/>
    <cellStyle name="Percent" xfId="1" builtinId="5"/>
    <cellStyle name="Vírgula 2" xfId="3" xr:uid="{37AD2C98-3695-4FEE-BCF4-BAB03964AAEB}"/>
  </cellStyles>
  <dxfs count="12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3C6F8E"/>
        </patternFill>
      </fill>
    </dxf>
    <dxf>
      <font>
        <b/>
        <i val="0"/>
        <color theme="0"/>
      </font>
      <fill>
        <patternFill>
          <bgColor rgb="FF67594E"/>
        </patternFill>
      </fill>
    </dxf>
    <dxf>
      <font>
        <b/>
        <i val="0"/>
        <color theme="0"/>
      </font>
      <fill>
        <patternFill>
          <bgColor rgb="FF139048"/>
        </patternFill>
      </fill>
    </dxf>
    <dxf>
      <font>
        <b/>
        <i val="0"/>
        <color theme="0"/>
      </font>
      <fill>
        <patternFill>
          <bgColor rgb="FFD83D8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3C6F8E"/>
        </patternFill>
      </fill>
    </dxf>
    <dxf>
      <font>
        <b/>
        <i val="0"/>
        <color theme="0"/>
      </font>
      <fill>
        <patternFill>
          <bgColor rgb="FF67594E"/>
        </patternFill>
      </fill>
    </dxf>
    <dxf>
      <font>
        <b/>
        <i val="0"/>
        <color theme="0"/>
      </font>
      <fill>
        <patternFill>
          <bgColor rgb="FF139048"/>
        </patternFill>
      </fill>
    </dxf>
    <dxf>
      <font>
        <b/>
        <i val="0"/>
        <color theme="0"/>
      </font>
      <fill>
        <patternFill>
          <bgColor rgb="FFD83D8C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A5A5A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Calibri"/>
        <family val="2"/>
        <scheme val="none"/>
      </font>
      <fill>
        <patternFill patternType="solid">
          <fgColor rgb="FFEDEDED"/>
          <bgColor rgb="FFEDEDED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</dxf>
    <dxf>
      <fill>
        <patternFill>
          <bgColor rgb="FFFF0000"/>
        </patternFill>
      </fill>
    </dxf>
  </dxfs>
  <tableStyles count="1" defaultTableStyle="TableStyleMedium2" defaultPivotStyle="PivotStyleLight16">
    <tableStyle name="Estilo de Tabela Dinâmica 1" table="0" count="1" xr9:uid="{27D65275-1EFA-44F2-9F2A-8BABE30B4618}">
      <tableStyleElement type="headerRow" dxfId="122"/>
    </tableStyle>
  </tableStyles>
  <colors>
    <mruColors>
      <color rgb="FFF0FFEA"/>
      <color rgb="FFEBEFFF"/>
      <color rgb="FFF2F2F2"/>
      <color rgb="FFFEB19C"/>
      <color rgb="FFFEA48C"/>
      <color rgb="FFFEB4A0"/>
      <color rgb="FFFEC1B0"/>
      <color rgb="FFFEC9BA"/>
      <color rgb="FFFD816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Horz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Base!$E$61</c:f>
              <c:numCache>
                <c:formatCode>#,##0_ ;\-#,##0\ 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6-6649-9B81-5A134916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607648"/>
        <c:axId val="1506523456"/>
      </c:barChart>
      <c:barChart>
        <c:barDir val="col"/>
        <c:grouping val="clustered"/>
        <c:varyColors val="0"/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Base!$F$61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6-6649-9B81-5A134916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688048"/>
        <c:axId val="1508335280"/>
      </c:barChart>
      <c:catAx>
        <c:axId val="1506607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6523456"/>
        <c:crosses val="autoZero"/>
        <c:auto val="1"/>
        <c:lblAlgn val="ctr"/>
        <c:lblOffset val="100"/>
        <c:noMultiLvlLbl val="0"/>
      </c:catAx>
      <c:valAx>
        <c:axId val="1506523456"/>
        <c:scaling>
          <c:orientation val="minMax"/>
          <c:max val="230"/>
          <c:min val="0"/>
        </c:scaling>
        <c:delete val="1"/>
        <c:axPos val="l"/>
        <c:numFmt formatCode="#,##0_ ;\-#,##0\ " sourceLinked="1"/>
        <c:majorTickMark val="in"/>
        <c:minorTickMark val="none"/>
        <c:tickLblPos val="nextTo"/>
        <c:crossAx val="1506607648"/>
        <c:crosses val="autoZero"/>
        <c:crossBetween val="between"/>
      </c:valAx>
      <c:valAx>
        <c:axId val="15083352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23688048"/>
        <c:crosses val="max"/>
        <c:crossBetween val="between"/>
      </c:valAx>
      <c:catAx>
        <c:axId val="162368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833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79512</xdr:colOff>
      <xdr:row>13</xdr:row>
      <xdr:rowOff>152396</xdr:rowOff>
    </xdr:from>
    <xdr:to>
      <xdr:col>6</xdr:col>
      <xdr:colOff>1020421</xdr:colOff>
      <xdr:row>28</xdr:row>
      <xdr:rowOff>119274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GrpSpPr/>
      </xdr:nvGrpSpPr>
      <xdr:grpSpPr>
        <a:xfrm>
          <a:off x="410816" y="2593005"/>
          <a:ext cx="7268822" cy="2782965"/>
          <a:chOff x="377686" y="2564292"/>
          <a:chExt cx="6632718" cy="2749834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SpPr/>
        </xdr:nvSpPr>
        <xdr:spPr>
          <a:xfrm>
            <a:off x="404192" y="2683565"/>
            <a:ext cx="6500191" cy="253779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endParaRPr lang="pt-BR" sz="1200"/>
          </a:p>
        </xdr:txBody>
      </xdr:sp>
      <xdr:sp macro="" textlink="$F$6">
        <xdr:nvSpPr>
          <xdr:cNvPr id="4" name="Retângulo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5559288" y="3995533"/>
            <a:ext cx="1265583" cy="303498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fld id="{08EFB836-7AB0-412B-8B34-9920385499CA}" type="TxLink">
              <a:rPr lang="en-US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l"/>
              <a:t>BRL 71.187,19</a:t>
            </a:fld>
            <a:endParaRPr lang="en-US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$F$8">
        <xdr:nvSpPr>
          <xdr:cNvPr id="6" name="Retângulo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5559288" y="4764161"/>
            <a:ext cx="1265583" cy="303498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fld id="{9BB7C2BE-62EF-49A4-B823-3E1D4EB35403}" type="TxLink">
              <a:rPr lang="en-US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l"/>
              <a:t>BRL 132.882,75</a:t>
            </a:fld>
            <a:endParaRPr lang="en-US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642731" y="3207022"/>
            <a:ext cx="1073426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 b="1"/>
              <a:t>Limites</a:t>
            </a: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1808924" y="3207022"/>
            <a:ext cx="1073426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 b="1"/>
              <a:t>Sublimites</a:t>
            </a:r>
          </a:p>
        </xdr:txBody>
      </xdr:sp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2845376" y="3207022"/>
            <a:ext cx="1199321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 b="1"/>
              <a:t>Franquias</a:t>
            </a:r>
          </a:p>
        </xdr:txBody>
      </xdr:sp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5559288" y="3207022"/>
            <a:ext cx="1073426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 b="1"/>
              <a:t>Investimento</a:t>
            </a: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/>
        </xdr:nvSpPr>
        <xdr:spPr>
          <a:xfrm>
            <a:off x="642731" y="3995533"/>
            <a:ext cx="1073426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 </a:t>
            </a:r>
            <a:r>
              <a:rPr lang="pt-BR" sz="1200"/>
              <a:t>2 milhões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/>
        </xdr:nvSpPr>
        <xdr:spPr>
          <a:xfrm>
            <a:off x="642731" y="4764161"/>
            <a:ext cx="1073426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 </a:t>
            </a:r>
            <a:r>
              <a:rPr lang="pt-BR" sz="1200"/>
              <a:t>5</a:t>
            </a:r>
            <a:r>
              <a:rPr lang="pt-BR" sz="1200" baseline="0"/>
              <a:t> </a:t>
            </a:r>
            <a:r>
              <a:rPr lang="pt-BR" sz="1200"/>
              <a:t>milhões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/>
        </xdr:nvSpPr>
        <xdr:spPr>
          <a:xfrm>
            <a:off x="1808924" y="3995533"/>
            <a:ext cx="1073426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 250 mil</a:t>
            </a:r>
            <a:endParaRPr lang="pt-BR" sz="1200">
              <a:effectLst/>
            </a:endParaRPr>
          </a:p>
        </xdr:txBody>
      </xdr:sp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SpPr/>
        </xdr:nvSpPr>
        <xdr:spPr>
          <a:xfrm>
            <a:off x="1808924" y="4764161"/>
            <a:ext cx="1073426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 250 mil</a:t>
            </a:r>
            <a:endParaRPr lang="pt-BR" sz="1200">
              <a:effectLst/>
            </a:endParaRPr>
          </a:p>
        </xdr:txBody>
      </xdr:sp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00000000-0008-0000-0700-000015000000}"/>
              </a:ext>
            </a:extLst>
          </xdr:cNvPr>
          <xdr:cNvSpPr/>
        </xdr:nvSpPr>
        <xdr:spPr>
          <a:xfrm>
            <a:off x="2845376" y="3995533"/>
            <a:ext cx="2561512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POS de 10% com</a:t>
            </a:r>
            <a:r>
              <a:rPr lang="pt-BR" sz="12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mínimo de </a:t>
            </a:r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</a:t>
            </a:r>
            <a:r>
              <a:rPr lang="pt-BR" sz="12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15 mil</a:t>
            </a:r>
            <a:endParaRPr lang="pt-BR" sz="1200">
              <a:effectLst/>
            </a:endParaRPr>
          </a:p>
        </xdr:txBody>
      </xdr: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00000000-0008-0000-0700-000017000000}"/>
              </a:ext>
            </a:extLst>
          </xdr:cNvPr>
          <xdr:cNvSpPr/>
        </xdr:nvSpPr>
        <xdr:spPr>
          <a:xfrm>
            <a:off x="2845376" y="4764161"/>
            <a:ext cx="2561512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POS de 10% com</a:t>
            </a:r>
            <a:r>
              <a:rPr lang="pt-BR" sz="12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mínimo de </a:t>
            </a:r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</a:t>
            </a:r>
            <a:r>
              <a:rPr lang="pt-BR" sz="12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15 mil</a:t>
            </a:r>
            <a:endParaRPr lang="pt-BR" sz="1200">
              <a:effectLst/>
            </a:endParaRP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/>
        </xdr:nvSpPr>
        <xdr:spPr>
          <a:xfrm>
            <a:off x="6639341" y="2564297"/>
            <a:ext cx="371061" cy="218661"/>
          </a:xfrm>
          <a:prstGeom prst="round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pt-BR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SpPr/>
        </xdr:nvSpPr>
        <xdr:spPr>
          <a:xfrm>
            <a:off x="377686" y="5095465"/>
            <a:ext cx="371061" cy="218661"/>
          </a:xfrm>
          <a:prstGeom prst="round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pt-BR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700-000020000000}"/>
              </a:ext>
            </a:extLst>
          </xdr:cNvPr>
          <xdr:cNvSpPr/>
        </xdr:nvSpPr>
        <xdr:spPr>
          <a:xfrm>
            <a:off x="377686" y="2564296"/>
            <a:ext cx="371061" cy="218661"/>
          </a:xfrm>
          <a:prstGeom prst="round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pt-BR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700-000021000000}"/>
              </a:ext>
            </a:extLst>
          </xdr:cNvPr>
          <xdr:cNvSpPr/>
        </xdr:nvSpPr>
        <xdr:spPr>
          <a:xfrm>
            <a:off x="6639341" y="5095465"/>
            <a:ext cx="371061" cy="218661"/>
          </a:xfrm>
          <a:prstGeom prst="round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pt-BR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00000000-0008-0000-0700-000022000000}"/>
              </a:ext>
            </a:extLst>
          </xdr:cNvPr>
          <xdr:cNvSpPr/>
        </xdr:nvSpPr>
        <xdr:spPr>
          <a:xfrm>
            <a:off x="576470" y="2564292"/>
            <a:ext cx="6394174" cy="192160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endParaRPr lang="pt-BR" sz="1200"/>
          </a:p>
        </xdr:txBody>
      </xdr:sp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SpPr/>
        </xdr:nvSpPr>
        <xdr:spPr>
          <a:xfrm>
            <a:off x="450573" y="5148473"/>
            <a:ext cx="6473687" cy="165653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endParaRPr lang="pt-BR" sz="1200"/>
          </a:p>
        </xdr:txBody>
      </xdr:sp>
      <xdr:sp macro="" textlink="">
        <xdr:nvSpPr>
          <xdr:cNvPr id="36" name="Retângulo 35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SpPr/>
        </xdr:nvSpPr>
        <xdr:spPr>
          <a:xfrm rot="16200000">
            <a:off x="5635493" y="3912704"/>
            <a:ext cx="2557668" cy="192155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endParaRPr lang="pt-BR" sz="1200"/>
          </a:p>
        </xdr:txBody>
      </xdr:sp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SpPr/>
        </xdr:nvSpPr>
        <xdr:spPr>
          <a:xfrm rot="16200000">
            <a:off x="-775253" y="3882887"/>
            <a:ext cx="2517915" cy="212037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endParaRPr lang="pt-BR" sz="1200"/>
          </a:p>
        </xdr:txBody>
      </xdr:sp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00000000-0008-0000-0700-000027000000}"/>
              </a:ext>
            </a:extLst>
          </xdr:cNvPr>
          <xdr:cNvSpPr/>
        </xdr:nvSpPr>
        <xdr:spPr>
          <a:xfrm>
            <a:off x="609601" y="3571460"/>
            <a:ext cx="6191327" cy="351418"/>
          </a:xfrm>
          <a:prstGeom prst="round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pt-BR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00000000-0008-0000-0700-000028000000}"/>
              </a:ext>
            </a:extLst>
          </xdr:cNvPr>
          <xdr:cNvSpPr/>
        </xdr:nvSpPr>
        <xdr:spPr>
          <a:xfrm>
            <a:off x="609601" y="4353340"/>
            <a:ext cx="6191327" cy="351418"/>
          </a:xfrm>
          <a:prstGeom prst="round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pt-BR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$F$5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5559288" y="3597965"/>
            <a:ext cx="1186069" cy="303498"/>
          </a:xfrm>
          <a:prstGeom prst="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fld id="{BF10BD22-F998-40F9-B03E-8516A9539CDA}" type="TxLink">
              <a:rPr lang="en-US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l"/>
              <a:t>BRL 47.458,13</a:t>
            </a:fld>
            <a:endParaRPr lang="pt-BR" sz="1200">
              <a:solidFill>
                <a:schemeClr val="bg1"/>
              </a:solidFill>
            </a:endParaRPr>
          </a:p>
        </xdr:txBody>
      </xdr:sp>
      <xdr:sp macro="" textlink="$F$7">
        <xdr:nvSpPr>
          <xdr:cNvPr id="5" name="Retângulo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5559288" y="4379847"/>
            <a:ext cx="1205947" cy="303498"/>
          </a:xfrm>
          <a:prstGeom prst="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fld id="{5318B8CC-6E5A-43AE-8A6A-D7E5709ED5D3}" type="TxLink">
              <a:rPr lang="en-US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l"/>
              <a:t>BRL 109.153,69</a:t>
            </a:fld>
            <a:endParaRPr lang="en-US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/>
        </xdr:nvSpPr>
        <xdr:spPr>
          <a:xfrm>
            <a:off x="642731" y="3597965"/>
            <a:ext cx="1073426" cy="298172"/>
          </a:xfrm>
          <a:prstGeom prst="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/>
              <a:t>BRL 1 milhão</a:t>
            </a:r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/>
        </xdr:nvSpPr>
        <xdr:spPr>
          <a:xfrm>
            <a:off x="642731" y="4379847"/>
            <a:ext cx="1073426" cy="298172"/>
          </a:xfrm>
          <a:prstGeom prst="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 </a:t>
            </a:r>
            <a:r>
              <a:rPr lang="pt-BR" sz="1200"/>
              <a:t>3</a:t>
            </a:r>
            <a:r>
              <a:rPr lang="pt-BR" sz="1200" baseline="0"/>
              <a:t> </a:t>
            </a:r>
            <a:r>
              <a:rPr lang="pt-BR" sz="1200"/>
              <a:t>milhões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/>
        </xdr:nvSpPr>
        <xdr:spPr>
          <a:xfrm>
            <a:off x="1808924" y="3597965"/>
            <a:ext cx="1073426" cy="298172"/>
          </a:xfrm>
          <a:prstGeom prst="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 2</a:t>
            </a:r>
            <a:r>
              <a:rPr lang="pt-BR" sz="1200"/>
              <a:t>50 mil</a:t>
            </a:r>
          </a:p>
        </xdr:txBody>
      </xdr:sp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/>
        </xdr:nvSpPr>
        <xdr:spPr>
          <a:xfrm>
            <a:off x="1808924" y="4379847"/>
            <a:ext cx="1073426" cy="298172"/>
          </a:xfrm>
          <a:prstGeom prst="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 250 mil</a:t>
            </a:r>
            <a:endParaRPr lang="pt-BR" sz="1200">
              <a:effectLst/>
            </a:endParaRPr>
          </a:p>
        </xdr:txBody>
      </xdr:sp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SpPr/>
        </xdr:nvSpPr>
        <xdr:spPr>
          <a:xfrm>
            <a:off x="2845376" y="3597965"/>
            <a:ext cx="2561512" cy="298172"/>
          </a:xfrm>
          <a:prstGeom prst="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/>
              <a:t>POS de 10% com</a:t>
            </a:r>
            <a:r>
              <a:rPr lang="pt-BR" sz="1200" baseline="0"/>
              <a:t> mínimo de </a:t>
            </a:r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</a:t>
            </a:r>
            <a:r>
              <a:rPr lang="pt-BR" sz="1200" baseline="0"/>
              <a:t> 15 mil</a:t>
            </a:r>
            <a:endParaRPr lang="pt-BR" sz="1200"/>
          </a:p>
        </xdr:txBody>
      </xdr:sp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SpPr/>
        </xdr:nvSpPr>
        <xdr:spPr>
          <a:xfrm>
            <a:off x="2845376" y="4379847"/>
            <a:ext cx="2561512" cy="298172"/>
          </a:xfrm>
          <a:prstGeom prst="rect">
            <a:avLst/>
          </a:prstGeom>
          <a:solidFill>
            <a:srgbClr val="FEB19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POS de 10% com</a:t>
            </a:r>
            <a:r>
              <a:rPr lang="pt-BR" sz="12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mínimo de </a:t>
            </a:r>
            <a:r>
              <a:rPr lang="pt-BR" sz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BRL</a:t>
            </a:r>
            <a:r>
              <a:rPr lang="pt-BR" sz="12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15 mil</a:t>
            </a:r>
            <a:endParaRPr lang="pt-BR" sz="1200">
              <a:effectLst/>
            </a:endParaRPr>
          </a:p>
        </xdr:txBody>
      </xdr:sp>
      <xdr:sp macro="" textlink="">
        <xdr:nvSpPr>
          <xdr:cNvPr id="43" name="Retângulo 42">
            <a:extLst>
              <a:ext uri="{FF2B5EF4-FFF2-40B4-BE49-F238E27FC236}">
                <a16:creationId xmlns:a16="http://schemas.microsoft.com/office/drawing/2014/main" id="{00000000-0008-0000-0700-00002B000000}"/>
              </a:ext>
            </a:extLst>
          </xdr:cNvPr>
          <xdr:cNvSpPr/>
        </xdr:nvSpPr>
        <xdr:spPr>
          <a:xfrm>
            <a:off x="655983" y="2756448"/>
            <a:ext cx="2186608" cy="298172"/>
          </a:xfrm>
          <a:prstGeom prst="rect">
            <a:avLst/>
          </a:prstGeom>
          <a:solidFill>
            <a:srgbClr val="FD81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l"/>
            <a:r>
              <a:rPr lang="pt-BR" sz="1200" b="1"/>
              <a:t>Resultado</a:t>
            </a:r>
            <a:r>
              <a:rPr lang="pt-BR" sz="1200" b="1" baseline="0"/>
              <a:t> de nosso estudo:</a:t>
            </a:r>
            <a:endParaRPr lang="pt-BR" sz="12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52</xdr:row>
      <xdr:rowOff>40640</xdr:rowOff>
    </xdr:from>
    <xdr:to>
      <xdr:col>4</xdr:col>
      <xdr:colOff>853440</xdr:colOff>
      <xdr:row>59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52E84-8542-E646-5159-2EC5765A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558800</xdr:colOff>
      <xdr:row>58</xdr:row>
      <xdr:rowOff>203200</xdr:rowOff>
    </xdr:from>
    <xdr:to>
      <xdr:col>3</xdr:col>
      <xdr:colOff>1706880</xdr:colOff>
      <xdr:row>60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F2B6B5-ED3E-8217-D6CC-B85E84F3E24E}"/>
            </a:ext>
          </a:extLst>
        </xdr:cNvPr>
        <xdr:cNvSpPr txBox="1"/>
      </xdr:nvSpPr>
      <xdr:spPr>
        <a:xfrm>
          <a:off x="762000" y="7396480"/>
          <a:ext cx="114808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0"/>
        <a:lstStyle/>
        <a:p>
          <a:pPr algn="r"/>
          <a:r>
            <a:rPr lang="en-US" sz="1100" kern="1200">
              <a:latin typeface="Arial" panose="020B0604020202020204" pitchFamily="34" charset="0"/>
              <a:cs typeface="Arial" panose="020B0604020202020204" pitchFamily="34" charset="0"/>
            </a:rPr>
            <a:t>policy limit bar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16</xdr:row>
      <xdr:rowOff>141112</xdr:rowOff>
    </xdr:from>
    <xdr:to>
      <xdr:col>8</xdr:col>
      <xdr:colOff>791790</xdr:colOff>
      <xdr:row>34</xdr:row>
      <xdr:rowOff>7840</xdr:rowOff>
    </xdr:to>
    <xdr:sp macro="" textlink="">
      <xdr:nvSpPr>
        <xdr:cNvPr id="2" name="Folded Corner 1">
          <a:extLst>
            <a:ext uri="{FF2B5EF4-FFF2-40B4-BE49-F238E27FC236}">
              <a16:creationId xmlns:a16="http://schemas.microsoft.com/office/drawing/2014/main" id="{2A08D83B-3F15-3E13-51F3-5C57FF6D60F5}"/>
            </a:ext>
          </a:extLst>
        </xdr:cNvPr>
        <xdr:cNvSpPr/>
      </xdr:nvSpPr>
      <xdr:spPr>
        <a:xfrm>
          <a:off x="4319568" y="4648828"/>
          <a:ext cx="2469444" cy="2195061"/>
        </a:xfrm>
        <a:prstGeom prst="foldedCorner">
          <a:avLst/>
        </a:prstGeom>
        <a:solidFill>
          <a:srgbClr val="FFFF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</a:rPr>
            <a:t>Dei</a:t>
          </a:r>
          <a:r>
            <a:rPr lang="en-US" sz="1800" baseline="0">
              <a:solidFill>
                <a:schemeClr val="tx1">
                  <a:lumMod val="75000"/>
                  <a:lumOff val="25000"/>
                </a:schemeClr>
              </a:solidFill>
            </a:rPr>
            <a:t> destaque para os itens que vão constar na tabela a ser inserida no pdf ao cliente; opções de limites de 1, 2, 3, 5 e 10 milhões</a:t>
          </a:r>
        </a:p>
        <a:p>
          <a:pPr algn="l"/>
          <a:endParaRPr lang="en-US" sz="18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endParaRPr lang="en-US" sz="1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38</xdr:col>
      <xdr:colOff>31357</xdr:colOff>
      <xdr:row>15</xdr:row>
      <xdr:rowOff>148952</xdr:rowOff>
    </xdr:from>
    <xdr:to>
      <xdr:col>43</xdr:col>
      <xdr:colOff>39197</xdr:colOff>
      <xdr:row>36</xdr:row>
      <xdr:rowOff>7839</xdr:rowOff>
    </xdr:to>
    <xdr:sp macro="" textlink="">
      <xdr:nvSpPr>
        <xdr:cNvPr id="3" name="Folded Corner 2">
          <a:extLst>
            <a:ext uri="{FF2B5EF4-FFF2-40B4-BE49-F238E27FC236}">
              <a16:creationId xmlns:a16="http://schemas.microsoft.com/office/drawing/2014/main" id="{663BB7C6-8EE2-C479-F9C9-F1B06D1A302D}"/>
            </a:ext>
          </a:extLst>
        </xdr:cNvPr>
        <xdr:cNvSpPr/>
      </xdr:nvSpPr>
      <xdr:spPr>
        <a:xfrm>
          <a:off x="32737777" y="4374446"/>
          <a:ext cx="3339630" cy="2924134"/>
        </a:xfrm>
        <a:prstGeom prst="foldedCorner">
          <a:avLst/>
        </a:prstGeom>
        <a:solidFill>
          <a:srgbClr val="FFFF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</a:rPr>
            <a:t>Quer dizer que</a:t>
          </a:r>
          <a:r>
            <a:rPr lang="en-US" sz="1800" baseline="0">
              <a:solidFill>
                <a:schemeClr val="tx1">
                  <a:lumMod val="75000"/>
                  <a:lumOff val="25000"/>
                </a:schemeClr>
              </a:solidFill>
            </a:rPr>
            <a:t> os limites das apólices NÃO são convertidos para BRL, mas somente trocada moeda, sendo:</a:t>
          </a:r>
        </a:p>
        <a:p>
          <a:pPr algn="l"/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USD1M para BRL1M</a:t>
          </a:r>
        </a:p>
        <a:p>
          <a:pPr algn="l"/>
          <a:r>
            <a:rPr lang="en-US" sz="1800" b="1" baseline="0">
              <a:solidFill>
                <a:schemeClr val="tx1">
                  <a:lumMod val="75000"/>
                  <a:lumOff val="25000"/>
                </a:schemeClr>
              </a:solidFill>
            </a:rPr>
            <a:t>USD2M para BRL2M</a:t>
          </a:r>
        </a:p>
        <a:p>
          <a:pPr algn="l"/>
          <a:r>
            <a:rPr lang="en-US" sz="180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</a:p>
        <a:p>
          <a:pPr algn="l"/>
          <a:r>
            <a:rPr lang="en-US" sz="1800" baseline="0">
              <a:solidFill>
                <a:schemeClr val="tx1">
                  <a:lumMod val="75000"/>
                  <a:lumOff val="25000"/>
                </a:schemeClr>
              </a:solidFill>
            </a:rPr>
            <a:t>e assim por diante.</a:t>
          </a:r>
          <a:endParaRPr lang="en-US" sz="1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6B880F5-78B5-4045-B41E-CB2E8D7E8070}" name="Tabela1139" displayName="Tabela1139" ref="N4:N23" totalsRowShown="0" headerRowDxfId="121" headerRowBorderDxfId="120">
  <autoFilter ref="N4:N23" xr:uid="{5DC5F398-3A40-4107-B8CD-DF2C42C7AFD7}"/>
  <sortState xmlns:xlrd2="http://schemas.microsoft.com/office/spreadsheetml/2017/richdata2" ref="N5:N23">
    <sortCondition ref="N4:N23"/>
  </sortState>
  <tableColumns count="1">
    <tableColumn id="1" xr3:uid="{C3BB2A67-E8AE-4101-83E7-5628F15AB67A}" name="CORRETORAS PARCEIRA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84EFA66-DCD1-4ED8-B467-36F0A05EA00B}" name="Tabela2148" displayName="Tabela2148" ref="AB4:AB6" totalsRowShown="0" headerRowDxfId="94" headerRowBorderDxfId="93" tableBorderDxfId="92">
  <autoFilter ref="AB4:AB6" xr:uid="{D7C55F00-DD90-4FBA-B33F-6310898EA2AB}"/>
  <tableColumns count="1">
    <tableColumn id="1" xr3:uid="{4E6B5F7F-E348-4699-9AE6-479206056A66}" name="STATUS GER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628A2A7-E32C-4A29-973A-427EE0C93994}" name="Tabela2249" displayName="Tabela2249" ref="AC4:AC14" totalsRowShown="0" headerRowDxfId="91" headerRowBorderDxfId="90" tableBorderDxfId="89">
  <autoFilter ref="AC4:AC14" xr:uid="{AA60E861-9CCB-44FF-B9F2-2A9DC706531F}"/>
  <tableColumns count="1">
    <tableColumn id="1" xr3:uid="{8246AFFD-EAD1-430A-B734-8C34A21D04CC}" name="STATUS PROSPECÇÃO SEGURO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9A404F4-5827-4137-800F-487672AF283D}" name="Tabela2350" displayName="Tabela2350" ref="AD4:AD14" totalsRowShown="0" headerRowDxfId="88" headerRowBorderDxfId="87" tableBorderDxfId="86">
  <autoFilter ref="AD4:AD14" xr:uid="{7084D3AA-A51D-44B4-BDED-3F2D0164B750}"/>
  <tableColumns count="1">
    <tableColumn id="1" xr3:uid="{4FCE4760-A592-4305-9831-BF0E9940AEE7}" name="STATUS DE COTAÇÃO DE SEGURO MGA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B252A202-4976-48B8-B269-9E31A697C3C2}" name="Tabela2451" displayName="Tabela2451" ref="AE4:AE15" totalsRowShown="0" headerRowDxfId="85" headerRowBorderDxfId="84" tableBorderDxfId="83">
  <autoFilter ref="AE4:AE15" xr:uid="{1503D573-95F6-4131-B75D-096AADE76477}"/>
  <tableColumns count="1">
    <tableColumn id="1" xr3:uid="{42BB92A7-2469-427B-B29E-9A01AA09CD4E}" name="STATUS PROSPECÇÃO RESSEGURO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721BB9E-992A-46E7-9B0C-14F6D32F7DC3}" name="Tabela2552" displayName="Tabela2552" ref="AF4:AF10" totalsRowShown="0" headerRowDxfId="82" headerRowBorderDxfId="81" tableBorderDxfId="80">
  <autoFilter ref="AF4:AF10" xr:uid="{59035E6E-B991-4FD4-91E7-DBFE8E7D8217}"/>
  <tableColumns count="1">
    <tableColumn id="1" xr3:uid="{EF113A35-74BF-4AAA-87C5-30BF7E5FE263}" name="STATUS CONTRATO SEGURO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BC8D8BD-205D-4EFF-BA46-F86D4E807AF3}" name="Tabela2653" displayName="Tabela2653" ref="AG4:AG10" totalsRowShown="0" headerRowDxfId="79" headerRowBorderDxfId="78" tableBorderDxfId="77">
  <autoFilter ref="AG4:AG10" xr:uid="{E6CCBE12-B2A5-4418-9BB5-2A04E8987571}"/>
  <tableColumns count="1">
    <tableColumn id="1" xr3:uid="{70013870-6D9E-4C5E-9C79-04174F72C541}" name="STATUS CONTRATO RESSEGURO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A6432EC-67AB-4B3B-A050-9FA2D5646DF7}" name="Tabela2754" displayName="Tabela2754" ref="AH4:AH7" totalsRowShown="0" headerRowDxfId="76" headerRowBorderDxfId="75" tableBorderDxfId="74">
  <autoFilter ref="AH4:AH7" xr:uid="{87496F5F-97E5-4DB1-9C64-5D9CBF16DBEB}"/>
  <tableColumns count="1">
    <tableColumn id="1" xr3:uid="{66B3C255-E9C6-452A-8E59-CE5A5EC3E392}" name="STATUS DE EMISSÃO MG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6C12E3E-F20F-45AA-BAFB-D632CFF2BA48}" name="Tabela2855" displayName="Tabela2855" ref="AI4:AI9" totalsRowShown="0" headerRowDxfId="73" dataDxfId="71" headerRowBorderDxfId="72" tableBorderDxfId="70">
  <autoFilter ref="AI4:AI9" xr:uid="{6B6A57F5-281D-4450-BE43-1F86F4BF8973}"/>
  <tableColumns count="1">
    <tableColumn id="1" xr3:uid="{B4534206-A6FB-44FB-80D5-B76D698B5A28}" name="ALOCAÇÃO DE RESSEGURO MGA" dataDxfId="69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2C0C11B-8E99-44C8-95E5-A8BC480428A8}" name="Tabela2956" displayName="Tabela2956" ref="AJ4:AJ12" totalsRowShown="0" headerRowDxfId="68" headerRowBorderDxfId="67" tableBorderDxfId="66">
  <autoFilter ref="AJ4:AJ12" xr:uid="{0EFC622D-E111-4B56-88DC-4E029320AED0}"/>
  <tableColumns count="1">
    <tableColumn id="1" xr3:uid="{730F1D05-7C5D-42F5-A6A2-D22B65A123D7}" name="STATUS PRÊMIO SEGURO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E460967B-F335-43A8-9ACA-C1211A8BCBDF}" name="Tabela3057" displayName="Tabela3057" ref="AK4:AK13" totalsRowShown="0" headerRowDxfId="65" headerRowBorderDxfId="64" tableBorderDxfId="63">
  <autoFilter ref="AK4:AK13" xr:uid="{19504B56-F7C0-485B-AA59-E886167DE50C}"/>
  <tableColumns count="1">
    <tableColumn id="1" xr3:uid="{38FD66BA-4D6E-4BB2-8AEF-8622BA8ABFC4}" name="STATUS PRÊMIO RESSEGUR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6FE1D09-5FFE-41E5-B1EF-401178F6F1F8}" name="Tabela1240" displayName="Tabela1240" ref="O4:O14" totalsRowShown="0" headerRowDxfId="119" dataDxfId="117" headerRowBorderDxfId="118">
  <autoFilter ref="O4:O14" xr:uid="{9E1F2BEF-565F-4D2D-9EEF-162C016F6E05}"/>
  <tableColumns count="1">
    <tableColumn id="1" xr3:uid="{AA3C6D30-6042-4491-AB1A-C5BC72EDA8E2}" name="FASES DE TESTES" dataDxfId="1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87F822F2-761D-4A92-93E3-0A64F3C9C7F3}" name="Tabela3158" displayName="Tabela3158" ref="AL4:AL11" totalsRowShown="0" headerRowDxfId="62" headerRowBorderDxfId="61" tableBorderDxfId="60">
  <autoFilter ref="AL4:AL11" xr:uid="{C6BA2896-8797-4656-BF76-273C788BE7D2}"/>
  <tableColumns count="1">
    <tableColumn id="1" xr3:uid="{4DD1CD36-BBA1-4036-AABB-69230950D911}" name="STATUS RECEITA SEGURO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EABEA0D-DDDF-40B3-926C-6CC419F78358}" name="Tabela3259" displayName="Tabela3259" ref="AM4:AM11" totalsRowShown="0" headerRowDxfId="59" headerRowBorderDxfId="58" tableBorderDxfId="57">
  <autoFilter ref="AM4:AM11" xr:uid="{0E752C88-9183-4145-A6BD-6FD3CADD96A3}"/>
  <tableColumns count="1">
    <tableColumn id="1" xr3:uid="{96FE9AED-2539-42D4-9827-10A621F1BF32}" name="STATUS RECEITA RESSEGURO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9DDE916-C7AA-417F-AC6F-0F8DAE16BD51}" name="Tabela3360" displayName="Tabela3360" ref="AN4:AN11" totalsRowShown="0" headerRowDxfId="56" headerRowBorderDxfId="55" tableBorderDxfId="54">
  <autoFilter ref="AN4:AN11" xr:uid="{CD0B14FF-79A8-4818-AC36-46CA30649A69}"/>
  <tableColumns count="1">
    <tableColumn id="1" xr3:uid="{85316EB3-59CA-4CD5-BD42-6F7959ABBCEC}" name="STATUS SINISTRO SEGURO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2620B596-5555-4F66-8E0B-726D3D33C587}" name="Tabela3461" displayName="Tabela3461" ref="AO4:AO11" totalsRowShown="0" headerRowDxfId="53" headerRowBorderDxfId="52" tableBorderDxfId="51">
  <autoFilter ref="AO4:AO11" xr:uid="{A7A15D0F-5E26-4818-AD4B-9EFB16B6B924}"/>
  <tableColumns count="1">
    <tableColumn id="1" xr3:uid="{04672412-74DE-4D3A-93E7-654D8FE344D7}" name="STATUS SINISTRO RESSEGURO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1A8773E-C2A3-453E-A807-F8E2F3D33334}" name="Tabela3562" displayName="Tabela3562" ref="AP4:AP11" totalsRowShown="0" headerRowDxfId="50" headerRowBorderDxfId="49" tableBorderDxfId="48">
  <autoFilter ref="AP4:AP11" xr:uid="{E8268125-5BAA-4854-9AA1-7BBFD8E1B4B6}"/>
  <tableColumns count="1">
    <tableColumn id="1" xr3:uid="{19DF86EE-945E-4516-A230-4EDBD95C7530}" name="STATUS DE SINISTRO MGA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B2366046-A4BE-4C29-8083-6B054FFE6FD5}" name="Tabela3663" displayName="Tabela3663" ref="AQ4:AQ11" totalsRowShown="0" headerRowDxfId="47" headerRowBorderDxfId="46" tableBorderDxfId="45">
  <autoFilter ref="AQ4:AQ11" xr:uid="{7DA8196F-ABBF-424D-89D6-D6B3DF3CE369}"/>
  <tableColumns count="1">
    <tableColumn id="1" xr3:uid="{E61545BE-7A70-437B-945D-40FA48E49DCD}" name="STATUS RECEITA MGA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9BE8F27C-83A0-440D-BDDC-7D218C22CC8D}" name="Tabela1265" displayName="Tabela1265" ref="J4:J14" totalsRowShown="0" headerRowDxfId="44" dataDxfId="42" headerRowBorderDxfId="43">
  <autoFilter ref="J4:J14" xr:uid="{9E1F2BEF-565F-4D2D-9EEF-162C016F6E05}"/>
  <tableColumns count="1">
    <tableColumn id="1" xr3:uid="{FF58125B-9D4F-4A80-92FA-3F839A35B8F7}" name="FASES DE TESTES" dataDxfId="4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A845F693-22A0-44DF-8D0A-81445221A8FC}" name="Tabela1366" displayName="Tabela1366" ref="L4:L6" totalsRowShown="0" headerRowDxfId="40" dataDxfId="38" headerRowBorderDxfId="39">
  <autoFilter ref="L4:L6" xr:uid="{639B45CC-CA6F-40C7-BCE8-0A8B5E70339A}"/>
  <tableColumns count="1">
    <tableColumn id="1" xr3:uid="{8B190E31-B54C-4979-93A3-3B1BEDB44DBE}" name="TIPO DE ESTUDO 1" dataDxfId="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927C40B-5CD8-4DC3-A458-E28225F03242}" name="Tabela1467" displayName="Tabela1467" ref="M4:M6" totalsRowShown="0" headerRowDxfId="36" dataDxfId="34" headerRowBorderDxfId="35">
  <autoFilter ref="M4:M6" xr:uid="{46AC40EC-36D6-4C32-AC12-C35A4FD69FF3}"/>
  <tableColumns count="1">
    <tableColumn id="1" xr3:uid="{318BA2A0-2511-4057-A259-BB1BF209CDDF}" name="TIPO DE ESTUDO 2" dataDxfId="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DEF704A-CC88-438A-A025-F0A0EB1C64E4}" name="Tabela1668" displayName="Tabela1668" ref="O4:O15" totalsRowShown="0" headerRowDxfId="32" dataDxfId="30" headerRowBorderDxfId="31">
  <autoFilter ref="O4:O15" xr:uid="{5EEFEE74-C9A1-4E3A-B303-78B482F06724}"/>
  <tableColumns count="1">
    <tableColumn id="1" xr3:uid="{26F8E4C8-721A-49BB-8E41-E05EE80AEB3B}" name="TRATAMENTO SOB INVESTIGAÇÃO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3DC0714-70A4-40C5-83C6-94C3AE387E0F}" name="Tabela1341" displayName="Tabela1341" ref="Q4:Q6" totalsRowShown="0" headerRowDxfId="115" dataDxfId="113" headerRowBorderDxfId="114">
  <autoFilter ref="Q4:Q6" xr:uid="{639B45CC-CA6F-40C7-BCE8-0A8B5E70339A}"/>
  <tableColumns count="1">
    <tableColumn id="1" xr3:uid="{85C1C519-9688-4769-912A-9B0023BAEEAE}" name="TIPO DE ESTUDO 1" dataDxfId="11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F08B439B-830B-4E00-BC15-F3AF8562C642}" name="Tabela1769" displayName="Tabela1769" ref="Q4:Q20" totalsRowShown="0" headerRowDxfId="28" dataDxfId="26" headerRowBorderDxfId="27">
  <autoFilter ref="Q4:Q20" xr:uid="{8DCEF2BC-EA45-4B54-8E91-B0FD0EFD8E88}"/>
  <tableColumns count="1">
    <tableColumn id="1" xr3:uid="{96B576F2-A370-43D3-A3D4-BC171CCF0BBF}" name="MODO DE EXECUÇÃO / ADMINISTRAÇÃO" dataDxfId="2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A262ADD-68BB-4BDC-997B-A430E6A3F358}" name="Tabela1870" displayName="Tabela1870" ref="R4:R10" totalsRowShown="0" headerRowDxfId="24" headerRowBorderDxfId="23">
  <autoFilter ref="R4:R10" xr:uid="{42AD7F7A-59DF-4105-8435-CBC96A18B5F7}"/>
  <tableColumns count="1">
    <tableColumn id="1" xr3:uid="{1C1B4A9A-19EC-4D05-9882-4AF5AB2683C3}" name="AVALIÇÃO DO RISC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5ABCB55E-DC31-491F-814C-39EF406C1B12}" name="Tabela1971" displayName="Tabela1971" ref="S4:S9" totalsRowShown="0" headerRowDxfId="22" headerRowBorderDxfId="21">
  <autoFilter ref="S4:S9" xr:uid="{1FC07ED1-81F4-4277-A575-A21F0BFF0636}"/>
  <tableColumns count="1">
    <tableColumn id="1" xr3:uid="{C17235CF-DDB4-477E-ACEB-2D29479FF01C}" name="POTENCIAL OU HISÓRICO DE SA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53369BC-E18B-4F81-8A87-2A161D3A889D}" name="Tabela1442" displayName="Tabela1442" ref="R4:R6" totalsRowShown="0" headerRowDxfId="111" dataDxfId="109" headerRowBorderDxfId="110">
  <autoFilter ref="R4:R6" xr:uid="{46AC40EC-36D6-4C32-AC12-C35A4FD69FF3}"/>
  <tableColumns count="1">
    <tableColumn id="1" xr3:uid="{27A66A03-65BC-4BDD-8A98-58C206CF6810}" name="TIPO DE ESTUDO 2" dataDxfId="10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0C4E405-DC4C-4871-9ED2-3833373F7BC5}" name="Tabela1643" displayName="Tabela1643" ref="T4:T10" totalsRowShown="0" headerRowDxfId="107" headerRowBorderDxfId="106">
  <autoFilter ref="T4:T10" xr:uid="{5EEFEE74-C9A1-4E3A-B303-78B482F06724}"/>
  <tableColumns count="1">
    <tableColumn id="1" xr3:uid="{758B4EB9-F6E2-42CA-858D-F9070F1F4924}" name="TRATAMENTO SOB INVESTIGAÇÃ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42E3BE0-E0A6-41F5-B1FC-4339D5A49AF9}" name="Tabela1744" displayName="Tabela1744" ref="V4:V20" totalsRowShown="0" headerRowDxfId="105" dataDxfId="103" headerRowBorderDxfId="104">
  <autoFilter ref="V4:V20" xr:uid="{8DCEF2BC-EA45-4B54-8E91-B0FD0EFD8E88}"/>
  <tableColumns count="1">
    <tableColumn id="1" xr3:uid="{5673E996-391C-4EFD-BF79-10D88247CF8C}" name="MODO DE EXECUÇÃO / ADMINISTRAÇÃO" dataDxfId="10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AD33FB5-DD93-4C79-A254-D54FA63EB743}" name="Tabela1845" displayName="Tabela1845" ref="W4:W10" totalsRowShown="0" headerRowDxfId="101" headerRowBorderDxfId="100">
  <autoFilter ref="W4:W10" xr:uid="{42AD7F7A-59DF-4105-8435-CBC96A18B5F7}"/>
  <tableColumns count="1">
    <tableColumn id="1" xr3:uid="{3C97ED4A-341B-40E2-953D-093337FB30BA}" name="AVALIÇÃO DO RISC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6F054BB-9CFC-410B-B74B-7991D8EFCA6D}" name="Tabela1946" displayName="Tabela1946" ref="X4:X9" totalsRowShown="0" headerRowDxfId="99" headerRowBorderDxfId="98">
  <autoFilter ref="X4:X9" xr:uid="{1FC07ED1-81F4-4277-A575-A21F0BFF0636}"/>
  <tableColumns count="1">
    <tableColumn id="1" xr3:uid="{12E14F25-8B4B-4629-BC3C-34DA2D0A6ACE}" name="POTENCIAL OU HISÓRICO DE SA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FCF3281-A53A-4553-8805-AE92D161B4F8}" name="Tabela2047" displayName="Tabela2047" ref="Z4:Z9" totalsRowShown="0" headerRowDxfId="97" dataDxfId="96">
  <autoFilter ref="Z4:Z9" xr:uid="{78BB5ED6-4162-4D62-8B2C-236E6A5E3FB0}"/>
  <tableColumns count="1">
    <tableColumn id="1" xr3:uid="{48BCD243-6842-43B8-9EF6-75D7A854BBC5}" name="ALOCACAÇÃO DE RESSEGURO" dataDxfId="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2F1A-84F6-43C9-8059-B3EDDA38AC5F}">
  <sheetPr>
    <tabColor theme="7" tint="-0.249977111117893"/>
  </sheetPr>
  <dimension ref="A1:AQ162"/>
  <sheetViews>
    <sheetView showGridLines="0" showRowColHeaders="0" workbookViewId="0">
      <selection activeCell="C13" sqref="C13"/>
    </sheetView>
  </sheetViews>
  <sheetFormatPr baseColWidth="10" defaultColWidth="9.33203125" defaultRowHeight="15" x14ac:dyDescent="0.2"/>
  <cols>
    <col min="1" max="1" width="12.5" customWidth="1"/>
    <col min="2" max="2" width="49.6640625" customWidth="1"/>
    <col min="3" max="3" width="38.33203125" customWidth="1"/>
    <col min="4" max="5" width="17.5" style="4" bestFit="1" customWidth="1"/>
    <col min="6" max="6" width="16.5" style="39" bestFit="1" customWidth="1"/>
    <col min="7" max="7" width="9.33203125" style="39" customWidth="1"/>
    <col min="8" max="8" width="16.5" style="39" bestFit="1" customWidth="1"/>
    <col min="9" max="10" width="15.6640625" style="39" bestFit="1" customWidth="1"/>
    <col min="11" max="11" width="8" style="40" customWidth="1"/>
    <col min="12" max="12" width="16.5" customWidth="1"/>
    <col min="13" max="13" width="16.6640625" bestFit="1" customWidth="1"/>
    <col min="14" max="14" width="63.6640625" bestFit="1" customWidth="1"/>
    <col min="15" max="15" width="17.5" customWidth="1"/>
    <col min="16" max="16" width="5.6640625" customWidth="1"/>
    <col min="17" max="18" width="19" customWidth="1"/>
    <col min="19" max="19" width="3" bestFit="1" customWidth="1"/>
    <col min="20" max="20" width="51.6640625" bestFit="1" customWidth="1"/>
    <col min="21" max="21" width="3" bestFit="1" customWidth="1"/>
    <col min="22" max="22" width="38.6640625" customWidth="1"/>
    <col min="23" max="23" width="21.33203125" customWidth="1"/>
    <col min="24" max="24" width="32.6640625" customWidth="1"/>
    <col min="25" max="25" width="3" bestFit="1" customWidth="1"/>
    <col min="26" max="26" width="29.33203125" customWidth="1"/>
    <col min="28" max="28" width="17.5" customWidth="1"/>
    <col min="29" max="29" width="32.6640625" customWidth="1"/>
    <col min="30" max="30" width="40.6640625" customWidth="1"/>
    <col min="31" max="31" width="36.33203125" customWidth="1"/>
    <col min="32" max="32" width="31.33203125" bestFit="1" customWidth="1"/>
    <col min="33" max="33" width="38.33203125" bestFit="1" customWidth="1"/>
    <col min="34" max="34" width="28.6640625" customWidth="1"/>
    <col min="35" max="35" width="34.5" customWidth="1"/>
    <col min="36" max="36" width="27.5" customWidth="1"/>
    <col min="37" max="37" width="34.6640625" bestFit="1" customWidth="1"/>
    <col min="38" max="38" width="27.5" customWidth="1"/>
    <col min="39" max="39" width="31.33203125" customWidth="1"/>
    <col min="40" max="40" width="28.6640625" customWidth="1"/>
    <col min="41" max="41" width="35" bestFit="1" customWidth="1"/>
    <col min="42" max="42" width="28.6640625" customWidth="1"/>
    <col min="43" max="43" width="24.5" customWidth="1"/>
  </cols>
  <sheetData>
    <row r="1" spans="1:43" x14ac:dyDescent="0.2">
      <c r="A1" s="15" t="s">
        <v>2</v>
      </c>
      <c r="B1" s="9" t="s">
        <v>4</v>
      </c>
      <c r="C1" s="9" t="s">
        <v>5</v>
      </c>
      <c r="M1" s="15" t="s">
        <v>3</v>
      </c>
    </row>
    <row r="2" spans="1:43" x14ac:dyDescent="0.2">
      <c r="B2" s="3" t="s">
        <v>6</v>
      </c>
      <c r="C2" s="36">
        <v>14500</v>
      </c>
      <c r="D2" s="74">
        <f>C2/C3</f>
        <v>2416.6666666666665</v>
      </c>
    </row>
    <row r="3" spans="1:43" x14ac:dyDescent="0.2">
      <c r="B3" s="3" t="s">
        <v>170</v>
      </c>
      <c r="C3" s="1">
        <v>6</v>
      </c>
      <c r="D3" s="65"/>
    </row>
    <row r="4" spans="1:43" ht="17" x14ac:dyDescent="0.2">
      <c r="B4" s="3" t="s">
        <v>213</v>
      </c>
      <c r="C4" s="34">
        <v>0.15</v>
      </c>
      <c r="N4" s="18" t="s">
        <v>7</v>
      </c>
      <c r="O4" s="18" t="s">
        <v>8</v>
      </c>
      <c r="P4" s="18"/>
      <c r="Q4" s="18" t="s">
        <v>9</v>
      </c>
      <c r="R4" s="18" t="s">
        <v>10</v>
      </c>
      <c r="S4" s="18"/>
      <c r="T4" s="18" t="s">
        <v>11</v>
      </c>
      <c r="U4" s="18"/>
      <c r="V4" s="18" t="s">
        <v>12</v>
      </c>
      <c r="W4" s="18" t="s">
        <v>13</v>
      </c>
      <c r="X4" s="18" t="s">
        <v>14</v>
      </c>
      <c r="Z4" s="21" t="s">
        <v>15</v>
      </c>
      <c r="AB4" s="37" t="s">
        <v>16</v>
      </c>
      <c r="AC4" s="37" t="s">
        <v>17</v>
      </c>
      <c r="AD4" s="37" t="s">
        <v>18</v>
      </c>
      <c r="AE4" s="37" t="s">
        <v>19</v>
      </c>
      <c r="AF4" s="37" t="s">
        <v>20</v>
      </c>
      <c r="AG4" s="37" t="s">
        <v>21</v>
      </c>
      <c r="AH4" s="37" t="s">
        <v>22</v>
      </c>
      <c r="AI4" s="37" t="s">
        <v>23</v>
      </c>
      <c r="AJ4" s="37" t="s">
        <v>24</v>
      </c>
      <c r="AK4" s="37" t="s">
        <v>25</v>
      </c>
      <c r="AL4" s="37" t="s">
        <v>26</v>
      </c>
      <c r="AM4" s="37" t="s">
        <v>27</v>
      </c>
      <c r="AN4" s="37" t="s">
        <v>28</v>
      </c>
      <c r="AO4" s="37" t="s">
        <v>29</v>
      </c>
      <c r="AP4" s="37" t="s">
        <v>30</v>
      </c>
      <c r="AQ4" s="37" t="s">
        <v>31</v>
      </c>
    </row>
    <row r="5" spans="1:43" ht="16" x14ac:dyDescent="0.2">
      <c r="B5" s="3" t="s">
        <v>64</v>
      </c>
      <c r="C5" s="34">
        <v>0.15</v>
      </c>
      <c r="N5" t="s">
        <v>32</v>
      </c>
      <c r="O5" s="4" t="s">
        <v>1</v>
      </c>
      <c r="P5">
        <v>15</v>
      </c>
      <c r="Q5" s="4" t="s">
        <v>33</v>
      </c>
      <c r="R5" s="4" t="s">
        <v>34</v>
      </c>
      <c r="S5">
        <v>15</v>
      </c>
      <c r="T5" t="s">
        <v>230</v>
      </c>
      <c r="U5">
        <v>0</v>
      </c>
      <c r="V5" s="5" t="s">
        <v>35</v>
      </c>
      <c r="W5" t="s">
        <v>36</v>
      </c>
      <c r="X5" t="s">
        <v>172</v>
      </c>
      <c r="Y5">
        <v>0</v>
      </c>
      <c r="Z5" s="14" t="s">
        <v>37</v>
      </c>
      <c r="AB5" s="23" t="s">
        <v>38</v>
      </c>
      <c r="AC5" s="25" t="s">
        <v>39</v>
      </c>
      <c r="AD5" s="25" t="s">
        <v>0</v>
      </c>
      <c r="AE5" s="25" t="s">
        <v>39</v>
      </c>
      <c r="AF5" s="25" t="s">
        <v>40</v>
      </c>
      <c r="AG5" s="25" t="s">
        <v>41</v>
      </c>
      <c r="AH5" s="25" t="s">
        <v>0</v>
      </c>
      <c r="AI5" s="22" t="s">
        <v>42</v>
      </c>
      <c r="AJ5" s="25" t="s">
        <v>43</v>
      </c>
      <c r="AK5" s="25" t="s">
        <v>44</v>
      </c>
      <c r="AL5" s="25" t="s">
        <v>45</v>
      </c>
      <c r="AM5" s="25" t="s">
        <v>45</v>
      </c>
      <c r="AN5" s="25" t="s">
        <v>46</v>
      </c>
      <c r="AO5" s="25" t="s">
        <v>46</v>
      </c>
      <c r="AP5" s="25" t="s">
        <v>46</v>
      </c>
      <c r="AQ5" s="25" t="s">
        <v>45</v>
      </c>
    </row>
    <row r="6" spans="1:43" ht="16" x14ac:dyDescent="0.2">
      <c r="B6" s="3" t="s">
        <v>214</v>
      </c>
      <c r="C6" s="34">
        <v>0.25</v>
      </c>
      <c r="N6" t="s">
        <v>47</v>
      </c>
      <c r="O6" s="4" t="s">
        <v>48</v>
      </c>
      <c r="P6">
        <v>25</v>
      </c>
      <c r="Q6" s="4" t="s">
        <v>49</v>
      </c>
      <c r="R6" s="4" t="s">
        <v>50</v>
      </c>
      <c r="S6">
        <v>2</v>
      </c>
      <c r="T6" t="s">
        <v>179</v>
      </c>
      <c r="U6">
        <v>15</v>
      </c>
      <c r="V6" s="5" t="s">
        <v>51</v>
      </c>
      <c r="W6" t="s">
        <v>52</v>
      </c>
      <c r="X6" t="s">
        <v>188</v>
      </c>
      <c r="Y6">
        <v>15</v>
      </c>
      <c r="Z6" s="14" t="s">
        <v>42</v>
      </c>
      <c r="AB6" s="24" t="s">
        <v>53</v>
      </c>
      <c r="AC6" s="26" t="s">
        <v>54</v>
      </c>
      <c r="AD6" s="26" t="s">
        <v>55</v>
      </c>
      <c r="AE6" s="26" t="s">
        <v>54</v>
      </c>
      <c r="AF6" s="26" t="s">
        <v>56</v>
      </c>
      <c r="AG6" s="26" t="s">
        <v>57</v>
      </c>
      <c r="AH6" s="26" t="s">
        <v>55</v>
      </c>
      <c r="AI6" s="22" t="s">
        <v>58</v>
      </c>
      <c r="AJ6" s="26" t="s">
        <v>59</v>
      </c>
      <c r="AK6" s="26" t="s">
        <v>60</v>
      </c>
      <c r="AL6" s="29" t="s">
        <v>61</v>
      </c>
      <c r="AM6" s="26" t="s">
        <v>62</v>
      </c>
      <c r="AN6" s="26" t="s">
        <v>63</v>
      </c>
      <c r="AO6" s="26" t="s">
        <v>63</v>
      </c>
      <c r="AP6" s="26" t="s">
        <v>63</v>
      </c>
      <c r="AQ6" s="26" t="s">
        <v>62</v>
      </c>
    </row>
    <row r="7" spans="1:43" ht="16" x14ac:dyDescent="0.2">
      <c r="B7" s="3" t="s">
        <v>212</v>
      </c>
      <c r="C7" s="34">
        <v>0.12</v>
      </c>
      <c r="N7" t="s">
        <v>65</v>
      </c>
      <c r="O7" s="4" t="s">
        <v>66</v>
      </c>
      <c r="P7">
        <v>22</v>
      </c>
      <c r="Q7" s="4"/>
      <c r="R7" s="4"/>
      <c r="T7" t="s">
        <v>225</v>
      </c>
      <c r="U7">
        <v>20</v>
      </c>
      <c r="V7" s="5" t="s">
        <v>67</v>
      </c>
      <c r="W7" t="s">
        <v>68</v>
      </c>
      <c r="X7" t="s">
        <v>186</v>
      </c>
      <c r="Y7">
        <v>5</v>
      </c>
      <c r="Z7" s="14" t="s">
        <v>58</v>
      </c>
      <c r="AB7" s="13"/>
      <c r="AC7" s="27" t="s">
        <v>69</v>
      </c>
      <c r="AD7" s="27" t="s">
        <v>70</v>
      </c>
      <c r="AE7" s="27" t="s">
        <v>69</v>
      </c>
      <c r="AF7" s="29" t="s">
        <v>71</v>
      </c>
      <c r="AG7" s="27" t="s">
        <v>72</v>
      </c>
      <c r="AH7" s="24" t="s">
        <v>73</v>
      </c>
      <c r="AI7" s="22" t="s">
        <v>74</v>
      </c>
      <c r="AJ7" s="27" t="s">
        <v>75</v>
      </c>
      <c r="AK7" s="27" t="s">
        <v>75</v>
      </c>
      <c r="AL7" s="30" t="s">
        <v>76</v>
      </c>
      <c r="AM7" s="29" t="s">
        <v>61</v>
      </c>
      <c r="AN7" s="27" t="s">
        <v>77</v>
      </c>
      <c r="AO7" s="27" t="s">
        <v>77</v>
      </c>
      <c r="AP7" s="27" t="s">
        <v>77</v>
      </c>
      <c r="AQ7" s="29" t="s">
        <v>61</v>
      </c>
    </row>
    <row r="8" spans="1:43" ht="16" x14ac:dyDescent="0.2">
      <c r="N8" t="s">
        <v>78</v>
      </c>
      <c r="O8" s="4" t="s">
        <v>79</v>
      </c>
      <c r="P8">
        <v>20</v>
      </c>
      <c r="Q8" s="4"/>
      <c r="T8" t="s">
        <v>181</v>
      </c>
      <c r="U8">
        <v>25</v>
      </c>
      <c r="V8" s="5" t="s">
        <v>80</v>
      </c>
      <c r="W8" t="s">
        <v>81</v>
      </c>
      <c r="X8" t="s">
        <v>185</v>
      </c>
      <c r="Y8">
        <v>10</v>
      </c>
      <c r="Z8" s="14" t="s">
        <v>74</v>
      </c>
      <c r="AB8" s="13"/>
      <c r="AC8" s="28" t="s">
        <v>82</v>
      </c>
      <c r="AD8" s="28" t="s">
        <v>69</v>
      </c>
      <c r="AE8" s="28" t="s">
        <v>82</v>
      </c>
      <c r="AF8" s="31" t="s">
        <v>83</v>
      </c>
      <c r="AG8" s="28" t="s">
        <v>84</v>
      </c>
      <c r="AH8" s="13"/>
      <c r="AI8" s="22" t="s">
        <v>85</v>
      </c>
      <c r="AJ8" s="29" t="s">
        <v>61</v>
      </c>
      <c r="AK8" s="27" t="s">
        <v>61</v>
      </c>
      <c r="AL8" s="24" t="s">
        <v>86</v>
      </c>
      <c r="AM8" s="30" t="s">
        <v>76</v>
      </c>
      <c r="AN8" s="28" t="s">
        <v>87</v>
      </c>
      <c r="AO8" s="28" t="s">
        <v>88</v>
      </c>
      <c r="AP8" s="28" t="s">
        <v>87</v>
      </c>
      <c r="AQ8" s="30" t="s">
        <v>76</v>
      </c>
    </row>
    <row r="9" spans="1:43" ht="16" x14ac:dyDescent="0.2">
      <c r="N9" t="s">
        <v>89</v>
      </c>
      <c r="O9" s="4" t="s">
        <v>90</v>
      </c>
      <c r="P9">
        <v>18</v>
      </c>
      <c r="Q9" s="4"/>
      <c r="R9" s="4" t="s">
        <v>91</v>
      </c>
      <c r="T9" t="s">
        <v>92</v>
      </c>
      <c r="U9">
        <v>22</v>
      </c>
      <c r="V9" s="5" t="s">
        <v>93</v>
      </c>
      <c r="W9" t="s">
        <v>94</v>
      </c>
      <c r="X9" t="s">
        <v>184</v>
      </c>
      <c r="Y9">
        <v>25</v>
      </c>
      <c r="Z9" s="14" t="s">
        <v>85</v>
      </c>
      <c r="AB9" s="13"/>
      <c r="AC9" s="24" t="s">
        <v>95</v>
      </c>
      <c r="AD9" s="29" t="s">
        <v>82</v>
      </c>
      <c r="AE9" s="24" t="s">
        <v>95</v>
      </c>
      <c r="AF9" s="24" t="s">
        <v>96</v>
      </c>
      <c r="AG9" s="29" t="s">
        <v>97</v>
      </c>
      <c r="AH9" s="13"/>
      <c r="AI9" s="13" t="s">
        <v>37</v>
      </c>
      <c r="AJ9" s="30" t="s">
        <v>76</v>
      </c>
      <c r="AK9" s="30" t="s">
        <v>76</v>
      </c>
      <c r="AL9" s="31" t="s">
        <v>98</v>
      </c>
      <c r="AM9" s="24" t="s">
        <v>86</v>
      </c>
      <c r="AN9" s="24" t="s">
        <v>99</v>
      </c>
      <c r="AO9" s="24" t="s">
        <v>99</v>
      </c>
      <c r="AP9" s="24" t="s">
        <v>99</v>
      </c>
      <c r="AQ9" s="24" t="s">
        <v>86</v>
      </c>
    </row>
    <row r="10" spans="1:43" ht="16" x14ac:dyDescent="0.2">
      <c r="B10" s="9" t="s">
        <v>196</v>
      </c>
      <c r="C10" s="10" t="s">
        <v>5</v>
      </c>
      <c r="D10" s="10" t="s">
        <v>100</v>
      </c>
      <c r="E10" s="10" t="s">
        <v>101</v>
      </c>
      <c r="N10" t="s">
        <v>102</v>
      </c>
      <c r="O10" s="4" t="s">
        <v>103</v>
      </c>
      <c r="P10">
        <v>18</v>
      </c>
      <c r="Q10" s="4"/>
      <c r="R10" s="4" t="s">
        <v>104</v>
      </c>
      <c r="T10" t="s">
        <v>105</v>
      </c>
      <c r="V10" s="5" t="s">
        <v>106</v>
      </c>
      <c r="W10" t="s">
        <v>107</v>
      </c>
      <c r="AB10" s="13"/>
      <c r="AC10" s="31" t="s">
        <v>108</v>
      </c>
      <c r="AD10" s="24" t="s">
        <v>95</v>
      </c>
      <c r="AE10" s="31" t="s">
        <v>108</v>
      </c>
      <c r="AF10" s="30" t="s">
        <v>76</v>
      </c>
      <c r="AG10" s="24" t="s">
        <v>109</v>
      </c>
      <c r="AH10" s="13"/>
      <c r="AI10" s="13"/>
      <c r="AJ10" s="24" t="s">
        <v>110</v>
      </c>
      <c r="AK10" s="29" t="s">
        <v>111</v>
      </c>
      <c r="AL10" s="24" t="s">
        <v>112</v>
      </c>
      <c r="AM10" s="31" t="s">
        <v>98</v>
      </c>
      <c r="AN10" s="31" t="s">
        <v>113</v>
      </c>
      <c r="AO10" s="31" t="s">
        <v>113</v>
      </c>
      <c r="AP10" s="31" t="s">
        <v>113</v>
      </c>
      <c r="AQ10" s="31" t="s">
        <v>98</v>
      </c>
    </row>
    <row r="11" spans="1:43" ht="16" x14ac:dyDescent="0.2">
      <c r="B11" s="3" t="s">
        <v>121</v>
      </c>
      <c r="C11" s="4" t="s">
        <v>1</v>
      </c>
      <c r="D11" s="4">
        <f>IF(C11=O5,P5,IF(C11=O6,P6,(IF(C11=O7,P7,IF(C11=O8,P8,IF(C11=O9,P9,IF(C11=O10,P10,IF(C11=O11,P11,IF(C11=O12,P12,P13)))))))))</f>
        <v>15</v>
      </c>
      <c r="E11" s="4">
        <f t="shared" ref="E11:E22" si="0">D11*$C$3</f>
        <v>90</v>
      </c>
      <c r="G11" s="39" t="s">
        <v>114</v>
      </c>
      <c r="H11" s="39">
        <v>0</v>
      </c>
      <c r="I11" s="39" t="s">
        <v>115</v>
      </c>
      <c r="J11" s="39">
        <v>25</v>
      </c>
      <c r="N11" t="s">
        <v>116</v>
      </c>
      <c r="O11" s="4" t="s">
        <v>117</v>
      </c>
      <c r="P11">
        <v>15</v>
      </c>
      <c r="Q11" s="4"/>
      <c r="R11" s="4"/>
      <c r="V11" s="5" t="s">
        <v>118</v>
      </c>
      <c r="AB11" s="13"/>
      <c r="AC11" s="30" t="s">
        <v>76</v>
      </c>
      <c r="AD11" s="31" t="s">
        <v>113</v>
      </c>
      <c r="AE11" s="30" t="s">
        <v>76</v>
      </c>
      <c r="AF11" s="13"/>
      <c r="AG11" s="13"/>
      <c r="AH11" s="13"/>
      <c r="AI11" s="13"/>
      <c r="AJ11" s="31" t="s">
        <v>98</v>
      </c>
      <c r="AK11" s="24" t="s">
        <v>119</v>
      </c>
      <c r="AL11" s="13" t="s">
        <v>62</v>
      </c>
      <c r="AM11" s="24" t="s">
        <v>112</v>
      </c>
      <c r="AN11" s="24" t="s">
        <v>120</v>
      </c>
      <c r="AO11" s="24" t="s">
        <v>120</v>
      </c>
      <c r="AP11" s="24" t="s">
        <v>120</v>
      </c>
      <c r="AQ11" s="24" t="s">
        <v>112</v>
      </c>
    </row>
    <row r="12" spans="1:43" ht="16" x14ac:dyDescent="0.2">
      <c r="B12" s="16" t="s">
        <v>226</v>
      </c>
      <c r="C12" s="17" t="s">
        <v>222</v>
      </c>
      <c r="D12" s="17">
        <f>IF(C12="Toxical",15,0)</f>
        <v>15</v>
      </c>
      <c r="E12" s="17">
        <f t="shared" si="0"/>
        <v>90</v>
      </c>
      <c r="N12" t="s">
        <v>122</v>
      </c>
      <c r="O12" s="4" t="s">
        <v>123</v>
      </c>
      <c r="P12">
        <v>12</v>
      </c>
      <c r="Q12" s="4"/>
      <c r="R12" s="4" t="s">
        <v>124</v>
      </c>
      <c r="V12" s="5" t="s">
        <v>125</v>
      </c>
      <c r="AB12" s="13"/>
      <c r="AC12" s="31" t="s">
        <v>113</v>
      </c>
      <c r="AD12" s="31" t="s">
        <v>108</v>
      </c>
      <c r="AE12" s="31" t="s">
        <v>113</v>
      </c>
      <c r="AF12" s="13"/>
      <c r="AG12" s="13"/>
      <c r="AH12" s="13"/>
      <c r="AI12" s="13"/>
      <c r="AJ12" s="24" t="s">
        <v>112</v>
      </c>
      <c r="AK12" s="24" t="s">
        <v>110</v>
      </c>
      <c r="AL12" s="13"/>
      <c r="AM12" s="13"/>
      <c r="AN12" s="13"/>
      <c r="AO12" s="13"/>
      <c r="AP12" s="13"/>
      <c r="AQ12" s="13"/>
    </row>
    <row r="13" spans="1:43" ht="16" x14ac:dyDescent="0.2">
      <c r="B13" s="3" t="s">
        <v>198</v>
      </c>
      <c r="C13" s="4" t="s">
        <v>215</v>
      </c>
      <c r="D13" s="4">
        <f>IF(C13="Agressive",0,15)</f>
        <v>15</v>
      </c>
      <c r="E13" s="4">
        <f t="shared" si="0"/>
        <v>90</v>
      </c>
      <c r="N13" t="s">
        <v>126</v>
      </c>
      <c r="O13" s="4" t="s">
        <v>171</v>
      </c>
      <c r="P13">
        <v>20</v>
      </c>
      <c r="Q13" s="4"/>
      <c r="R13" s="4" t="s">
        <v>127</v>
      </c>
      <c r="V13" s="5" t="s">
        <v>128</v>
      </c>
      <c r="AB13" s="13"/>
      <c r="AC13" s="13" t="s">
        <v>129</v>
      </c>
      <c r="AD13" s="13" t="s">
        <v>1</v>
      </c>
      <c r="AE13" s="13" t="s">
        <v>129</v>
      </c>
      <c r="AF13" s="13"/>
      <c r="AG13" s="13"/>
      <c r="AH13" s="13"/>
      <c r="AI13" s="13"/>
      <c r="AJ13" s="13"/>
      <c r="AK13" s="31" t="s">
        <v>98</v>
      </c>
      <c r="AL13" s="13"/>
      <c r="AM13" s="13"/>
      <c r="AN13" s="13"/>
      <c r="AO13" s="13"/>
      <c r="AP13" s="13"/>
      <c r="AQ13" s="13"/>
    </row>
    <row r="14" spans="1:43" ht="16" x14ac:dyDescent="0.2">
      <c r="B14" s="16" t="s">
        <v>203</v>
      </c>
      <c r="C14" s="17" t="s">
        <v>217</v>
      </c>
      <c r="D14" s="17">
        <f>IF(C14="interventional",S5,2)</f>
        <v>15</v>
      </c>
      <c r="E14" s="17">
        <f t="shared" si="0"/>
        <v>90</v>
      </c>
      <c r="N14" t="s">
        <v>130</v>
      </c>
      <c r="O14" s="4"/>
      <c r="Q14" s="4"/>
      <c r="R14" s="4"/>
      <c r="V14" s="5" t="s">
        <v>131</v>
      </c>
      <c r="AC14" s="28" t="s">
        <v>132</v>
      </c>
      <c r="AD14" s="28" t="s">
        <v>132</v>
      </c>
      <c r="AE14" s="13" t="s">
        <v>1</v>
      </c>
    </row>
    <row r="15" spans="1:43" ht="16" x14ac:dyDescent="0.2">
      <c r="B15" s="3" t="s">
        <v>204</v>
      </c>
      <c r="C15" s="4" t="s">
        <v>230</v>
      </c>
      <c r="D15" s="4">
        <f>IF(C15=T5,U5,IF(C15=T6,U6,IF(C15=T7,U7,IF(C15=T8,U8,U9))))</f>
        <v>0</v>
      </c>
      <c r="E15" s="4">
        <f t="shared" si="0"/>
        <v>0</v>
      </c>
      <c r="N15" t="s">
        <v>133</v>
      </c>
      <c r="O15" s="4"/>
      <c r="Q15" s="4"/>
      <c r="R15" s="4"/>
      <c r="V15" s="5" t="s">
        <v>134</v>
      </c>
      <c r="AE15" s="28" t="s">
        <v>132</v>
      </c>
    </row>
    <row r="16" spans="1:43" x14ac:dyDescent="0.2">
      <c r="B16" s="16" t="s">
        <v>205</v>
      </c>
      <c r="C16" s="17" t="s">
        <v>186</v>
      </c>
      <c r="D16" s="17">
        <f>IF(C16=X5,Y5,IF(C16=X6,Y6,IF(C16=X7,Y7,IF(C16=X8,Y8,Y9))))</f>
        <v>5</v>
      </c>
      <c r="E16" s="17">
        <f t="shared" si="0"/>
        <v>30</v>
      </c>
      <c r="N16" t="s">
        <v>135</v>
      </c>
      <c r="O16" s="4"/>
      <c r="Q16" s="4"/>
      <c r="R16" s="4"/>
      <c r="V16" s="5" t="s">
        <v>136</v>
      </c>
    </row>
    <row r="17" spans="2:22" x14ac:dyDescent="0.2">
      <c r="B17" s="3" t="s">
        <v>206</v>
      </c>
      <c r="C17" s="4" t="s">
        <v>183</v>
      </c>
      <c r="D17" s="4">
        <f>IF(C17="Yes",15,0)</f>
        <v>0</v>
      </c>
      <c r="E17" s="4">
        <f t="shared" si="0"/>
        <v>0</v>
      </c>
      <c r="N17" t="s">
        <v>137</v>
      </c>
      <c r="O17" s="4"/>
      <c r="Q17" s="4"/>
      <c r="R17" s="4"/>
      <c r="V17" s="5" t="s">
        <v>138</v>
      </c>
    </row>
    <row r="18" spans="2:22" x14ac:dyDescent="0.2">
      <c r="B18" s="16" t="s">
        <v>199</v>
      </c>
      <c r="C18" s="17" t="s">
        <v>182</v>
      </c>
      <c r="D18" s="17">
        <f>IF(C18="Healthy",15,0)</f>
        <v>0</v>
      </c>
      <c r="E18" s="17">
        <f t="shared" si="0"/>
        <v>0</v>
      </c>
      <c r="G18" s="39" t="s">
        <v>115</v>
      </c>
      <c r="H18" s="39">
        <v>15</v>
      </c>
      <c r="I18" s="39" t="s">
        <v>114</v>
      </c>
      <c r="J18" s="39">
        <v>0</v>
      </c>
      <c r="N18" t="s">
        <v>139</v>
      </c>
      <c r="O18" s="4"/>
      <c r="Q18" s="4"/>
      <c r="R18" s="4"/>
      <c r="V18" s="5" t="s">
        <v>140</v>
      </c>
    </row>
    <row r="19" spans="2:22" x14ac:dyDescent="0.2">
      <c r="B19" s="3" t="s">
        <v>193</v>
      </c>
      <c r="C19" s="57">
        <v>1000000</v>
      </c>
      <c r="D19" s="4">
        <f>IF(C19=1000000,10,(IF(C19=2000000,20,(IF(C19=3000000,30,(IF(C19=5000000,50,0)))))))</f>
        <v>10</v>
      </c>
      <c r="E19" s="4">
        <f t="shared" si="0"/>
        <v>60</v>
      </c>
      <c r="G19" s="39" t="s">
        <v>115</v>
      </c>
      <c r="H19" s="39">
        <v>15</v>
      </c>
      <c r="I19" s="39" t="s">
        <v>114</v>
      </c>
      <c r="J19" s="39">
        <v>0</v>
      </c>
      <c r="N19" t="s">
        <v>141</v>
      </c>
      <c r="O19" s="4"/>
      <c r="Q19" s="4"/>
      <c r="R19" s="4"/>
      <c r="V19" s="5" t="s">
        <v>142</v>
      </c>
    </row>
    <row r="20" spans="2:22" x14ac:dyDescent="0.2">
      <c r="B20" s="16" t="s">
        <v>200</v>
      </c>
      <c r="C20" s="17" t="s">
        <v>115</v>
      </c>
      <c r="D20" s="17">
        <f>IF(C20="Nenhum",10,0)</f>
        <v>0</v>
      </c>
      <c r="E20" s="17">
        <f t="shared" si="0"/>
        <v>0</v>
      </c>
      <c r="G20" s="39" t="s">
        <v>143</v>
      </c>
      <c r="H20" s="39">
        <v>15</v>
      </c>
      <c r="I20" s="39" t="s">
        <v>144</v>
      </c>
      <c r="J20" s="39">
        <v>0</v>
      </c>
      <c r="N20" t="s">
        <v>145</v>
      </c>
      <c r="O20" s="4"/>
      <c r="Q20" s="4"/>
      <c r="R20" s="4"/>
      <c r="V20" s="5" t="s">
        <v>146</v>
      </c>
    </row>
    <row r="21" spans="2:22" x14ac:dyDescent="0.2">
      <c r="B21" s="3" t="s">
        <v>201</v>
      </c>
      <c r="C21" s="4" t="s">
        <v>115</v>
      </c>
      <c r="D21" s="4">
        <f>IF(C21="Nenhum",10,0)</f>
        <v>0</v>
      </c>
      <c r="E21" s="4">
        <f t="shared" si="0"/>
        <v>0</v>
      </c>
      <c r="N21" t="s">
        <v>147</v>
      </c>
    </row>
    <row r="22" spans="2:22" x14ac:dyDescent="0.2">
      <c r="B22" s="16" t="s">
        <v>202</v>
      </c>
      <c r="C22" s="17">
        <v>24</v>
      </c>
      <c r="D22" s="17">
        <f>IF(C22&lt;12,0,IF(C22&lt;24&gt;13,10,IF(C22&gt;25,20,0)))</f>
        <v>10</v>
      </c>
      <c r="E22" s="17">
        <f t="shared" si="0"/>
        <v>60</v>
      </c>
      <c r="G22" s="39" t="s">
        <v>148</v>
      </c>
      <c r="H22" s="39">
        <v>0</v>
      </c>
      <c r="I22" s="39" t="s">
        <v>149</v>
      </c>
      <c r="J22" s="39">
        <v>10</v>
      </c>
      <c r="N22" t="s">
        <v>150</v>
      </c>
    </row>
    <row r="23" spans="2:22" x14ac:dyDescent="0.2">
      <c r="B23" s="8"/>
      <c r="C23" s="62" t="s">
        <v>195</v>
      </c>
      <c r="D23" s="64">
        <f>SUM(D11:D22)</f>
        <v>85</v>
      </c>
      <c r="E23" s="61"/>
      <c r="G23" s="39" t="s">
        <v>148</v>
      </c>
      <c r="H23" s="39">
        <v>0</v>
      </c>
      <c r="I23" s="39" t="s">
        <v>149</v>
      </c>
      <c r="J23" s="39">
        <v>10</v>
      </c>
      <c r="N23" t="s">
        <v>151</v>
      </c>
    </row>
    <row r="25" spans="2:22" x14ac:dyDescent="0.2">
      <c r="F25" s="41"/>
    </row>
    <row r="26" spans="2:22" x14ac:dyDescent="0.2">
      <c r="B26" s="9" t="s">
        <v>196</v>
      </c>
      <c r="C26" s="10" t="s">
        <v>5</v>
      </c>
      <c r="D26" s="10" t="s">
        <v>197</v>
      </c>
      <c r="G26" s="39" t="s">
        <v>115</v>
      </c>
      <c r="H26" s="39">
        <v>0</v>
      </c>
      <c r="I26" s="39" t="s">
        <v>114</v>
      </c>
      <c r="J26" s="39">
        <v>10</v>
      </c>
    </row>
    <row r="27" spans="2:22" x14ac:dyDescent="0.2">
      <c r="B27" s="3" t="s">
        <v>152</v>
      </c>
      <c r="C27" s="58">
        <v>120</v>
      </c>
      <c r="D27" s="34">
        <v>0.312</v>
      </c>
    </row>
    <row r="28" spans="2:22" x14ac:dyDescent="0.2">
      <c r="B28" s="16" t="s">
        <v>192</v>
      </c>
      <c r="C28" s="17" t="s">
        <v>114</v>
      </c>
      <c r="D28" s="60">
        <f>IF(C28="Sim",50%,0)</f>
        <v>0</v>
      </c>
      <c r="F28" s="42"/>
      <c r="N28" s="4"/>
    </row>
    <row r="29" spans="2:22" x14ac:dyDescent="0.2">
      <c r="B29" s="3" t="s">
        <v>153</v>
      </c>
      <c r="C29" s="59"/>
      <c r="D29" s="34">
        <v>0.2</v>
      </c>
    </row>
    <row r="30" spans="2:22" x14ac:dyDescent="0.2">
      <c r="B30" s="7" t="s">
        <v>154</v>
      </c>
      <c r="C30" s="62" t="s">
        <v>194</v>
      </c>
      <c r="D30" s="63">
        <f>((((SUM(D11:D22)*(1-D27))*(1-D28))*(1-D29)))</f>
        <v>46.783999999999999</v>
      </c>
      <c r="E30" s="33"/>
      <c r="N30" s="4"/>
    </row>
    <row r="31" spans="2:22" x14ac:dyDescent="0.2">
      <c r="N31" s="4"/>
    </row>
    <row r="32" spans="2:22" x14ac:dyDescent="0.2">
      <c r="N32" s="4"/>
    </row>
    <row r="33" spans="1:14" x14ac:dyDescent="0.2">
      <c r="B33" s="9" t="s">
        <v>155</v>
      </c>
      <c r="C33" s="9" t="s">
        <v>156</v>
      </c>
      <c r="D33" s="10" t="s">
        <v>157</v>
      </c>
      <c r="E33" s="10" t="s">
        <v>158</v>
      </c>
      <c r="F33" s="43" t="s">
        <v>208</v>
      </c>
      <c r="G33" s="44" t="s">
        <v>207</v>
      </c>
      <c r="H33" s="44" t="s">
        <v>216</v>
      </c>
      <c r="I33" s="44" t="s">
        <v>159</v>
      </c>
      <c r="J33" s="43" t="s">
        <v>160</v>
      </c>
      <c r="N33" s="4"/>
    </row>
    <row r="34" spans="1:14" x14ac:dyDescent="0.2">
      <c r="B34" s="66" t="s">
        <v>161</v>
      </c>
      <c r="C34" s="67">
        <v>1000000</v>
      </c>
      <c r="D34" s="56">
        <f t="shared" ref="D34:D41" si="1">IF(F34&gt;=$C$2,F34,$C$2)</f>
        <v>33684.479999999996</v>
      </c>
      <c r="E34" s="68">
        <f>D34/$C$3</f>
        <v>5614.079999999999</v>
      </c>
      <c r="F34" s="67">
        <f>($D$30*$C$27*(C34/1000000))*C3</f>
        <v>33684.479999999996</v>
      </c>
      <c r="G34" s="69">
        <f t="shared" ref="G34:G41" si="2">F34/C34</f>
        <v>3.3684479999999996E-2</v>
      </c>
      <c r="H34" s="67">
        <f>F34/$C$27</f>
        <v>280.70399999999995</v>
      </c>
      <c r="I34" s="67">
        <f t="shared" ref="I34:I41" si="3">D34/(100%-$C$4)</f>
        <v>39628.799999999996</v>
      </c>
      <c r="J34" s="67">
        <f>I34*1.0738</f>
        <v>42553.405440000002</v>
      </c>
      <c r="N34" s="4"/>
    </row>
    <row r="35" spans="1:14" x14ac:dyDescent="0.2">
      <c r="A35" s="15" t="s">
        <v>209</v>
      </c>
      <c r="B35" s="66" t="s">
        <v>162</v>
      </c>
      <c r="C35" s="67">
        <v>2000000</v>
      </c>
      <c r="D35" s="56">
        <f t="shared" si="1"/>
        <v>50526.719999999994</v>
      </c>
      <c r="E35" s="68">
        <f t="shared" ref="E35:E41" si="4">D35/$C$3</f>
        <v>8421.119999999999</v>
      </c>
      <c r="F35" s="67">
        <f>D34*1.5</f>
        <v>50526.719999999994</v>
      </c>
      <c r="G35" s="69">
        <f t="shared" si="2"/>
        <v>2.5263359999999999E-2</v>
      </c>
      <c r="H35" s="67">
        <f>F35/$C$27</f>
        <v>421.05599999999993</v>
      </c>
      <c r="I35" s="67">
        <f t="shared" si="3"/>
        <v>59443.199999999997</v>
      </c>
      <c r="J35" s="67">
        <f t="shared" ref="J35:J41" si="5">I35*1.0738</f>
        <v>63830.108160000003</v>
      </c>
    </row>
    <row r="36" spans="1:14" x14ac:dyDescent="0.2">
      <c r="B36" s="66" t="s">
        <v>163</v>
      </c>
      <c r="C36" s="67">
        <v>3000000</v>
      </c>
      <c r="D36" s="56">
        <f t="shared" si="1"/>
        <v>77474.303999999989</v>
      </c>
      <c r="E36" s="68">
        <f t="shared" si="4"/>
        <v>12912.383999999998</v>
      </c>
      <c r="F36" s="67">
        <f>D34*2.3</f>
        <v>77474.303999999989</v>
      </c>
      <c r="G36" s="69">
        <f t="shared" si="2"/>
        <v>2.5824767999999998E-2</v>
      </c>
      <c r="H36" s="67">
        <f t="shared" ref="H36:H41" si="6">F36/$C$27</f>
        <v>645.61919999999986</v>
      </c>
      <c r="I36" s="67">
        <f t="shared" si="3"/>
        <v>91146.239999999991</v>
      </c>
      <c r="J36" s="67">
        <f t="shared" si="5"/>
        <v>97872.832511999994</v>
      </c>
    </row>
    <row r="37" spans="1:14" x14ac:dyDescent="0.2">
      <c r="B37" s="66" t="s">
        <v>164</v>
      </c>
      <c r="C37" s="67">
        <v>5000000</v>
      </c>
      <c r="D37" s="56">
        <f t="shared" si="1"/>
        <v>94316.54399999998</v>
      </c>
      <c r="E37" s="68">
        <f t="shared" si="4"/>
        <v>15719.423999999997</v>
      </c>
      <c r="F37" s="67">
        <f>D34*2.8</f>
        <v>94316.54399999998</v>
      </c>
      <c r="G37" s="69">
        <f t="shared" si="2"/>
        <v>1.8863308799999996E-2</v>
      </c>
      <c r="H37" s="67">
        <f t="shared" si="6"/>
        <v>785.97119999999984</v>
      </c>
      <c r="I37" s="67">
        <f t="shared" si="3"/>
        <v>110960.63999999998</v>
      </c>
      <c r="J37" s="67">
        <f t="shared" si="5"/>
        <v>119149.53523199999</v>
      </c>
    </row>
    <row r="38" spans="1:14" x14ac:dyDescent="0.2">
      <c r="B38" s="66" t="s">
        <v>165</v>
      </c>
      <c r="C38" s="67">
        <v>7000000</v>
      </c>
      <c r="D38" s="56">
        <f t="shared" si="1"/>
        <v>104421.88799999999</v>
      </c>
      <c r="E38" s="68">
        <f t="shared" si="4"/>
        <v>17403.647999999997</v>
      </c>
      <c r="F38" s="67">
        <f>D34*3.1</f>
        <v>104421.88799999999</v>
      </c>
      <c r="G38" s="69">
        <f t="shared" si="2"/>
        <v>1.4917412571428571E-2</v>
      </c>
      <c r="H38" s="67">
        <f t="shared" si="6"/>
        <v>870.18239999999992</v>
      </c>
      <c r="I38" s="67">
        <f t="shared" si="3"/>
        <v>122849.28</v>
      </c>
      <c r="J38" s="67">
        <f t="shared" si="5"/>
        <v>131915.55686400001</v>
      </c>
    </row>
    <row r="39" spans="1:14" x14ac:dyDescent="0.2">
      <c r="B39" s="66" t="s">
        <v>166</v>
      </c>
      <c r="C39" s="67">
        <v>10000000</v>
      </c>
      <c r="D39" s="56">
        <f t="shared" si="1"/>
        <v>117895.67999999999</v>
      </c>
      <c r="E39" s="68">
        <f t="shared" si="4"/>
        <v>19649.28</v>
      </c>
      <c r="F39" s="67">
        <f>D34*3.5</f>
        <v>117895.67999999999</v>
      </c>
      <c r="G39" s="69">
        <f t="shared" si="2"/>
        <v>1.1789567999999999E-2</v>
      </c>
      <c r="H39" s="67">
        <f t="shared" si="6"/>
        <v>982.46399999999994</v>
      </c>
      <c r="I39" s="67">
        <f t="shared" si="3"/>
        <v>138700.79999999999</v>
      </c>
      <c r="J39" s="67">
        <f t="shared" si="5"/>
        <v>148936.91904000001</v>
      </c>
    </row>
    <row r="40" spans="1:14" x14ac:dyDescent="0.2">
      <c r="B40" s="66" t="s">
        <v>167</v>
      </c>
      <c r="C40" s="67">
        <v>15000000</v>
      </c>
      <c r="D40" s="56">
        <f t="shared" si="1"/>
        <v>134737.91999999998</v>
      </c>
      <c r="E40" s="68">
        <f t="shared" si="4"/>
        <v>22456.319999999996</v>
      </c>
      <c r="F40" s="67">
        <f>D34*4</f>
        <v>134737.91999999998</v>
      </c>
      <c r="G40" s="69">
        <f t="shared" si="2"/>
        <v>8.9825279999999983E-3</v>
      </c>
      <c r="H40" s="67">
        <f t="shared" si="6"/>
        <v>1122.8159999999998</v>
      </c>
      <c r="I40" s="67">
        <f t="shared" si="3"/>
        <v>158515.19999999998</v>
      </c>
      <c r="J40" s="67">
        <f t="shared" si="5"/>
        <v>170213.62176000001</v>
      </c>
    </row>
    <row r="41" spans="1:14" x14ac:dyDescent="0.2">
      <c r="B41" s="66" t="s">
        <v>168</v>
      </c>
      <c r="C41" s="67">
        <v>20000000</v>
      </c>
      <c r="D41" s="56">
        <f t="shared" si="1"/>
        <v>168422.39999999997</v>
      </c>
      <c r="E41" s="68">
        <f t="shared" si="4"/>
        <v>28070.399999999994</v>
      </c>
      <c r="F41" s="67">
        <f>D34*5</f>
        <v>168422.39999999997</v>
      </c>
      <c r="G41" s="69">
        <f t="shared" si="2"/>
        <v>8.421119999999999E-3</v>
      </c>
      <c r="H41" s="67">
        <f t="shared" si="6"/>
        <v>1403.5199999999998</v>
      </c>
      <c r="I41" s="67">
        <f t="shared" si="3"/>
        <v>198143.99999999997</v>
      </c>
      <c r="J41" s="67">
        <f t="shared" si="5"/>
        <v>212767.02719999998</v>
      </c>
    </row>
    <row r="42" spans="1:14" x14ac:dyDescent="0.2">
      <c r="B42" s="11"/>
      <c r="C42" s="48"/>
      <c r="D42" s="53"/>
      <c r="E42" s="49"/>
      <c r="F42" s="48"/>
      <c r="G42" s="45"/>
      <c r="H42" s="48"/>
      <c r="I42" s="48"/>
    </row>
    <row r="43" spans="1:14" x14ac:dyDescent="0.2">
      <c r="B43" s="11"/>
      <c r="C43" s="48"/>
      <c r="D43" s="48"/>
      <c r="E43" s="49"/>
      <c r="F43" s="48"/>
      <c r="G43" s="45"/>
      <c r="H43" s="48"/>
      <c r="I43" s="48"/>
    </row>
    <row r="44" spans="1:14" x14ac:dyDescent="0.2">
      <c r="B44" s="9" t="s">
        <v>155</v>
      </c>
      <c r="C44" s="9" t="s">
        <v>156</v>
      </c>
      <c r="D44" s="10" t="s">
        <v>157</v>
      </c>
      <c r="E44" s="10" t="s">
        <v>189</v>
      </c>
      <c r="F44" s="10" t="s">
        <v>190</v>
      </c>
      <c r="G44" s="10"/>
      <c r="H44" s="10" t="s">
        <v>154</v>
      </c>
      <c r="I44" s="48"/>
      <c r="J44" s="10" t="s">
        <v>231</v>
      </c>
    </row>
    <row r="45" spans="1:14" x14ac:dyDescent="0.2">
      <c r="B45" s="70" t="s">
        <v>161</v>
      </c>
      <c r="C45" s="71">
        <v>1000000</v>
      </c>
      <c r="D45" s="72">
        <f t="shared" ref="D45:D52" si="7">IF(F34&gt;=$C$2,F34,$C$2)</f>
        <v>33684.479999999996</v>
      </c>
      <c r="E45" s="72">
        <f>D45/(100%-$C$7)</f>
        <v>38277.818181818177</v>
      </c>
      <c r="F45" s="71">
        <f>E45/(100%-$C$4)</f>
        <v>45032.727272727265</v>
      </c>
      <c r="G45" s="73"/>
      <c r="H45" s="72">
        <f>F45*1.0738</f>
        <v>48356.142545454539</v>
      </c>
      <c r="I45" s="48"/>
      <c r="J45" s="72">
        <f>F45*0.06</f>
        <v>2701.9636363636359</v>
      </c>
    </row>
    <row r="46" spans="1:14" x14ac:dyDescent="0.2">
      <c r="A46" s="15" t="s">
        <v>210</v>
      </c>
      <c r="B46" s="70" t="s">
        <v>162</v>
      </c>
      <c r="C46" s="71">
        <v>2000000</v>
      </c>
      <c r="D46" s="72">
        <f t="shared" si="7"/>
        <v>50526.719999999994</v>
      </c>
      <c r="E46" s="72">
        <f t="shared" ref="E46:E52" si="8">D46/(100%-$C$7)</f>
        <v>57416.727272727265</v>
      </c>
      <c r="F46" s="71">
        <f t="shared" ref="F46:F52" si="9">E46/(100%-$C$4)</f>
        <v>67549.090909090897</v>
      </c>
      <c r="G46" s="73"/>
      <c r="H46" s="72">
        <f t="shared" ref="H46:H52" si="10">F46*1.0738</f>
        <v>72534.213818181815</v>
      </c>
      <c r="I46" s="48"/>
      <c r="J46" s="72">
        <f t="shared" ref="J46:J52" si="11">F46*0.06</f>
        <v>4052.9454545454537</v>
      </c>
    </row>
    <row r="47" spans="1:14" x14ac:dyDescent="0.2">
      <c r="B47" s="70" t="s">
        <v>163</v>
      </c>
      <c r="C47" s="71">
        <v>3000000</v>
      </c>
      <c r="D47" s="72">
        <f t="shared" si="7"/>
        <v>77474.303999999989</v>
      </c>
      <c r="E47" s="72">
        <f t="shared" si="8"/>
        <v>88038.981818181812</v>
      </c>
      <c r="F47" s="71">
        <f t="shared" si="9"/>
        <v>103575.27272727272</v>
      </c>
      <c r="G47" s="73"/>
      <c r="H47" s="72">
        <f t="shared" si="10"/>
        <v>111219.12785454546</v>
      </c>
      <c r="I47" s="48"/>
      <c r="J47" s="72">
        <f t="shared" si="11"/>
        <v>6214.5163636363632</v>
      </c>
    </row>
    <row r="48" spans="1:14" x14ac:dyDescent="0.2">
      <c r="B48" s="70" t="s">
        <v>164</v>
      </c>
      <c r="C48" s="71">
        <v>5000000</v>
      </c>
      <c r="D48" s="72">
        <f t="shared" si="7"/>
        <v>94316.54399999998</v>
      </c>
      <c r="E48" s="72">
        <f t="shared" si="8"/>
        <v>107177.89090909089</v>
      </c>
      <c r="F48" s="71">
        <f t="shared" si="9"/>
        <v>126091.63636363634</v>
      </c>
      <c r="G48" s="73"/>
      <c r="H48" s="72">
        <f t="shared" si="10"/>
        <v>135397.1991272727</v>
      </c>
      <c r="I48" s="48"/>
      <c r="J48" s="72">
        <f t="shared" si="11"/>
        <v>7565.4981818181805</v>
      </c>
    </row>
    <row r="49" spans="1:10" x14ac:dyDescent="0.2">
      <c r="B49" s="70" t="s">
        <v>165</v>
      </c>
      <c r="C49" s="71">
        <v>7000000</v>
      </c>
      <c r="D49" s="72">
        <f t="shared" si="7"/>
        <v>104421.88799999999</v>
      </c>
      <c r="E49" s="72">
        <f t="shared" si="8"/>
        <v>118661.23636363636</v>
      </c>
      <c r="F49" s="71">
        <f t="shared" si="9"/>
        <v>139601.45454545453</v>
      </c>
      <c r="G49" s="73"/>
      <c r="H49" s="72">
        <f t="shared" si="10"/>
        <v>149904.04189090908</v>
      </c>
      <c r="I49" s="48"/>
      <c r="J49" s="72">
        <f t="shared" si="11"/>
        <v>8376.0872727272708</v>
      </c>
    </row>
    <row r="50" spans="1:10" x14ac:dyDescent="0.2">
      <c r="B50" s="70" t="s">
        <v>166</v>
      </c>
      <c r="C50" s="71">
        <v>10000000</v>
      </c>
      <c r="D50" s="72">
        <f t="shared" si="7"/>
        <v>117895.67999999999</v>
      </c>
      <c r="E50" s="72">
        <f t="shared" si="8"/>
        <v>133972.36363636362</v>
      </c>
      <c r="F50" s="71">
        <f t="shared" si="9"/>
        <v>157614.54545454544</v>
      </c>
      <c r="G50" s="73"/>
      <c r="H50" s="72">
        <f t="shared" si="10"/>
        <v>169246.49890909091</v>
      </c>
      <c r="I50" s="48"/>
      <c r="J50" s="72">
        <f t="shared" si="11"/>
        <v>9456.8727272727265</v>
      </c>
    </row>
    <row r="51" spans="1:10" x14ac:dyDescent="0.2">
      <c r="B51" s="70" t="s">
        <v>167</v>
      </c>
      <c r="C51" s="71">
        <v>15000000</v>
      </c>
      <c r="D51" s="72">
        <f t="shared" si="7"/>
        <v>134737.91999999998</v>
      </c>
      <c r="E51" s="72">
        <f t="shared" si="8"/>
        <v>153111.27272727271</v>
      </c>
      <c r="F51" s="71">
        <f t="shared" si="9"/>
        <v>180130.90909090906</v>
      </c>
      <c r="G51" s="73"/>
      <c r="H51" s="72">
        <f t="shared" si="10"/>
        <v>193424.57018181816</v>
      </c>
      <c r="I51" s="48"/>
      <c r="J51" s="72">
        <f t="shared" si="11"/>
        <v>10807.854545454544</v>
      </c>
    </row>
    <row r="52" spans="1:10" x14ac:dyDescent="0.2">
      <c r="B52" s="70" t="s">
        <v>168</v>
      </c>
      <c r="C52" s="71">
        <v>20000000</v>
      </c>
      <c r="D52" s="72">
        <f t="shared" si="7"/>
        <v>168422.39999999997</v>
      </c>
      <c r="E52" s="72">
        <f t="shared" si="8"/>
        <v>191389.09090909088</v>
      </c>
      <c r="F52" s="71">
        <f t="shared" si="9"/>
        <v>225163.63636363632</v>
      </c>
      <c r="G52" s="73"/>
      <c r="H52" s="72">
        <f t="shared" si="10"/>
        <v>241780.71272727271</v>
      </c>
      <c r="I52" s="48"/>
      <c r="J52" s="72">
        <f t="shared" si="11"/>
        <v>13509.818181818178</v>
      </c>
    </row>
    <row r="53" spans="1:10" x14ac:dyDescent="0.2">
      <c r="B53" s="11"/>
      <c r="C53" s="48"/>
      <c r="D53" s="48"/>
      <c r="E53" s="49"/>
      <c r="F53" s="48"/>
      <c r="G53" s="45"/>
      <c r="H53" s="48"/>
      <c r="I53" s="48"/>
    </row>
    <row r="54" spans="1:10" x14ac:dyDescent="0.2">
      <c r="B54" s="11"/>
      <c r="C54" s="48"/>
      <c r="D54" s="48"/>
      <c r="E54" s="49"/>
      <c r="F54" s="48"/>
      <c r="G54" s="45"/>
      <c r="H54" s="48"/>
      <c r="I54" s="48"/>
    </row>
    <row r="55" spans="1:10" x14ac:dyDescent="0.2">
      <c r="B55" s="11"/>
      <c r="C55" s="48"/>
      <c r="D55" s="48"/>
      <c r="E55" s="49"/>
      <c r="F55" s="48"/>
      <c r="G55" s="45"/>
      <c r="H55" s="48"/>
      <c r="I55" s="48"/>
    </row>
    <row r="56" spans="1:10" x14ac:dyDescent="0.2">
      <c r="B56" s="3"/>
      <c r="C56" s="9" t="s">
        <v>156</v>
      </c>
      <c r="D56" s="10" t="s">
        <v>157</v>
      </c>
      <c r="E56" s="10" t="s">
        <v>157</v>
      </c>
      <c r="F56" s="10" t="s">
        <v>189</v>
      </c>
      <c r="H56" s="10" t="s">
        <v>190</v>
      </c>
      <c r="I56" s="10" t="s">
        <v>154</v>
      </c>
    </row>
    <row r="57" spans="1:10" x14ac:dyDescent="0.2">
      <c r="B57" s="3"/>
      <c r="C57" s="48">
        <f>C34</f>
        <v>1000000</v>
      </c>
      <c r="D57" s="56">
        <f>D34</f>
        <v>33684.479999999996</v>
      </c>
      <c r="E57" s="50">
        <f>D34</f>
        <v>33684.479999999996</v>
      </c>
      <c r="F57" s="71">
        <f>E57/(100%-$C$7)</f>
        <v>38277.818181818177</v>
      </c>
      <c r="H57" s="71">
        <f>F57/(100%-$C$4)</f>
        <v>45032.727272727265</v>
      </c>
      <c r="I57" s="71">
        <f>H57*1.0738</f>
        <v>48356.142545454539</v>
      </c>
    </row>
    <row r="58" spans="1:10" x14ac:dyDescent="0.2">
      <c r="A58" s="15" t="s">
        <v>211</v>
      </c>
      <c r="B58" s="3"/>
      <c r="C58" s="48">
        <f>C36</f>
        <v>3000000</v>
      </c>
      <c r="D58" s="56">
        <f>D36</f>
        <v>77474.303999999989</v>
      </c>
      <c r="E58" s="50">
        <f>D36</f>
        <v>77474.303999999989</v>
      </c>
      <c r="F58" s="71">
        <f>E58/(100%-$C$7)</f>
        <v>88038.981818181812</v>
      </c>
      <c r="H58" s="71">
        <f>F58/(100%-$C$4)</f>
        <v>103575.27272727272</v>
      </c>
      <c r="I58" s="71">
        <f>H58*1.0738</f>
        <v>111219.12785454546</v>
      </c>
    </row>
    <row r="59" spans="1:10" x14ac:dyDescent="0.2">
      <c r="B59" s="3"/>
      <c r="C59" s="48">
        <f>C37</f>
        <v>5000000</v>
      </c>
      <c r="D59" s="56">
        <f>D37</f>
        <v>94316.54399999998</v>
      </c>
      <c r="E59" s="50">
        <f>D37</f>
        <v>94316.54399999998</v>
      </c>
      <c r="F59" s="71">
        <f>E59/(100%-$C$7)</f>
        <v>107177.89090909089</v>
      </c>
      <c r="H59" s="71">
        <f>F59/(100%-$C$4)</f>
        <v>126091.63636363634</v>
      </c>
      <c r="I59" s="71">
        <f>H59*1.0738</f>
        <v>135397.1991272727</v>
      </c>
    </row>
    <row r="60" spans="1:10" x14ac:dyDescent="0.2">
      <c r="B60" s="3"/>
      <c r="C60" s="48">
        <f>C39</f>
        <v>10000000</v>
      </c>
      <c r="D60" s="56">
        <f>D39</f>
        <v>117895.67999999999</v>
      </c>
      <c r="E60" s="50">
        <f>D39</f>
        <v>117895.67999999999</v>
      </c>
      <c r="F60" s="71">
        <f>E60/(100%-$C$7)</f>
        <v>133972.36363636362</v>
      </c>
      <c r="H60" s="71">
        <f>F60/(100%-$C$4)</f>
        <v>157614.54545454544</v>
      </c>
      <c r="I60" s="71">
        <f>H60*1.0738</f>
        <v>169246.49890909091</v>
      </c>
    </row>
    <row r="61" spans="1:10" x14ac:dyDescent="0.2">
      <c r="C61" s="48">
        <f>C40</f>
        <v>15000000</v>
      </c>
      <c r="D61" s="56">
        <f>D40</f>
        <v>134737.91999999998</v>
      </c>
      <c r="E61" s="50">
        <f>D40</f>
        <v>134737.91999999998</v>
      </c>
      <c r="F61" s="71">
        <f>E61/(100%-$C$7)</f>
        <v>153111.27272727271</v>
      </c>
      <c r="H61" s="71">
        <f>F61/(100%-$C$4)</f>
        <v>180130.90909090906</v>
      </c>
      <c r="I61" s="71">
        <f>H61*1.0738</f>
        <v>193424.57018181816</v>
      </c>
    </row>
    <row r="63" spans="1:10" x14ac:dyDescent="0.2">
      <c r="C63" s="4">
        <v>1</v>
      </c>
    </row>
    <row r="64" spans="1:10" x14ac:dyDescent="0.2">
      <c r="B64" s="6"/>
      <c r="C64" s="4">
        <v>2</v>
      </c>
      <c r="D64" s="4">
        <v>2</v>
      </c>
      <c r="G64" s="39">
        <v>0</v>
      </c>
      <c r="H64" s="39">
        <v>12</v>
      </c>
      <c r="I64" s="39">
        <v>5</v>
      </c>
    </row>
    <row r="65" spans="2:9" x14ac:dyDescent="0.2">
      <c r="B65" s="6"/>
      <c r="C65" s="4">
        <v>3</v>
      </c>
      <c r="D65" s="4">
        <v>2.8</v>
      </c>
      <c r="E65" s="4">
        <f t="shared" ref="E65:E70" si="12">D65/C65</f>
        <v>0.93333333333333324</v>
      </c>
    </row>
    <row r="66" spans="2:9" x14ac:dyDescent="0.2">
      <c r="B66" s="6"/>
      <c r="C66" s="4">
        <v>5</v>
      </c>
      <c r="D66" s="4">
        <v>3.5</v>
      </c>
      <c r="E66" s="4">
        <f t="shared" si="12"/>
        <v>0.7</v>
      </c>
      <c r="G66" s="39">
        <v>13</v>
      </c>
      <c r="H66" s="39">
        <v>24</v>
      </c>
      <c r="I66" s="39">
        <v>10</v>
      </c>
    </row>
    <row r="67" spans="2:9" x14ac:dyDescent="0.2">
      <c r="B67" s="6"/>
      <c r="C67" s="4">
        <v>7</v>
      </c>
      <c r="D67" s="4">
        <v>4</v>
      </c>
      <c r="E67" s="4">
        <f t="shared" si="12"/>
        <v>0.5714285714285714</v>
      </c>
      <c r="G67" s="39">
        <v>25</v>
      </c>
      <c r="H67" s="39">
        <v>36</v>
      </c>
      <c r="I67" s="39">
        <v>12</v>
      </c>
    </row>
    <row r="68" spans="2:9" x14ac:dyDescent="0.2">
      <c r="B68" s="6"/>
      <c r="C68" s="4">
        <v>10</v>
      </c>
      <c r="D68" s="4">
        <v>5</v>
      </c>
      <c r="E68" s="4">
        <f t="shared" si="12"/>
        <v>0.5</v>
      </c>
      <c r="G68" s="39">
        <v>37</v>
      </c>
      <c r="H68" s="39">
        <v>48</v>
      </c>
      <c r="I68" s="39">
        <v>14</v>
      </c>
    </row>
    <row r="69" spans="2:9" x14ac:dyDescent="0.2">
      <c r="B69" s="6"/>
      <c r="C69" s="4">
        <v>15</v>
      </c>
      <c r="D69" s="4">
        <v>8</v>
      </c>
      <c r="E69" s="4">
        <f t="shared" si="12"/>
        <v>0.53333333333333333</v>
      </c>
      <c r="G69" s="39">
        <v>49</v>
      </c>
      <c r="H69" s="39">
        <v>60</v>
      </c>
      <c r="I69" s="39">
        <v>15</v>
      </c>
    </row>
    <row r="70" spans="2:9" x14ac:dyDescent="0.2">
      <c r="B70" s="6"/>
      <c r="C70" s="4">
        <v>20</v>
      </c>
      <c r="D70" s="4">
        <v>12</v>
      </c>
      <c r="E70" s="4">
        <f t="shared" si="12"/>
        <v>0.6</v>
      </c>
      <c r="G70" s="39">
        <v>61</v>
      </c>
      <c r="H70" s="39">
        <v>72</v>
      </c>
      <c r="I70" s="39">
        <v>16</v>
      </c>
    </row>
    <row r="71" spans="2:9" x14ac:dyDescent="0.2">
      <c r="D71"/>
      <c r="E71"/>
      <c r="G71" s="39">
        <v>73</v>
      </c>
      <c r="H71" s="39">
        <v>84</v>
      </c>
      <c r="I71" s="39">
        <v>17</v>
      </c>
    </row>
    <row r="72" spans="2:9" x14ac:dyDescent="0.2">
      <c r="D72"/>
      <c r="E72"/>
      <c r="G72" s="39" t="s">
        <v>169</v>
      </c>
      <c r="I72" s="39">
        <v>20</v>
      </c>
    </row>
    <row r="73" spans="2:9" x14ac:dyDescent="0.2">
      <c r="B73" s="48"/>
      <c r="C73" s="2"/>
      <c r="D73" s="51"/>
      <c r="E73" s="52"/>
    </row>
    <row r="74" spans="2:9" x14ac:dyDescent="0.2">
      <c r="B74" s="48"/>
      <c r="C74" s="2"/>
      <c r="D74" s="51"/>
      <c r="E74" s="52"/>
      <c r="G74" s="46">
        <v>1</v>
      </c>
      <c r="H74" s="46">
        <v>50</v>
      </c>
      <c r="I74" s="47">
        <v>0</v>
      </c>
    </row>
    <row r="75" spans="2:9" x14ac:dyDescent="0.2">
      <c r="B75" s="48">
        <v>10000000</v>
      </c>
      <c r="C75" s="2">
        <v>718200.00000000058</v>
      </c>
      <c r="D75" s="51"/>
      <c r="E75" s="52"/>
      <c r="G75" s="46">
        <v>51</v>
      </c>
      <c r="H75" s="46">
        <v>60</v>
      </c>
      <c r="I75" s="47">
        <v>0.05</v>
      </c>
    </row>
    <row r="76" spans="2:9" x14ac:dyDescent="0.2">
      <c r="B76" s="48">
        <v>15000000</v>
      </c>
      <c r="C76" s="2">
        <v>820800.0000000007</v>
      </c>
      <c r="D76"/>
      <c r="E76"/>
      <c r="G76" s="46">
        <f t="shared" ref="G76:G139" si="13">H75+1</f>
        <v>61</v>
      </c>
      <c r="H76" s="46">
        <v>75</v>
      </c>
      <c r="I76" s="47">
        <f>I75*2</f>
        <v>0.1</v>
      </c>
    </row>
    <row r="77" spans="2:9" x14ac:dyDescent="0.2">
      <c r="B77" s="48">
        <v>20000000</v>
      </c>
      <c r="C77" s="2">
        <v>1026000.0000000009</v>
      </c>
      <c r="D77"/>
      <c r="E77"/>
      <c r="G77" s="46">
        <f t="shared" si="13"/>
        <v>76</v>
      </c>
      <c r="H77" s="46">
        <v>90</v>
      </c>
      <c r="I77" s="47">
        <f>I76*2</f>
        <v>0.2</v>
      </c>
    </row>
    <row r="78" spans="2:9" x14ac:dyDescent="0.2">
      <c r="B78" s="48">
        <v>25000000</v>
      </c>
      <c r="C78" s="2">
        <f>C77/0.75</f>
        <v>1368000.0000000012</v>
      </c>
      <c r="D78"/>
      <c r="E78"/>
      <c r="G78" s="46">
        <f t="shared" si="13"/>
        <v>91</v>
      </c>
      <c r="H78" s="46">
        <v>110</v>
      </c>
      <c r="I78" s="47">
        <f>I77*1.3</f>
        <v>0.26</v>
      </c>
    </row>
    <row r="79" spans="2:9" x14ac:dyDescent="0.2">
      <c r="D79"/>
      <c r="E79"/>
      <c r="G79" s="46">
        <f t="shared" si="13"/>
        <v>111</v>
      </c>
      <c r="H79" s="46">
        <f>H78*1.15</f>
        <v>126.49999999999999</v>
      </c>
      <c r="I79" s="47">
        <f>I78*1.2</f>
        <v>0.312</v>
      </c>
    </row>
    <row r="80" spans="2:9" x14ac:dyDescent="0.2">
      <c r="G80" s="46">
        <f t="shared" si="13"/>
        <v>127.49999999999999</v>
      </c>
      <c r="H80" s="46">
        <f>H79*1.15</f>
        <v>145.47499999999997</v>
      </c>
      <c r="I80" s="47">
        <f>I79*1.2</f>
        <v>0.37440000000000001</v>
      </c>
    </row>
    <row r="81" spans="2:9" x14ac:dyDescent="0.2">
      <c r="E81" s="4">
        <f>E82/2</f>
        <v>6317.4282352941163</v>
      </c>
      <c r="G81" s="46">
        <f t="shared" si="13"/>
        <v>146.47499999999997</v>
      </c>
      <c r="H81" s="46">
        <f>H80*1.15</f>
        <v>167.29624999999996</v>
      </c>
      <c r="I81" s="47">
        <f>I80*1.12</f>
        <v>0.41932800000000003</v>
      </c>
    </row>
    <row r="82" spans="2:9" x14ac:dyDescent="0.2">
      <c r="C82">
        <f>B83/0.85</f>
        <v>96818.823529411762</v>
      </c>
      <c r="D82" s="4">
        <f>C82-B83</f>
        <v>14522.823529411762</v>
      </c>
      <c r="E82" s="4">
        <f>D82*0.87</f>
        <v>12634.856470588233</v>
      </c>
      <c r="F82" s="39" t="s">
        <v>227</v>
      </c>
      <c r="G82" s="46">
        <f t="shared" si="13"/>
        <v>168.29624999999996</v>
      </c>
      <c r="H82" s="46">
        <f>H81*1.1</f>
        <v>184.02587499999996</v>
      </c>
      <c r="I82" s="47">
        <f>I81*1.12</f>
        <v>0.46964736000000007</v>
      </c>
    </row>
    <row r="83" spans="2:9" x14ac:dyDescent="0.2">
      <c r="B83">
        <v>82296</v>
      </c>
      <c r="C83">
        <f>B83*0.8</f>
        <v>65836.800000000003</v>
      </c>
      <c r="D83" s="4">
        <f>C83*0.15</f>
        <v>9875.52</v>
      </c>
      <c r="E83" s="4">
        <f>D83/2</f>
        <v>4937.76</v>
      </c>
      <c r="F83" s="39" t="s">
        <v>228</v>
      </c>
      <c r="G83" s="46">
        <f t="shared" si="13"/>
        <v>185.02587499999996</v>
      </c>
      <c r="H83" s="46">
        <f>H82*1.1</f>
        <v>202.42846249999997</v>
      </c>
      <c r="I83" s="47">
        <f>I82*1.08</f>
        <v>0.50721914880000007</v>
      </c>
    </row>
    <row r="84" spans="2:9" x14ac:dyDescent="0.2">
      <c r="C84">
        <f>B83/0.85</f>
        <v>96818.823529411762</v>
      </c>
      <c r="E84" s="4">
        <f>C84*0.06</f>
        <v>5809.1294117647058</v>
      </c>
      <c r="F84" s="39" t="s">
        <v>229</v>
      </c>
      <c r="G84" s="46">
        <f t="shared" si="13"/>
        <v>203.42846249999997</v>
      </c>
      <c r="H84" s="46">
        <f>H83*1.1</f>
        <v>222.67130874999998</v>
      </c>
      <c r="I84" s="47">
        <f>I83*1.02</f>
        <v>0.51736353177600014</v>
      </c>
    </row>
    <row r="85" spans="2:9" x14ac:dyDescent="0.2">
      <c r="F85" s="39">
        <f>E81/C83</f>
        <v>9.5955882352941155E-2</v>
      </c>
      <c r="G85" s="46">
        <f t="shared" si="13"/>
        <v>223.67130874999998</v>
      </c>
      <c r="H85" s="46">
        <f>H84*1.1</f>
        <v>244.938439625</v>
      </c>
      <c r="I85" s="47">
        <f t="shared" ref="I85:I97" si="14">I84*1.02</f>
        <v>0.52771080241152013</v>
      </c>
    </row>
    <row r="86" spans="2:9" x14ac:dyDescent="0.2">
      <c r="F86" s="39">
        <f>E83/B83</f>
        <v>6.0000000000000005E-2</v>
      </c>
      <c r="G86" s="46">
        <f t="shared" si="13"/>
        <v>245.938439625</v>
      </c>
      <c r="H86" s="46">
        <f>H85*1.1</f>
        <v>269.43228358750002</v>
      </c>
      <c r="I86" s="47">
        <f t="shared" si="14"/>
        <v>0.5382650184597505</v>
      </c>
    </row>
    <row r="87" spans="2:9" x14ac:dyDescent="0.2">
      <c r="F87" s="39">
        <f>E84/B83</f>
        <v>7.0588235294117646E-2</v>
      </c>
      <c r="G87" s="46">
        <f t="shared" si="13"/>
        <v>270.43228358750002</v>
      </c>
      <c r="H87" s="46">
        <f>H86*1.07</f>
        <v>288.29254343862505</v>
      </c>
      <c r="I87" s="47">
        <f t="shared" si="14"/>
        <v>0.54903031882894548</v>
      </c>
    </row>
    <row r="88" spans="2:9" x14ac:dyDescent="0.2">
      <c r="F88" s="39">
        <f>SUM(F85:F87)</f>
        <v>0.22654411764705881</v>
      </c>
      <c r="G88" s="46">
        <f t="shared" si="13"/>
        <v>289.29254343862505</v>
      </c>
      <c r="H88" s="46">
        <f>H87*1.07</f>
        <v>308.47302147932879</v>
      </c>
      <c r="I88" s="47">
        <f t="shared" si="14"/>
        <v>0.56001092520552442</v>
      </c>
    </row>
    <row r="89" spans="2:9" x14ac:dyDescent="0.2">
      <c r="G89" s="46">
        <f t="shared" si="13"/>
        <v>309.47302147932879</v>
      </c>
      <c r="H89" s="46">
        <f>H88*1.05</f>
        <v>323.89667255329522</v>
      </c>
      <c r="I89" s="47">
        <f t="shared" si="14"/>
        <v>0.57121114370963488</v>
      </c>
    </row>
    <row r="90" spans="2:9" x14ac:dyDescent="0.2">
      <c r="G90" s="46">
        <f t="shared" si="13"/>
        <v>324.89667255329522</v>
      </c>
      <c r="H90" s="46">
        <f t="shared" ref="H90:H153" si="15">H89*1.05</f>
        <v>340.09150618095998</v>
      </c>
      <c r="I90" s="47">
        <f t="shared" si="14"/>
        <v>0.58263536658382764</v>
      </c>
    </row>
    <row r="91" spans="2:9" x14ac:dyDescent="0.2">
      <c r="G91" s="46">
        <f t="shared" si="13"/>
        <v>341.09150618095998</v>
      </c>
      <c r="H91" s="46">
        <f t="shared" si="15"/>
        <v>357.09608149000798</v>
      </c>
      <c r="I91" s="47">
        <f t="shared" si="14"/>
        <v>0.5942880739155042</v>
      </c>
    </row>
    <row r="92" spans="2:9" x14ac:dyDescent="0.2">
      <c r="G92" s="46">
        <f t="shared" si="13"/>
        <v>358.09608149000798</v>
      </c>
      <c r="H92" s="46">
        <f t="shared" si="15"/>
        <v>374.95088556450838</v>
      </c>
      <c r="I92" s="47">
        <f t="shared" si="14"/>
        <v>0.60617383539381431</v>
      </c>
    </row>
    <row r="93" spans="2:9" x14ac:dyDescent="0.2">
      <c r="G93" s="46">
        <f t="shared" si="13"/>
        <v>375.95088556450838</v>
      </c>
      <c r="H93" s="46">
        <f t="shared" si="15"/>
        <v>393.69842984273384</v>
      </c>
      <c r="I93" s="47">
        <f t="shared" si="14"/>
        <v>0.61829731210169059</v>
      </c>
    </row>
    <row r="94" spans="2:9" x14ac:dyDescent="0.2">
      <c r="G94" s="46">
        <f t="shared" si="13"/>
        <v>394.69842984273384</v>
      </c>
      <c r="H94" s="46">
        <f t="shared" si="15"/>
        <v>413.38335133487055</v>
      </c>
      <c r="I94" s="47">
        <f t="shared" si="14"/>
        <v>0.63066325834372439</v>
      </c>
    </row>
    <row r="95" spans="2:9" x14ac:dyDescent="0.2">
      <c r="G95" s="46">
        <f t="shared" si="13"/>
        <v>414.38335133487055</v>
      </c>
      <c r="H95" s="46">
        <f t="shared" si="15"/>
        <v>434.05251890161412</v>
      </c>
      <c r="I95" s="47">
        <f t="shared" si="14"/>
        <v>0.64327652351059894</v>
      </c>
    </row>
    <row r="96" spans="2:9" x14ac:dyDescent="0.2">
      <c r="G96" s="46">
        <f t="shared" si="13"/>
        <v>435.05251890161412</v>
      </c>
      <c r="H96" s="46">
        <f t="shared" si="15"/>
        <v>455.75514484669486</v>
      </c>
      <c r="I96" s="47">
        <f t="shared" si="14"/>
        <v>0.65614205398081094</v>
      </c>
    </row>
    <row r="97" spans="7:9" x14ac:dyDescent="0.2">
      <c r="G97" s="46">
        <f t="shared" si="13"/>
        <v>456.75514484669486</v>
      </c>
      <c r="H97" s="46">
        <f t="shared" si="15"/>
        <v>478.54290208902961</v>
      </c>
      <c r="I97" s="47">
        <f t="shared" si="14"/>
        <v>0.66926489506042719</v>
      </c>
    </row>
    <row r="98" spans="7:9" x14ac:dyDescent="0.2">
      <c r="G98" s="46">
        <f t="shared" si="13"/>
        <v>479.54290208902961</v>
      </c>
      <c r="H98" s="46">
        <f t="shared" si="15"/>
        <v>502.47004719348109</v>
      </c>
      <c r="I98" s="47">
        <f>I97*1.012</f>
        <v>0.67729607380115231</v>
      </c>
    </row>
    <row r="99" spans="7:9" x14ac:dyDescent="0.2">
      <c r="G99" s="46">
        <f t="shared" si="13"/>
        <v>503.47004719348109</v>
      </c>
      <c r="H99" s="46">
        <f t="shared" si="15"/>
        <v>527.59354955315519</v>
      </c>
      <c r="I99" s="47">
        <f t="shared" ref="I99:I111" si="16">I98*1.012</f>
        <v>0.68542362668676615</v>
      </c>
    </row>
    <row r="100" spans="7:9" x14ac:dyDescent="0.2">
      <c r="G100" s="46">
        <f t="shared" si="13"/>
        <v>528.59354955315519</v>
      </c>
      <c r="H100" s="46">
        <f t="shared" si="15"/>
        <v>553.97322703081295</v>
      </c>
      <c r="I100" s="47">
        <f t="shared" si="16"/>
        <v>0.69364871020700736</v>
      </c>
    </row>
    <row r="101" spans="7:9" x14ac:dyDescent="0.2">
      <c r="G101" s="46">
        <f t="shared" si="13"/>
        <v>554.97322703081295</v>
      </c>
      <c r="H101" s="46">
        <f t="shared" si="15"/>
        <v>581.67188838235359</v>
      </c>
      <c r="I101" s="47">
        <f t="shared" si="16"/>
        <v>0.70197249472949141</v>
      </c>
    </row>
    <row r="102" spans="7:9" x14ac:dyDescent="0.2">
      <c r="G102" s="46">
        <f t="shared" si="13"/>
        <v>582.67188838235359</v>
      </c>
      <c r="H102" s="46">
        <f t="shared" si="15"/>
        <v>610.75548280147132</v>
      </c>
      <c r="I102" s="47">
        <f t="shared" si="16"/>
        <v>0.71039616466624533</v>
      </c>
    </row>
    <row r="103" spans="7:9" x14ac:dyDescent="0.2">
      <c r="G103" s="46">
        <f t="shared" si="13"/>
        <v>611.75548280147132</v>
      </c>
      <c r="H103" s="46">
        <f t="shared" si="15"/>
        <v>641.29325694154488</v>
      </c>
      <c r="I103" s="47">
        <f t="shared" si="16"/>
        <v>0.71892091864224028</v>
      </c>
    </row>
    <row r="104" spans="7:9" x14ac:dyDescent="0.2">
      <c r="G104" s="46">
        <f t="shared" si="13"/>
        <v>642.29325694154488</v>
      </c>
      <c r="H104" s="46">
        <f t="shared" si="15"/>
        <v>673.35791978862221</v>
      </c>
      <c r="I104" s="47">
        <f t="shared" si="16"/>
        <v>0.72754796966594715</v>
      </c>
    </row>
    <row r="105" spans="7:9" x14ac:dyDescent="0.2">
      <c r="G105" s="46">
        <f t="shared" si="13"/>
        <v>674.35791978862221</v>
      </c>
      <c r="H105" s="46">
        <f t="shared" si="15"/>
        <v>707.02581577805336</v>
      </c>
      <c r="I105" s="47">
        <f t="shared" si="16"/>
        <v>0.73627854530193848</v>
      </c>
    </row>
    <row r="106" spans="7:9" x14ac:dyDescent="0.2">
      <c r="G106" s="46">
        <f t="shared" si="13"/>
        <v>708.02581577805336</v>
      </c>
      <c r="H106" s="46">
        <f t="shared" si="15"/>
        <v>742.37710656695606</v>
      </c>
      <c r="I106" s="47">
        <f t="shared" si="16"/>
        <v>0.74511388784556176</v>
      </c>
    </row>
    <row r="107" spans="7:9" x14ac:dyDescent="0.2">
      <c r="G107" s="46">
        <f t="shared" si="13"/>
        <v>743.37710656695606</v>
      </c>
      <c r="H107" s="46">
        <f t="shared" si="15"/>
        <v>779.49596189530394</v>
      </c>
      <c r="I107" s="47">
        <f t="shared" si="16"/>
        <v>0.75405525449970856</v>
      </c>
    </row>
    <row r="108" spans="7:9" x14ac:dyDescent="0.2">
      <c r="G108" s="46">
        <f t="shared" si="13"/>
        <v>780.49596189530394</v>
      </c>
      <c r="H108" s="46">
        <f t="shared" si="15"/>
        <v>818.47075999006915</v>
      </c>
      <c r="I108" s="47">
        <f t="shared" si="16"/>
        <v>0.7631039175537051</v>
      </c>
    </row>
    <row r="109" spans="7:9" x14ac:dyDescent="0.2">
      <c r="G109" s="46">
        <f t="shared" si="13"/>
        <v>819.47075999006915</v>
      </c>
      <c r="H109" s="46">
        <f t="shared" si="15"/>
        <v>859.39429798957269</v>
      </c>
      <c r="I109" s="47">
        <f t="shared" si="16"/>
        <v>0.77226116456434957</v>
      </c>
    </row>
    <row r="110" spans="7:9" x14ac:dyDescent="0.2">
      <c r="G110" s="46">
        <f t="shared" si="13"/>
        <v>860.39429798957269</v>
      </c>
      <c r="H110" s="46">
        <f t="shared" si="15"/>
        <v>902.36401288905131</v>
      </c>
      <c r="I110" s="47">
        <f t="shared" si="16"/>
        <v>0.78152829853912176</v>
      </c>
    </row>
    <row r="111" spans="7:9" x14ac:dyDescent="0.2">
      <c r="G111" s="46">
        <f t="shared" si="13"/>
        <v>903.36401288905131</v>
      </c>
      <c r="H111" s="46">
        <f t="shared" si="15"/>
        <v>947.48221353350391</v>
      </c>
      <c r="I111" s="47">
        <f t="shared" si="16"/>
        <v>0.79090663812159123</v>
      </c>
    </row>
    <row r="112" spans="7:9" x14ac:dyDescent="0.2">
      <c r="G112" s="46">
        <f t="shared" si="13"/>
        <v>948.48221353350391</v>
      </c>
      <c r="H112" s="46">
        <f t="shared" si="15"/>
        <v>994.8563242101792</v>
      </c>
      <c r="I112" s="47">
        <f>I111*1.01</f>
        <v>0.79881570450280714</v>
      </c>
    </row>
    <row r="113" spans="7:9" x14ac:dyDescent="0.2">
      <c r="G113" s="46">
        <f t="shared" si="13"/>
        <v>995.8563242101792</v>
      </c>
      <c r="H113" s="46">
        <f t="shared" si="15"/>
        <v>1044.5991404206882</v>
      </c>
      <c r="I113" s="47">
        <f t="shared" ref="I113:I126" si="17">I112*1.01</f>
        <v>0.80680386154783523</v>
      </c>
    </row>
    <row r="114" spans="7:9" x14ac:dyDescent="0.2">
      <c r="G114" s="46">
        <f t="shared" si="13"/>
        <v>1045.5991404206882</v>
      </c>
      <c r="H114" s="46">
        <f t="shared" si="15"/>
        <v>1096.8290974417225</v>
      </c>
      <c r="I114" s="47">
        <f t="shared" si="17"/>
        <v>0.81487190016331357</v>
      </c>
    </row>
    <row r="115" spans="7:9" x14ac:dyDescent="0.2">
      <c r="G115" s="46">
        <f t="shared" si="13"/>
        <v>1097.8290974417225</v>
      </c>
      <c r="H115" s="46">
        <f t="shared" si="15"/>
        <v>1151.6705523138087</v>
      </c>
      <c r="I115" s="47">
        <f t="shared" si="17"/>
        <v>0.82302061916494673</v>
      </c>
    </row>
    <row r="116" spans="7:9" x14ac:dyDescent="0.2">
      <c r="G116" s="46">
        <f t="shared" si="13"/>
        <v>1152.6705523138087</v>
      </c>
      <c r="H116" s="46">
        <f t="shared" si="15"/>
        <v>1209.2540799294991</v>
      </c>
      <c r="I116" s="47">
        <f t="shared" si="17"/>
        <v>0.83125082535659622</v>
      </c>
    </row>
    <row r="117" spans="7:9" x14ac:dyDescent="0.2">
      <c r="G117" s="46">
        <f t="shared" si="13"/>
        <v>1210.2540799294991</v>
      </c>
      <c r="H117" s="46">
        <f t="shared" si="15"/>
        <v>1269.7167839259741</v>
      </c>
      <c r="I117" s="47">
        <f t="shared" si="17"/>
        <v>0.83956333361016222</v>
      </c>
    </row>
    <row r="118" spans="7:9" x14ac:dyDescent="0.2">
      <c r="G118" s="46">
        <f t="shared" si="13"/>
        <v>1270.7167839259741</v>
      </c>
      <c r="H118" s="46">
        <f t="shared" si="15"/>
        <v>1333.2026231222728</v>
      </c>
      <c r="I118" s="47">
        <f t="shared" si="17"/>
        <v>0.84795896694626383</v>
      </c>
    </row>
    <row r="119" spans="7:9" x14ac:dyDescent="0.2">
      <c r="G119" s="46">
        <f t="shared" si="13"/>
        <v>1334.2026231222728</v>
      </c>
      <c r="H119" s="46">
        <f t="shared" si="15"/>
        <v>1399.8627542783865</v>
      </c>
      <c r="I119" s="47">
        <f t="shared" si="17"/>
        <v>0.85643855661572643</v>
      </c>
    </row>
    <row r="120" spans="7:9" x14ac:dyDescent="0.2">
      <c r="G120" s="46">
        <f t="shared" si="13"/>
        <v>1400.8627542783865</v>
      </c>
      <c r="H120" s="46">
        <f t="shared" si="15"/>
        <v>1469.8558919923059</v>
      </c>
      <c r="I120" s="47">
        <f t="shared" si="17"/>
        <v>0.86500294218188367</v>
      </c>
    </row>
    <row r="121" spans="7:9" x14ac:dyDescent="0.2">
      <c r="G121" s="46">
        <f t="shared" si="13"/>
        <v>1470.8558919923059</v>
      </c>
      <c r="H121" s="46">
        <f t="shared" si="15"/>
        <v>1543.3486865919213</v>
      </c>
      <c r="I121" s="47">
        <f t="shared" si="17"/>
        <v>0.87365297160370248</v>
      </c>
    </row>
    <row r="122" spans="7:9" x14ac:dyDescent="0.2">
      <c r="G122" s="46">
        <f t="shared" si="13"/>
        <v>1544.3486865919213</v>
      </c>
      <c r="H122" s="46">
        <f t="shared" si="15"/>
        <v>1620.5161209215173</v>
      </c>
      <c r="I122" s="47">
        <f t="shared" si="17"/>
        <v>0.88238950131973948</v>
      </c>
    </row>
    <row r="123" spans="7:9" x14ac:dyDescent="0.2">
      <c r="G123" s="46">
        <f t="shared" si="13"/>
        <v>1621.5161209215173</v>
      </c>
      <c r="H123" s="46">
        <f t="shared" si="15"/>
        <v>1701.5419269675933</v>
      </c>
      <c r="I123" s="47">
        <f t="shared" si="17"/>
        <v>0.89121339633293684</v>
      </c>
    </row>
    <row r="124" spans="7:9" x14ac:dyDescent="0.2">
      <c r="G124" s="46">
        <f t="shared" si="13"/>
        <v>1702.5419269675933</v>
      </c>
      <c r="H124" s="46">
        <f t="shared" si="15"/>
        <v>1786.619023315973</v>
      </c>
      <c r="I124" s="47">
        <f t="shared" si="17"/>
        <v>0.90012553029626619</v>
      </c>
    </row>
    <row r="125" spans="7:9" x14ac:dyDescent="0.2">
      <c r="G125" s="46">
        <f t="shared" si="13"/>
        <v>1787.619023315973</v>
      </c>
      <c r="H125" s="46">
        <f t="shared" si="15"/>
        <v>1875.9499744817717</v>
      </c>
      <c r="I125" s="47">
        <f t="shared" si="17"/>
        <v>0.90912678559922888</v>
      </c>
    </row>
    <row r="126" spans="7:9" x14ac:dyDescent="0.2">
      <c r="G126" s="46">
        <f t="shared" si="13"/>
        <v>1876.9499744817717</v>
      </c>
      <c r="H126" s="46">
        <f t="shared" si="15"/>
        <v>1969.7474732058604</v>
      </c>
      <c r="I126" s="47">
        <f t="shared" si="17"/>
        <v>0.91821805345522123</v>
      </c>
    </row>
    <row r="127" spans="7:9" x14ac:dyDescent="0.2">
      <c r="G127" s="46">
        <f t="shared" si="13"/>
        <v>1970.7474732058604</v>
      </c>
      <c r="H127" s="46">
        <f t="shared" si="15"/>
        <v>2068.2348468661535</v>
      </c>
      <c r="I127" s="47">
        <f>I126*1.007</f>
        <v>0.92464557982940765</v>
      </c>
    </row>
    <row r="128" spans="7:9" x14ac:dyDescent="0.2">
      <c r="G128" s="46">
        <f t="shared" si="13"/>
        <v>2069.2348468661535</v>
      </c>
      <c r="H128" s="46">
        <f t="shared" si="15"/>
        <v>2171.6465892094611</v>
      </c>
      <c r="I128" s="47">
        <f>I127*1.007</f>
        <v>0.9311180988882134</v>
      </c>
    </row>
    <row r="129" spans="7:9" x14ac:dyDescent="0.2">
      <c r="G129" s="46">
        <f t="shared" si="13"/>
        <v>2172.6465892094611</v>
      </c>
      <c r="H129" s="46">
        <f t="shared" si="15"/>
        <v>2280.2289186699345</v>
      </c>
      <c r="I129" s="47">
        <f>I128*1.007</f>
        <v>0.93763592558043074</v>
      </c>
    </row>
    <row r="130" spans="7:9" x14ac:dyDescent="0.2">
      <c r="G130" s="46">
        <f t="shared" si="13"/>
        <v>2281.2289186699345</v>
      </c>
      <c r="H130" s="46">
        <f t="shared" si="15"/>
        <v>2394.2403646034313</v>
      </c>
      <c r="I130" s="47">
        <f>I129*1.007</f>
        <v>0.94419937705949364</v>
      </c>
    </row>
    <row r="131" spans="7:9" x14ac:dyDescent="0.2">
      <c r="G131" s="46">
        <f t="shared" si="13"/>
        <v>2395.2403646034313</v>
      </c>
      <c r="H131" s="46">
        <f t="shared" si="15"/>
        <v>2513.9523828336028</v>
      </c>
      <c r="I131" s="47">
        <v>0.95</v>
      </c>
    </row>
    <row r="132" spans="7:9" x14ac:dyDescent="0.2">
      <c r="G132" s="46">
        <f t="shared" si="13"/>
        <v>2514.9523828336028</v>
      </c>
      <c r="H132" s="46">
        <f t="shared" si="15"/>
        <v>2639.650001975283</v>
      </c>
      <c r="I132" s="47">
        <v>0.95</v>
      </c>
    </row>
    <row r="133" spans="7:9" x14ac:dyDescent="0.2">
      <c r="G133" s="46">
        <f t="shared" si="13"/>
        <v>2640.650001975283</v>
      </c>
      <c r="H133" s="46">
        <f t="shared" si="15"/>
        <v>2771.6325020740474</v>
      </c>
      <c r="I133" s="47">
        <v>0.95</v>
      </c>
    </row>
    <row r="134" spans="7:9" x14ac:dyDescent="0.2">
      <c r="G134" s="46">
        <f t="shared" si="13"/>
        <v>2772.6325020740474</v>
      </c>
      <c r="H134" s="46">
        <f t="shared" si="15"/>
        <v>2910.21412717775</v>
      </c>
      <c r="I134" s="47">
        <v>0.95</v>
      </c>
    </row>
    <row r="135" spans="7:9" x14ac:dyDescent="0.2">
      <c r="G135" s="46">
        <f t="shared" si="13"/>
        <v>2911.21412717775</v>
      </c>
      <c r="H135" s="46">
        <f t="shared" si="15"/>
        <v>3055.7248335366376</v>
      </c>
      <c r="I135" s="47">
        <v>0.95</v>
      </c>
    </row>
    <row r="136" spans="7:9" x14ac:dyDescent="0.2">
      <c r="G136" s="46">
        <f t="shared" si="13"/>
        <v>3056.7248335366376</v>
      </c>
      <c r="H136" s="46">
        <f t="shared" si="15"/>
        <v>3208.5110752134697</v>
      </c>
      <c r="I136" s="47">
        <v>0.95</v>
      </c>
    </row>
    <row r="137" spans="7:9" x14ac:dyDescent="0.2">
      <c r="G137" s="46">
        <f t="shared" si="13"/>
        <v>3209.5110752134697</v>
      </c>
      <c r="H137" s="46">
        <f t="shared" si="15"/>
        <v>3368.9366289741433</v>
      </c>
      <c r="I137" s="47">
        <v>0.95</v>
      </c>
    </row>
    <row r="138" spans="7:9" x14ac:dyDescent="0.2">
      <c r="G138" s="46">
        <f t="shared" si="13"/>
        <v>3369.9366289741433</v>
      </c>
      <c r="H138" s="46">
        <f t="shared" si="15"/>
        <v>3537.3834604228505</v>
      </c>
      <c r="I138" s="47">
        <v>0.95</v>
      </c>
    </row>
    <row r="139" spans="7:9" x14ac:dyDescent="0.2">
      <c r="G139" s="46">
        <f t="shared" si="13"/>
        <v>3538.3834604228505</v>
      </c>
      <c r="H139" s="46">
        <f t="shared" si="15"/>
        <v>3714.2526334439931</v>
      </c>
      <c r="I139" s="47">
        <v>0.95</v>
      </c>
    </row>
    <row r="140" spans="7:9" x14ac:dyDescent="0.2">
      <c r="G140" s="46">
        <f t="shared" ref="G140:G161" si="18">H139+1</f>
        <v>3715.2526334439931</v>
      </c>
      <c r="H140" s="46">
        <f t="shared" si="15"/>
        <v>3899.9652651161928</v>
      </c>
      <c r="I140" s="47">
        <v>0.95</v>
      </c>
    </row>
    <row r="141" spans="7:9" x14ac:dyDescent="0.2">
      <c r="G141" s="46">
        <f t="shared" si="18"/>
        <v>3900.9652651161928</v>
      </c>
      <c r="H141" s="46">
        <f t="shared" si="15"/>
        <v>4094.9635283720027</v>
      </c>
      <c r="I141" s="47">
        <v>0.95</v>
      </c>
    </row>
    <row r="142" spans="7:9" x14ac:dyDescent="0.2">
      <c r="G142" s="46">
        <f t="shared" si="18"/>
        <v>4095.9635283720027</v>
      </c>
      <c r="H142" s="46">
        <f t="shared" si="15"/>
        <v>4299.7117047906031</v>
      </c>
      <c r="I142" s="47">
        <v>0.95</v>
      </c>
    </row>
    <row r="143" spans="7:9" x14ac:dyDescent="0.2">
      <c r="G143" s="46">
        <f t="shared" si="18"/>
        <v>4300.7117047906031</v>
      </c>
      <c r="H143" s="46">
        <f t="shared" si="15"/>
        <v>4514.6972900301334</v>
      </c>
      <c r="I143" s="47">
        <v>0.95</v>
      </c>
    </row>
    <row r="144" spans="7:9" x14ac:dyDescent="0.2">
      <c r="G144" s="46">
        <f t="shared" si="18"/>
        <v>4515.6972900301334</v>
      </c>
      <c r="H144" s="46">
        <f t="shared" si="15"/>
        <v>4740.4321545316407</v>
      </c>
      <c r="I144" s="47">
        <v>0.95</v>
      </c>
    </row>
    <row r="145" spans="7:9" x14ac:dyDescent="0.2">
      <c r="G145" s="46">
        <f t="shared" si="18"/>
        <v>4741.4321545316407</v>
      </c>
      <c r="H145" s="46">
        <f t="shared" si="15"/>
        <v>4977.4537622582229</v>
      </c>
      <c r="I145" s="47">
        <v>0.95</v>
      </c>
    </row>
    <row r="146" spans="7:9" x14ac:dyDescent="0.2">
      <c r="G146" s="46">
        <f t="shared" si="18"/>
        <v>4978.4537622582229</v>
      </c>
      <c r="H146" s="46">
        <f t="shared" si="15"/>
        <v>5226.3264503711343</v>
      </c>
      <c r="I146" s="47">
        <v>0.95</v>
      </c>
    </row>
    <row r="147" spans="7:9" x14ac:dyDescent="0.2">
      <c r="G147" s="46">
        <f t="shared" si="18"/>
        <v>5227.3264503711343</v>
      </c>
      <c r="H147" s="46">
        <f t="shared" si="15"/>
        <v>5487.6427728896915</v>
      </c>
      <c r="I147" s="47">
        <v>0.96</v>
      </c>
    </row>
    <row r="148" spans="7:9" x14ac:dyDescent="0.2">
      <c r="G148" s="46">
        <f t="shared" si="18"/>
        <v>5488.6427728896915</v>
      </c>
      <c r="H148" s="46">
        <f t="shared" si="15"/>
        <v>5762.0249115341767</v>
      </c>
      <c r="I148" s="47">
        <v>0.96</v>
      </c>
    </row>
    <row r="149" spans="7:9" x14ac:dyDescent="0.2">
      <c r="G149" s="46">
        <f t="shared" si="18"/>
        <v>5763.0249115341767</v>
      </c>
      <c r="H149" s="46">
        <f t="shared" si="15"/>
        <v>6050.1261571108862</v>
      </c>
      <c r="I149" s="47">
        <v>0.96</v>
      </c>
    </row>
    <row r="150" spans="7:9" x14ac:dyDescent="0.2">
      <c r="G150" s="46">
        <f t="shared" si="18"/>
        <v>6051.1261571108862</v>
      </c>
      <c r="H150" s="46">
        <f t="shared" si="15"/>
        <v>6352.6324649664311</v>
      </c>
      <c r="I150" s="47">
        <v>0.96</v>
      </c>
    </row>
    <row r="151" spans="7:9" x14ac:dyDescent="0.2">
      <c r="G151" s="46">
        <f t="shared" si="18"/>
        <v>6353.6324649664311</v>
      </c>
      <c r="H151" s="46">
        <f t="shared" si="15"/>
        <v>6670.2640882147534</v>
      </c>
      <c r="I151" s="47">
        <v>0.96</v>
      </c>
    </row>
    <row r="152" spans="7:9" x14ac:dyDescent="0.2">
      <c r="G152" s="46">
        <f t="shared" si="18"/>
        <v>6671.2640882147534</v>
      </c>
      <c r="H152" s="46">
        <f t="shared" si="15"/>
        <v>7003.7772926254911</v>
      </c>
      <c r="I152" s="47">
        <v>0.97</v>
      </c>
    </row>
    <row r="153" spans="7:9" x14ac:dyDescent="0.2">
      <c r="G153" s="46">
        <f t="shared" si="18"/>
        <v>7004.7772926254911</v>
      </c>
      <c r="H153" s="46">
        <f t="shared" si="15"/>
        <v>7353.9661572567657</v>
      </c>
      <c r="I153" s="47">
        <v>0.97</v>
      </c>
    </row>
    <row r="154" spans="7:9" x14ac:dyDescent="0.2">
      <c r="G154" s="46">
        <f t="shared" si="18"/>
        <v>7354.9661572567657</v>
      </c>
      <c r="H154" s="46">
        <f t="shared" ref="G154:H162" si="19">H153*1.05</f>
        <v>7721.6644651196038</v>
      </c>
      <c r="I154" s="47">
        <v>0.97</v>
      </c>
    </row>
    <row r="155" spans="7:9" x14ac:dyDescent="0.2">
      <c r="G155" s="46">
        <f t="shared" si="18"/>
        <v>7722.6644651196038</v>
      </c>
      <c r="H155" s="46">
        <f t="shared" si="19"/>
        <v>8107.7476883755844</v>
      </c>
      <c r="I155" s="47">
        <v>0.97</v>
      </c>
    </row>
    <row r="156" spans="7:9" x14ac:dyDescent="0.2">
      <c r="G156" s="46">
        <f t="shared" si="18"/>
        <v>8108.7476883755844</v>
      </c>
      <c r="H156" s="46">
        <f t="shared" si="19"/>
        <v>8513.1350727943645</v>
      </c>
      <c r="I156" s="47">
        <v>0.97</v>
      </c>
    </row>
    <row r="157" spans="7:9" x14ac:dyDescent="0.2">
      <c r="G157" s="46">
        <f t="shared" si="18"/>
        <v>8514.1350727943645</v>
      </c>
      <c r="H157" s="46">
        <f t="shared" si="19"/>
        <v>8938.7918264340824</v>
      </c>
      <c r="I157" s="47">
        <v>0.98</v>
      </c>
    </row>
    <row r="158" spans="7:9" x14ac:dyDescent="0.2">
      <c r="G158" s="46">
        <f t="shared" si="18"/>
        <v>8939.7918264340824</v>
      </c>
      <c r="H158" s="46">
        <f t="shared" si="19"/>
        <v>9385.7314177557873</v>
      </c>
      <c r="I158" s="47">
        <v>0.98</v>
      </c>
    </row>
    <row r="159" spans="7:9" x14ac:dyDescent="0.2">
      <c r="G159" s="46">
        <f t="shared" si="18"/>
        <v>9386.7314177557873</v>
      </c>
      <c r="H159" s="46">
        <f t="shared" si="19"/>
        <v>9855.0179886435762</v>
      </c>
      <c r="I159" s="47">
        <v>0.98</v>
      </c>
    </row>
    <row r="160" spans="7:9" x14ac:dyDescent="0.2">
      <c r="G160" s="46">
        <f t="shared" si="18"/>
        <v>9856.0179886435762</v>
      </c>
      <c r="H160" s="46">
        <f t="shared" si="19"/>
        <v>10347.768888075756</v>
      </c>
      <c r="I160" s="47">
        <v>0.98</v>
      </c>
    </row>
    <row r="161" spans="7:9" x14ac:dyDescent="0.2">
      <c r="G161" s="46">
        <f t="shared" si="18"/>
        <v>10348.768888075756</v>
      </c>
      <c r="H161" s="46">
        <f t="shared" si="19"/>
        <v>10865.157332479544</v>
      </c>
      <c r="I161" s="47">
        <v>0.98</v>
      </c>
    </row>
    <row r="162" spans="7:9" x14ac:dyDescent="0.2">
      <c r="G162" s="46">
        <f t="shared" si="19"/>
        <v>10866.207332479544</v>
      </c>
      <c r="I162" s="47">
        <v>0.99</v>
      </c>
    </row>
  </sheetData>
  <conditionalFormatting sqref="C3">
    <cfRule type="colorScale" priority="53">
      <colorScale>
        <cfvo type="num" val="5"/>
        <cfvo type="num" val="5.5"/>
        <cfvo type="num" val="6"/>
        <color rgb="FFF8696B"/>
        <color rgb="FFFFEB84"/>
        <color rgb="FF63BE7B"/>
      </colorScale>
    </cfRule>
  </conditionalFormatting>
  <conditionalFormatting sqref="C4:C7">
    <cfRule type="colorScale" priority="52">
      <colorScale>
        <cfvo type="num" val="7.4999999999999997E-2"/>
        <cfvo type="num" val="0.15"/>
        <cfvo type="num" val="0.25"/>
        <color theme="9"/>
        <color rgb="FFFFEB84"/>
        <color rgb="FFFF0000"/>
      </colorScale>
    </cfRule>
  </conditionalFormatting>
  <conditionalFormatting sqref="D23">
    <cfRule type="colorScale" priority="2">
      <colorScale>
        <cfvo type="num" val="0"/>
        <cfvo type="num" val="175"/>
        <cfvo type="num" val="350"/>
        <color rgb="FF92D050"/>
        <color rgb="FFFFEB84"/>
        <color rgb="FFFF0000"/>
      </colorScale>
    </cfRule>
  </conditionalFormatting>
  <conditionalFormatting sqref="D30">
    <cfRule type="colorScale" priority="51">
      <colorScale>
        <cfvo type="num" val="0"/>
        <cfvo type="num" val="175"/>
        <cfvo type="num" val="350"/>
        <color rgb="FF92D050"/>
        <color rgb="FFFFEB84"/>
        <color rgb="FFFF0000"/>
      </colorScale>
    </cfRule>
  </conditionalFormatting>
  <conditionalFormatting sqref="E34:E42">
    <cfRule type="cellIs" dxfId="20" priority="1" operator="lessThan">
      <formula>4500</formula>
    </cfRule>
  </conditionalFormatting>
  <conditionalFormatting sqref="Z5:Z9">
    <cfRule type="containsText" dxfId="19" priority="36" operator="containsText" text="RETENÇÃO PRÓPRIA">
      <formula>NOT(ISERROR(SEARCH("RETENÇÃO PRÓPRIA",Z5)))</formula>
    </cfRule>
    <cfRule type="containsText" dxfId="18" priority="37" operator="containsText" text="FACILITY">
      <formula>NOT(ISERROR(SEARCH("FACILITY",Z5)))</formula>
    </cfRule>
    <cfRule type="containsText" dxfId="17" priority="38" operator="containsText" text="RETAINED COMPANY">
      <formula>NOT(ISERROR(SEARCH("RETAINED COMPANY",Z5)))</formula>
    </cfRule>
    <cfRule type="containsText" dxfId="16" priority="39" operator="containsText" text="LINESLIP CHAUCER">
      <formula>NOT(ISERROR(SEARCH("LINESLIP CHAUCER",Z5)))</formula>
    </cfRule>
    <cfRule type="containsText" dxfId="15" priority="40" operator="containsText" text="LINESLIP NEWLINE">
      <formula>NOT(ISERROR(SEARCH("LINESLIP NEWLINE",Z5)))</formula>
    </cfRule>
    <cfRule type="containsText" dxfId="14" priority="41" operator="containsText" text="FACULTATIVO">
      <formula>NOT(ISERROR(SEARCH("FACULTATIVO",Z5)))</formula>
    </cfRule>
    <cfRule type="containsText" dxfId="13" priority="42" operator="containsText" text="A ser informado">
      <formula>NOT(ISERROR(SEARCH("A ser informado",Z5)))</formula>
    </cfRule>
    <cfRule type="containsBlanks" dxfId="12" priority="43">
      <formula>LEN(TRIM(Z5))=0</formula>
    </cfRule>
  </conditionalFormatting>
  <conditionalFormatting sqref="AG4:AI4">
    <cfRule type="containsText" dxfId="11" priority="3" operator="containsText" text="AGUARDANDO SIGN-OFF COMPLIANCE">
      <formula>NOT(ISERROR(SEARCH("AGUARDANDO SIGN-OFF COMPLIANCE",AG4)))</formula>
    </cfRule>
  </conditionalFormatting>
  <conditionalFormatting sqref="AI5:AI8">
    <cfRule type="containsText" dxfId="10" priority="4" operator="containsText" text="RETENÇÃO PRÓPRIA">
      <formula>NOT(ISERROR(SEARCH("RETENÇÃO PRÓPRIA",AI5)))</formula>
    </cfRule>
    <cfRule type="containsText" dxfId="9" priority="5" operator="containsText" text="FACILITY">
      <formula>NOT(ISERROR(SEARCH("FACILITY",AI5)))</formula>
    </cfRule>
    <cfRule type="containsText" dxfId="8" priority="6" operator="containsText" text="RETAINED COMPANY">
      <formula>NOT(ISERROR(SEARCH("RETAINED COMPANY",AI5)))</formula>
    </cfRule>
    <cfRule type="containsText" dxfId="7" priority="7" operator="containsText" text="LINESLIP CHAUCER">
      <formula>NOT(ISERROR(SEARCH("LINESLIP CHAUCER",AI5)))</formula>
    </cfRule>
    <cfRule type="containsText" dxfId="6" priority="8" operator="containsText" text="LINESLIP NEWLINE">
      <formula>NOT(ISERROR(SEARCH("LINESLIP NEWLINE",AI5)))</formula>
    </cfRule>
    <cfRule type="containsText" dxfId="5" priority="9" operator="containsText" text="FACULTATIVO">
      <formula>NOT(ISERROR(SEARCH("FACULTATIVO",AI5)))</formula>
    </cfRule>
    <cfRule type="containsText" dxfId="4" priority="10" operator="containsText" text="A ser informado">
      <formula>NOT(ISERROR(SEARCH("A ser informado",AI5)))</formula>
    </cfRule>
    <cfRule type="containsBlanks" dxfId="3" priority="11">
      <formula>LEN(TRIM(AI5))=0</formula>
    </cfRule>
  </conditionalFormatting>
  <dataValidations disablePrompts="1" count="2">
    <dataValidation type="list" allowBlank="1" showInputMessage="1" showErrorMessage="1" sqref="AI5:AI8" xr:uid="{388A01F9-A78C-4432-8AF9-7820FA5363E4}">
      <formula1>$Z$5:$Z$9</formula1>
    </dataValidation>
    <dataValidation type="list" allowBlank="1" showInputMessage="1" showErrorMessage="1" sqref="C28" xr:uid="{A9D94C0E-D869-47EE-9D65-E817B63A2864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A677-8666-4C41-8F35-BE0F325C606B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38" t="s">
        <v>173</v>
      </c>
    </row>
    <row r="2" spans="1:1" x14ac:dyDescent="0.2">
      <c r="A2" s="38" t="s">
        <v>174</v>
      </c>
    </row>
    <row r="3" spans="1:1" x14ac:dyDescent="0.2">
      <c r="A3" s="38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8323-A353-4415-9B90-6078607273F2}">
  <sheetPr>
    <tabColor theme="4"/>
  </sheetPr>
  <dimension ref="A1:AP59"/>
  <sheetViews>
    <sheetView showGridLines="0" showRowColHeaders="0" topLeftCell="B1" zoomScale="130" zoomScaleNormal="130" workbookViewId="0">
      <selection activeCell="E3" sqref="E3"/>
    </sheetView>
  </sheetViews>
  <sheetFormatPr baseColWidth="10" defaultColWidth="0" defaultRowHeight="15" zeroHeight="1" x14ac:dyDescent="0.2"/>
  <cols>
    <col min="1" max="1" width="3.1640625" customWidth="1"/>
    <col min="2" max="2" width="15.5" customWidth="1"/>
    <col min="3" max="3" width="48" customWidth="1"/>
    <col min="4" max="4" width="25.33203125" bestFit="1" customWidth="1"/>
    <col min="5" max="5" width="17.5" style="4" bestFit="1" customWidth="1"/>
    <col min="6" max="6" width="17.6640625" style="4" bestFit="1" customWidth="1"/>
    <col min="7" max="7" width="17.6640625" style="39" bestFit="1" customWidth="1"/>
    <col min="8" max="8" width="12.6640625" style="39" bestFit="1" customWidth="1"/>
    <col min="9" max="9" width="22.33203125" style="39" customWidth="1"/>
    <col min="10" max="10" width="16.5" style="39" bestFit="1" customWidth="1"/>
    <col min="11" max="11" width="23.33203125" style="39" customWidth="1"/>
    <col min="12" max="12" width="18.1640625" style="40" customWidth="1"/>
    <col min="13" max="13" width="3.1640625" customWidth="1"/>
    <col min="14" max="14" width="17.5" hidden="1" customWidth="1"/>
    <col min="15" max="15" width="5.6640625" hidden="1" customWidth="1"/>
    <col min="16" max="17" width="19" hidden="1" customWidth="1"/>
    <col min="18" max="18" width="3" hidden="1" customWidth="1"/>
    <col min="19" max="19" width="51.6640625" hidden="1" customWidth="1"/>
    <col min="20" max="20" width="3" hidden="1" customWidth="1"/>
    <col min="21" max="21" width="38.6640625" hidden="1" customWidth="1"/>
    <col min="22" max="22" width="21.33203125" hidden="1" customWidth="1"/>
    <col min="23" max="23" width="32.6640625" hidden="1" customWidth="1"/>
    <col min="24" max="24" width="3" hidden="1" customWidth="1"/>
    <col min="25" max="25" width="29.33203125" hidden="1" customWidth="1"/>
    <col min="26" max="26" width="9.33203125" hidden="1" customWidth="1"/>
    <col min="27" max="27" width="17.5" hidden="1" customWidth="1"/>
    <col min="28" max="28" width="32.6640625" hidden="1" customWidth="1"/>
    <col min="29" max="29" width="40.6640625" hidden="1" customWidth="1"/>
    <col min="30" max="30" width="36.33203125" hidden="1" customWidth="1"/>
    <col min="31" max="31" width="31.33203125" hidden="1" customWidth="1"/>
    <col min="32" max="32" width="38.33203125" hidden="1" customWidth="1"/>
    <col min="33" max="33" width="28.6640625" hidden="1" customWidth="1"/>
    <col min="34" max="34" width="34.5" hidden="1" customWidth="1"/>
    <col min="35" max="35" width="27.5" hidden="1" customWidth="1"/>
    <col min="36" max="36" width="34.6640625" hidden="1" customWidth="1"/>
    <col min="37" max="37" width="27.5" hidden="1" customWidth="1"/>
    <col min="38" max="38" width="31.33203125" hidden="1" customWidth="1"/>
    <col min="39" max="39" width="28.6640625" hidden="1" customWidth="1"/>
    <col min="40" max="40" width="35" hidden="1" customWidth="1"/>
    <col min="41" max="41" width="28.6640625" hidden="1" customWidth="1"/>
    <col min="42" max="42" width="24.5" hidden="1" customWidth="1"/>
    <col min="43" max="16384" width="9.33203125" hidden="1"/>
  </cols>
  <sheetData>
    <row r="1" spans="1:12" x14ac:dyDescent="0.2">
      <c r="A1" s="209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</row>
    <row r="2" spans="1:12" x14ac:dyDescent="0.2">
      <c r="B2" s="15" t="s">
        <v>249</v>
      </c>
      <c r="C2" s="9" t="s">
        <v>249</v>
      </c>
      <c r="D2" s="10" t="s">
        <v>248</v>
      </c>
      <c r="G2" s="15" t="s">
        <v>297</v>
      </c>
      <c r="H2" s="94" t="s">
        <v>298</v>
      </c>
      <c r="I2" s="94" t="s">
        <v>299</v>
      </c>
      <c r="J2" s="92"/>
    </row>
    <row r="3" spans="1:12" x14ac:dyDescent="0.2">
      <c r="C3" s="3" t="s">
        <v>250</v>
      </c>
      <c r="D3" s="36">
        <f>D4*E3</f>
        <v>24750</v>
      </c>
      <c r="E3" s="74">
        <v>4500</v>
      </c>
      <c r="H3" s="93" t="s">
        <v>294</v>
      </c>
      <c r="I3" s="95">
        <f>E45*0.8334*0.17*0.8667/2</f>
        <v>1519.5549921750003</v>
      </c>
      <c r="J3" s="92"/>
    </row>
    <row r="4" spans="1:12" x14ac:dyDescent="0.2">
      <c r="C4" s="3" t="s">
        <v>170</v>
      </c>
      <c r="D4" s="1">
        <v>5.5</v>
      </c>
      <c r="E4" s="65"/>
      <c r="H4" s="93" t="s">
        <v>295</v>
      </c>
      <c r="I4" s="95">
        <f>G45*0.06</f>
        <v>2651.7857142857142</v>
      </c>
      <c r="J4" s="95">
        <f>SUM(I3:I4)</f>
        <v>4171.3407064607145</v>
      </c>
    </row>
    <row r="5" spans="1:12" x14ac:dyDescent="0.2">
      <c r="C5" s="3" t="s">
        <v>213</v>
      </c>
      <c r="D5" s="34">
        <v>0.2</v>
      </c>
      <c r="H5" s="93" t="s">
        <v>296</v>
      </c>
      <c r="I5" s="95">
        <f>(G45-F45)/2</f>
        <v>4419.6428571428551</v>
      </c>
      <c r="J5" s="92"/>
    </row>
    <row r="6" spans="1:12" x14ac:dyDescent="0.2">
      <c r="C6" s="3" t="s">
        <v>64</v>
      </c>
      <c r="D6" s="34">
        <v>0.15</v>
      </c>
      <c r="I6" s="105">
        <f>SUM(I3:I5)</f>
        <v>8590.9835636035696</v>
      </c>
      <c r="J6" s="92"/>
    </row>
    <row r="7" spans="1:12" x14ac:dyDescent="0.2">
      <c r="C7" s="3" t="s">
        <v>214</v>
      </c>
      <c r="D7" s="34">
        <v>0.25</v>
      </c>
      <c r="I7" s="95"/>
    </row>
    <row r="8" spans="1:12" x14ac:dyDescent="0.2">
      <c r="C8" s="3" t="s">
        <v>251</v>
      </c>
      <c r="D8" s="34">
        <v>0.3</v>
      </c>
    </row>
    <row r="9" spans="1:12" x14ac:dyDescent="0.2"/>
    <row r="10" spans="1:12" x14ac:dyDescent="0.2"/>
    <row r="11" spans="1:12" x14ac:dyDescent="0.2">
      <c r="B11" s="15" t="s">
        <v>254</v>
      </c>
      <c r="C11" s="9" t="s">
        <v>247</v>
      </c>
      <c r="D11" s="10" t="s">
        <v>248</v>
      </c>
      <c r="E11" s="10" t="s">
        <v>100</v>
      </c>
      <c r="F11" s="10" t="s">
        <v>101</v>
      </c>
    </row>
    <row r="12" spans="1:12" x14ac:dyDescent="0.2">
      <c r="C12" s="3" t="s">
        <v>236</v>
      </c>
      <c r="D12" s="4" t="s">
        <v>79</v>
      </c>
      <c r="E12" s="4">
        <f>IF(D12=INPUTS!J5,INPUTS!K5,IF(D12=INPUTS!J6,INPUTS!K6,(IF(D12=INPUTS!J7,INPUTS!K7,IF(D12=INPUTS!J8,INPUTS!K8,IF(D12=INPUTS!J9,INPUTS!K9,IF(D12=INPUTS!J10,INPUTS!K10,IF(D12=INPUTS!J11,INPUTS!K11,IF(D12=INPUTS!J12,INPUTS!K12,INPUTS!K13)))))))))</f>
        <v>35</v>
      </c>
      <c r="F12" s="4">
        <f t="shared" ref="F12:F22" si="0">E12*$D$4</f>
        <v>192.5</v>
      </c>
      <c r="H12" s="106" t="s">
        <v>230</v>
      </c>
      <c r="I12" s="32">
        <v>0.7</v>
      </c>
    </row>
    <row r="13" spans="1:12" x14ac:dyDescent="0.2">
      <c r="C13" s="16" t="s">
        <v>239</v>
      </c>
      <c r="D13" s="17" t="s">
        <v>217</v>
      </c>
      <c r="E13" s="17">
        <f>IF(D13="interventional",INPUTS!N5,2)</f>
        <v>15</v>
      </c>
      <c r="F13" s="17">
        <f t="shared" si="0"/>
        <v>82.5</v>
      </c>
      <c r="H13" s="78" t="s">
        <v>234</v>
      </c>
      <c r="I13" s="32">
        <v>0.5</v>
      </c>
    </row>
    <row r="14" spans="1:12" x14ac:dyDescent="0.2">
      <c r="C14" s="3" t="s">
        <v>240</v>
      </c>
      <c r="D14" s="4" t="s">
        <v>179</v>
      </c>
      <c r="E14" s="4">
        <f>IF(D14=INPUTS!O5,INPUTS!P5,IF(D14=INPUTS!O6,INPUTS!P6,IF(D14=INPUTS!O7,INPUTS!P7,IF(D14=INPUTS!O8,INPUTS!P8,IF(D14=INPUTS!O9,INPUTS!P9,IF(D14=INPUTS!O10,INPUTS!P10,IF(D14=INPUTS!O11,INPUTS!P11,IF(D14=INPUTS!O12,INPUTS!P12,IF(D14=INPUTS!P13,,IF(D14=INPUTS!O13,INPUTS!P13,IF(D14=INPUTS!O14,INPUTS!P14,INPUTS!P15)))))))))))</f>
        <v>20</v>
      </c>
      <c r="F14" s="4">
        <f t="shared" si="0"/>
        <v>110</v>
      </c>
      <c r="H14" s="106" t="s">
        <v>252</v>
      </c>
      <c r="I14" s="32">
        <v>0.4</v>
      </c>
    </row>
    <row r="15" spans="1:12" x14ac:dyDescent="0.2">
      <c r="C15" s="16" t="s">
        <v>241</v>
      </c>
      <c r="D15" s="17" t="s">
        <v>302</v>
      </c>
      <c r="E15" s="17">
        <f>IF(D15="Yes",15,0)</f>
        <v>15</v>
      </c>
      <c r="F15" s="17">
        <f t="shared" si="0"/>
        <v>82.5</v>
      </c>
      <c r="H15" s="78" t="s">
        <v>179</v>
      </c>
      <c r="I15" s="32">
        <v>0.3</v>
      </c>
    </row>
    <row r="16" spans="1:12" x14ac:dyDescent="0.2">
      <c r="C16" s="3" t="s">
        <v>242</v>
      </c>
      <c r="D16" s="4" t="s">
        <v>182</v>
      </c>
      <c r="E16" s="4">
        <f>IF(D16="Healthy",15,0)</f>
        <v>0</v>
      </c>
      <c r="F16" s="4">
        <f t="shared" si="0"/>
        <v>0</v>
      </c>
      <c r="H16" s="106" t="s">
        <v>225</v>
      </c>
      <c r="I16" s="32">
        <v>0</v>
      </c>
    </row>
    <row r="17" spans="2:13" x14ac:dyDescent="0.2">
      <c r="C17" s="16" t="s">
        <v>246</v>
      </c>
      <c r="D17" s="17">
        <v>60</v>
      </c>
      <c r="E17" s="17">
        <f>IF(D17&lt;12,0,IF(D17&lt;24&gt;13,10,IF(D17&gt;25,20,0)))</f>
        <v>10</v>
      </c>
      <c r="F17" s="17">
        <f t="shared" si="0"/>
        <v>55</v>
      </c>
      <c r="H17" s="78" t="s">
        <v>224</v>
      </c>
      <c r="I17" s="32">
        <v>0.1</v>
      </c>
    </row>
    <row r="18" spans="2:13" x14ac:dyDescent="0.2">
      <c r="C18" s="3" t="s">
        <v>237</v>
      </c>
      <c r="D18" s="4" t="s">
        <v>223</v>
      </c>
      <c r="E18" s="4">
        <f>IF(D18=INPUTS!L15,INPUTS!M15,(IF(D18=INPUTS!L16,INPUTS!M16,IF(D18=INPUTS!L17,INPUTS!M17,IF(D18=INPUTS!L18,INPUTS!M18,IF(D18=INPUTS!L19,INPUTS!M19,INPUTS!M20))))))</f>
        <v>25</v>
      </c>
      <c r="F18" s="4">
        <f t="shared" si="0"/>
        <v>137.5</v>
      </c>
      <c r="H18" s="106" t="s">
        <v>181</v>
      </c>
      <c r="I18" s="32">
        <v>0</v>
      </c>
    </row>
    <row r="19" spans="2:13" x14ac:dyDescent="0.2">
      <c r="C19" s="16" t="s">
        <v>238</v>
      </c>
      <c r="D19" s="17" t="s">
        <v>301</v>
      </c>
      <c r="E19" s="17">
        <f>IF(D19="Agressive",0,15)</f>
        <v>0</v>
      </c>
      <c r="F19" s="17">
        <f t="shared" si="0"/>
        <v>0</v>
      </c>
      <c r="H19" s="78" t="s">
        <v>232</v>
      </c>
      <c r="I19" s="32">
        <v>0</v>
      </c>
    </row>
    <row r="20" spans="2:13" x14ac:dyDescent="0.2">
      <c r="C20" s="3" t="s">
        <v>243</v>
      </c>
      <c r="D20" s="57">
        <v>1000000</v>
      </c>
      <c r="E20" s="4">
        <f>IF(D20=1000000,10,(IF(D20=2000000,20,(IF(D20=3000000,30,(IF(D20=5000000,50,0)))))))</f>
        <v>10</v>
      </c>
      <c r="F20" s="4">
        <f t="shared" si="0"/>
        <v>55</v>
      </c>
      <c r="H20" s="106" t="s">
        <v>235</v>
      </c>
      <c r="I20" s="32">
        <v>0.1</v>
      </c>
    </row>
    <row r="21" spans="2:13" x14ac:dyDescent="0.2">
      <c r="C21" s="16" t="s">
        <v>244</v>
      </c>
      <c r="D21" s="17" t="s">
        <v>172</v>
      </c>
      <c r="E21" s="17">
        <f>IF(D21="None",10,0)</f>
        <v>10</v>
      </c>
      <c r="F21" s="17">
        <f t="shared" si="0"/>
        <v>55</v>
      </c>
      <c r="H21" s="78" t="s">
        <v>233</v>
      </c>
      <c r="I21" s="32">
        <v>0</v>
      </c>
    </row>
    <row r="22" spans="2:13" x14ac:dyDescent="0.2">
      <c r="C22" s="3" t="s">
        <v>245</v>
      </c>
      <c r="D22" s="4" t="s">
        <v>172</v>
      </c>
      <c r="E22" s="4">
        <f>IF(D22="None",10,0)</f>
        <v>10</v>
      </c>
      <c r="F22" s="4">
        <f t="shared" si="0"/>
        <v>55</v>
      </c>
    </row>
    <row r="23" spans="2:13" x14ac:dyDescent="0.2">
      <c r="C23" s="8"/>
      <c r="D23" s="62" t="s">
        <v>261</v>
      </c>
      <c r="E23" s="64">
        <f>SUM(E12:E22)</f>
        <v>150</v>
      </c>
      <c r="F23" s="61"/>
    </row>
    <row r="24" spans="2:13" x14ac:dyDescent="0.2"/>
    <row r="25" spans="2:13" x14ac:dyDescent="0.2">
      <c r="G25" s="41"/>
    </row>
    <row r="26" spans="2:13" x14ac:dyDescent="0.2">
      <c r="B26" s="15" t="s">
        <v>247</v>
      </c>
      <c r="C26" s="9" t="s">
        <v>247</v>
      </c>
      <c r="D26" s="10" t="s">
        <v>248</v>
      </c>
      <c r="E26" s="10" t="s">
        <v>257</v>
      </c>
    </row>
    <row r="27" spans="2:13" x14ac:dyDescent="0.2">
      <c r="C27" s="3" t="s">
        <v>255</v>
      </c>
      <c r="D27" s="58">
        <v>28</v>
      </c>
      <c r="E27" s="34">
        <v>0.67730000000000001</v>
      </c>
      <c r="G27" s="74">
        <f>G48/4.8222</f>
        <v>25662.560656961556</v>
      </c>
    </row>
    <row r="28" spans="2:13" x14ac:dyDescent="0.2">
      <c r="C28" s="16" t="s">
        <v>256</v>
      </c>
      <c r="D28" s="17" t="s">
        <v>183</v>
      </c>
      <c r="E28" s="60">
        <f>IF(D28="Yes",50%,0)</f>
        <v>0</v>
      </c>
      <c r="F28" s="4" t="s">
        <v>259</v>
      </c>
      <c r="G28" s="42"/>
    </row>
    <row r="29" spans="2:13" x14ac:dyDescent="0.2">
      <c r="C29" s="3" t="s">
        <v>258</v>
      </c>
      <c r="D29" s="59"/>
      <c r="E29" s="34"/>
      <c r="F29" s="80">
        <f>($E$30*$D$27*(D34/1000000))*D4</f>
        <v>7454.3700000000008</v>
      </c>
      <c r="G29" s="75">
        <f>F29/D27</f>
        <v>266.22750000000002</v>
      </c>
      <c r="M29" s="4"/>
    </row>
    <row r="30" spans="2:13" x14ac:dyDescent="0.2">
      <c r="C30" s="7" t="s">
        <v>154</v>
      </c>
      <c r="D30" s="62" t="s">
        <v>260</v>
      </c>
      <c r="E30" s="63">
        <f>((((SUM(E12:E22)*(1-E27))*(1-E28))*(1-E29)))</f>
        <v>48.405000000000001</v>
      </c>
      <c r="F30" s="33"/>
      <c r="J30" s="51"/>
    </row>
    <row r="31" spans="2:13" x14ac:dyDescent="0.2">
      <c r="J31" s="51"/>
      <c r="K31" s="51"/>
      <c r="M31" s="4"/>
    </row>
    <row r="32" spans="2:13" x14ac:dyDescent="0.2">
      <c r="F32" s="97">
        <f>E34/D27</f>
        <v>266.22750000000002</v>
      </c>
      <c r="K32" s="51"/>
      <c r="M32" s="4"/>
    </row>
    <row r="33" spans="2:13" x14ac:dyDescent="0.2">
      <c r="B33" s="15" t="s">
        <v>209</v>
      </c>
      <c r="C33" s="9" t="s">
        <v>264</v>
      </c>
      <c r="D33" s="83" t="s">
        <v>265</v>
      </c>
      <c r="E33" s="83" t="s">
        <v>266</v>
      </c>
      <c r="F33" s="83" t="s">
        <v>267</v>
      </c>
      <c r="G33" s="83" t="s">
        <v>268</v>
      </c>
      <c r="H33" s="88" t="s">
        <v>207</v>
      </c>
      <c r="I33" s="84" t="s">
        <v>216</v>
      </c>
      <c r="J33" s="84" t="s">
        <v>269</v>
      </c>
      <c r="K33" s="85" t="s">
        <v>270</v>
      </c>
      <c r="L33" s="85" t="s">
        <v>271</v>
      </c>
      <c r="M33" s="4"/>
    </row>
    <row r="34" spans="2:13" x14ac:dyDescent="0.2">
      <c r="C34" s="66" t="s">
        <v>274</v>
      </c>
      <c r="D34" s="82">
        <v>1000000</v>
      </c>
      <c r="E34" s="104">
        <f>F29</f>
        <v>7454.3700000000008</v>
      </c>
      <c r="F34" s="103">
        <f>E34/$D$4</f>
        <v>1355.3400000000001</v>
      </c>
      <c r="G34" s="99">
        <f>IF(F29&lt;D3,D3,F29)</f>
        <v>24750</v>
      </c>
      <c r="H34" s="87">
        <f t="shared" ref="H34:H41" si="1">G34/D34</f>
        <v>2.4750000000000001E-2</v>
      </c>
      <c r="I34" s="99">
        <f>G34/$D$27</f>
        <v>883.92857142857144</v>
      </c>
      <c r="J34" s="99">
        <f>G34/(100%-$D$5)</f>
        <v>30937.5</v>
      </c>
      <c r="K34" s="99">
        <f>J34*1.0738</f>
        <v>33220.6875</v>
      </c>
      <c r="L34" s="99">
        <f>K34/$D$27</f>
        <v>1186.453125</v>
      </c>
      <c r="M34" s="4"/>
    </row>
    <row r="35" spans="2:13" x14ac:dyDescent="0.2">
      <c r="C35" s="66" t="s">
        <v>275</v>
      </c>
      <c r="D35" s="82">
        <v>2000000</v>
      </c>
      <c r="E35" s="82">
        <f>E34*1.5</f>
        <v>11181.555</v>
      </c>
      <c r="F35" s="103">
        <f t="shared" ref="F35:F41" si="2">E35/$D$4</f>
        <v>2033.01</v>
      </c>
      <c r="G35" s="99">
        <f>G34*1.5</f>
        <v>37125</v>
      </c>
      <c r="H35" s="87">
        <f t="shared" si="1"/>
        <v>1.8562499999999999E-2</v>
      </c>
      <c r="I35" s="99">
        <f t="shared" ref="I35:I41" si="3">G35/$D$27</f>
        <v>1325.8928571428571</v>
      </c>
      <c r="J35" s="99">
        <f>G35/(100%-$D$5)</f>
        <v>46406.25</v>
      </c>
      <c r="K35" s="99">
        <f t="shared" ref="K35:K41" si="4">J35*1.0738</f>
        <v>49831.031250000007</v>
      </c>
      <c r="L35" s="99">
        <f t="shared" ref="L35:L40" si="5">K35/$D$27</f>
        <v>1779.6796875000002</v>
      </c>
      <c r="M35" s="4"/>
    </row>
    <row r="36" spans="2:13" x14ac:dyDescent="0.2">
      <c r="C36" s="66" t="s">
        <v>276</v>
      </c>
      <c r="D36" s="82">
        <v>3000000</v>
      </c>
      <c r="E36" s="82">
        <f>E34*2.3</f>
        <v>17145.050999999999</v>
      </c>
      <c r="F36" s="103">
        <f>E36/$D$4</f>
        <v>3117.2819999999997</v>
      </c>
      <c r="G36" s="99">
        <f>G34*2.3</f>
        <v>56924.999999999993</v>
      </c>
      <c r="H36" s="87">
        <f t="shared" si="1"/>
        <v>1.8974999999999999E-2</v>
      </c>
      <c r="I36" s="99">
        <f t="shared" si="3"/>
        <v>2033.035714285714</v>
      </c>
      <c r="J36" s="99">
        <f t="shared" ref="J36:J41" si="6">G36/(100%-$D$5)</f>
        <v>71156.249999999985</v>
      </c>
      <c r="K36" s="99">
        <f t="shared" si="4"/>
        <v>76407.581249999988</v>
      </c>
      <c r="L36" s="99">
        <f t="shared" si="5"/>
        <v>2728.8421874999995</v>
      </c>
    </row>
    <row r="37" spans="2:13" x14ac:dyDescent="0.2">
      <c r="C37" s="66" t="s">
        <v>277</v>
      </c>
      <c r="D37" s="82">
        <v>5000000</v>
      </c>
      <c r="E37" s="82">
        <f>E34*2.8</f>
        <v>20872.236000000001</v>
      </c>
      <c r="F37" s="103">
        <f t="shared" si="2"/>
        <v>3794.9520000000002</v>
      </c>
      <c r="G37" s="99">
        <f>G34*2.8</f>
        <v>69300</v>
      </c>
      <c r="H37" s="87">
        <f t="shared" si="1"/>
        <v>1.3860000000000001E-2</v>
      </c>
      <c r="I37" s="99">
        <f t="shared" si="3"/>
        <v>2475</v>
      </c>
      <c r="J37" s="99">
        <f t="shared" si="6"/>
        <v>86625</v>
      </c>
      <c r="K37" s="99">
        <f t="shared" si="4"/>
        <v>93017.925000000003</v>
      </c>
      <c r="L37" s="99">
        <f t="shared" si="5"/>
        <v>3322.0687499999999</v>
      </c>
    </row>
    <row r="38" spans="2:13" x14ac:dyDescent="0.2">
      <c r="C38" s="66" t="s">
        <v>278</v>
      </c>
      <c r="D38" s="82">
        <v>7000000</v>
      </c>
      <c r="E38" s="82">
        <f>E34*3.1</f>
        <v>23108.547000000002</v>
      </c>
      <c r="F38" s="103">
        <f t="shared" si="2"/>
        <v>4201.5540000000001</v>
      </c>
      <c r="G38" s="99">
        <f>G34*3.1</f>
        <v>76725</v>
      </c>
      <c r="H38" s="87">
        <f t="shared" si="1"/>
        <v>1.0960714285714285E-2</v>
      </c>
      <c r="I38" s="99">
        <f t="shared" si="3"/>
        <v>2740.1785714285716</v>
      </c>
      <c r="J38" s="99">
        <f t="shared" si="6"/>
        <v>95906.25</v>
      </c>
      <c r="K38" s="99">
        <f t="shared" si="4"/>
        <v>102984.13125000001</v>
      </c>
      <c r="L38" s="99">
        <f t="shared" si="5"/>
        <v>3678.0046875000003</v>
      </c>
    </row>
    <row r="39" spans="2:13" x14ac:dyDescent="0.2">
      <c r="C39" s="66" t="s">
        <v>279</v>
      </c>
      <c r="D39" s="82">
        <v>10000000</v>
      </c>
      <c r="E39" s="82">
        <f>E34*3.5</f>
        <v>26090.295000000002</v>
      </c>
      <c r="F39" s="103">
        <f t="shared" si="2"/>
        <v>4743.6900000000005</v>
      </c>
      <c r="G39" s="99">
        <f>G34*3.5</f>
        <v>86625</v>
      </c>
      <c r="H39" s="87">
        <f t="shared" si="1"/>
        <v>8.6625000000000001E-3</v>
      </c>
      <c r="I39" s="99">
        <f t="shared" si="3"/>
        <v>3093.75</v>
      </c>
      <c r="J39" s="99">
        <f t="shared" si="6"/>
        <v>108281.25</v>
      </c>
      <c r="K39" s="99">
        <f t="shared" si="4"/>
        <v>116272.40625000001</v>
      </c>
      <c r="L39" s="99">
        <f t="shared" si="5"/>
        <v>4152.5859375000009</v>
      </c>
    </row>
    <row r="40" spans="2:13" x14ac:dyDescent="0.2">
      <c r="C40" s="66" t="s">
        <v>280</v>
      </c>
      <c r="D40" s="82">
        <v>15000000</v>
      </c>
      <c r="E40" s="82">
        <f>E34*4</f>
        <v>29817.480000000003</v>
      </c>
      <c r="F40" s="103">
        <f t="shared" si="2"/>
        <v>5421.3600000000006</v>
      </c>
      <c r="G40" s="99">
        <f>G34*4</f>
        <v>99000</v>
      </c>
      <c r="H40" s="87">
        <f t="shared" si="1"/>
        <v>6.6E-3</v>
      </c>
      <c r="I40" s="99">
        <f t="shared" si="3"/>
        <v>3535.7142857142858</v>
      </c>
      <c r="J40" s="99">
        <f t="shared" si="6"/>
        <v>123750</v>
      </c>
      <c r="K40" s="99">
        <f t="shared" si="4"/>
        <v>132882.75</v>
      </c>
      <c r="L40" s="99">
        <f t="shared" si="5"/>
        <v>4745.8125</v>
      </c>
    </row>
    <row r="41" spans="2:13" x14ac:dyDescent="0.2">
      <c r="C41" s="66" t="s">
        <v>281</v>
      </c>
      <c r="D41" s="82">
        <v>20000000</v>
      </c>
      <c r="E41" s="82">
        <f>E34*5</f>
        <v>37271.850000000006</v>
      </c>
      <c r="F41" s="103">
        <f t="shared" si="2"/>
        <v>6776.7000000000007</v>
      </c>
      <c r="G41" s="99">
        <f>G34*5</f>
        <v>123750</v>
      </c>
      <c r="H41" s="87">
        <f t="shared" si="1"/>
        <v>6.1875000000000003E-3</v>
      </c>
      <c r="I41" s="99">
        <f t="shared" si="3"/>
        <v>4419.6428571428569</v>
      </c>
      <c r="J41" s="99">
        <f t="shared" si="6"/>
        <v>154687.5</v>
      </c>
      <c r="K41" s="99">
        <f t="shared" si="4"/>
        <v>166103.4375</v>
      </c>
      <c r="L41" s="99">
        <f>K41/$D$27</f>
        <v>5932.265625</v>
      </c>
    </row>
    <row r="42" spans="2:13" x14ac:dyDescent="0.2">
      <c r="C42" s="11"/>
      <c r="D42" s="48"/>
      <c r="E42" s="53"/>
      <c r="F42" s="48"/>
      <c r="G42" s="48"/>
      <c r="H42" s="45"/>
      <c r="I42" s="48"/>
      <c r="J42" s="48"/>
    </row>
    <row r="43" spans="2:13" x14ac:dyDescent="0.2">
      <c r="C43" s="11"/>
      <c r="D43" s="48"/>
      <c r="E43" s="48"/>
      <c r="F43" s="49"/>
      <c r="G43" s="48"/>
      <c r="H43" s="45"/>
      <c r="I43" s="48"/>
      <c r="J43" s="48"/>
    </row>
    <row r="44" spans="2:13" x14ac:dyDescent="0.2">
      <c r="B44" s="15" t="s">
        <v>210</v>
      </c>
      <c r="C44" s="81" t="s">
        <v>264</v>
      </c>
      <c r="D44" s="81" t="s">
        <v>265</v>
      </c>
      <c r="E44" s="81" t="s">
        <v>266</v>
      </c>
      <c r="F44" s="81" t="s">
        <v>272</v>
      </c>
      <c r="G44" s="81" t="s">
        <v>269</v>
      </c>
      <c r="H44" s="81" t="s">
        <v>207</v>
      </c>
      <c r="I44" s="81" t="s">
        <v>263</v>
      </c>
      <c r="J44" s="81" t="s">
        <v>216</v>
      </c>
      <c r="K44" s="98" t="s">
        <v>300</v>
      </c>
      <c r="L44" s="98" t="s">
        <v>262</v>
      </c>
    </row>
    <row r="45" spans="2:13" x14ac:dyDescent="0.2">
      <c r="C45" s="89" t="s">
        <v>274</v>
      </c>
      <c r="D45" s="79">
        <v>1000000</v>
      </c>
      <c r="E45" s="100">
        <f>IF(G34&gt;=$D$3,G34,$D$3)</f>
        <v>24750</v>
      </c>
      <c r="F45" s="100">
        <f>E45/(100%-$D$8)</f>
        <v>35357.142857142862</v>
      </c>
      <c r="G45" s="101">
        <f>F45/(100%-$D$5)</f>
        <v>44196.428571428572</v>
      </c>
      <c r="H45" s="86">
        <f>F45/D45</f>
        <v>3.5357142857142865E-2</v>
      </c>
      <c r="I45" s="100">
        <f>G45*1.0738</f>
        <v>47458.125000000007</v>
      </c>
      <c r="J45" s="100">
        <f>I45/$D$27</f>
        <v>1694.933035714286</v>
      </c>
      <c r="K45" s="100">
        <f t="shared" ref="K45:K52" si="7">E45/(100%-$D$5)</f>
        <v>30937.5</v>
      </c>
      <c r="L45" s="100">
        <f>E45/(100%-$D$5)*1.0738</f>
        <v>33220.6875</v>
      </c>
    </row>
    <row r="46" spans="2:13" x14ac:dyDescent="0.2">
      <c r="C46" s="89" t="s">
        <v>275</v>
      </c>
      <c r="D46" s="79">
        <v>2000000</v>
      </c>
      <c r="E46" s="100">
        <f>IF(G35&gt;=$D$3,G35,$D$3)</f>
        <v>37125</v>
      </c>
      <c r="F46" s="100">
        <f>E46/(100%-$D$8)</f>
        <v>53035.71428571429</v>
      </c>
      <c r="G46" s="101">
        <f>F46/(100%-$D$5)</f>
        <v>66294.642857142855</v>
      </c>
      <c r="H46" s="86">
        <f t="shared" ref="H46:H52" si="8">F46/D46</f>
        <v>2.6517857142857145E-2</v>
      </c>
      <c r="I46" s="100">
        <f t="shared" ref="I46:I52" si="9">G46*1.0738</f>
        <v>71187.1875</v>
      </c>
      <c r="J46" s="100">
        <f t="shared" ref="J46:J52" si="10">I46/$D$27</f>
        <v>2542.3995535714284</v>
      </c>
      <c r="K46" s="100">
        <f t="shared" si="7"/>
        <v>46406.25</v>
      </c>
      <c r="L46" s="100">
        <f>E46/(100%-$D$5)*1.0738</f>
        <v>49831.031250000007</v>
      </c>
    </row>
    <row r="47" spans="2:13" x14ac:dyDescent="0.2">
      <c r="C47" s="89" t="s">
        <v>276</v>
      </c>
      <c r="D47" s="79">
        <v>3000000</v>
      </c>
      <c r="E47" s="100">
        <f t="shared" ref="E47:E52" si="11">IF(G36&gt;=$D$3,G36,$D$3)</f>
        <v>56924.999999999993</v>
      </c>
      <c r="F47" s="100">
        <f t="shared" ref="F47:F52" si="12">E47/(100%-$D$8)</f>
        <v>81321.428571428565</v>
      </c>
      <c r="G47" s="101">
        <f t="shared" ref="G47:G52" si="13">F47/(100%-$D$5)</f>
        <v>101651.7857142857</v>
      </c>
      <c r="H47" s="86">
        <f t="shared" si="8"/>
        <v>2.7107142857142854E-2</v>
      </c>
      <c r="I47" s="100">
        <f t="shared" si="9"/>
        <v>109153.68749999999</v>
      </c>
      <c r="J47" s="100">
        <f t="shared" si="10"/>
        <v>3898.3459821428564</v>
      </c>
      <c r="K47" s="100">
        <f t="shared" si="7"/>
        <v>71156.249999999985</v>
      </c>
      <c r="L47" s="100">
        <f t="shared" ref="L47:L52" si="14">E47/(100%-$D$5)*1.0738</f>
        <v>76407.581249999988</v>
      </c>
    </row>
    <row r="48" spans="2:13" x14ac:dyDescent="0.2">
      <c r="C48" s="89" t="s">
        <v>277</v>
      </c>
      <c r="D48" s="79">
        <v>5000000</v>
      </c>
      <c r="E48" s="100">
        <f t="shared" si="11"/>
        <v>69300</v>
      </c>
      <c r="F48" s="100">
        <f t="shared" si="12"/>
        <v>99000</v>
      </c>
      <c r="G48" s="101">
        <f t="shared" si="13"/>
        <v>123750</v>
      </c>
      <c r="H48" s="86">
        <f t="shared" si="8"/>
        <v>1.9800000000000002E-2</v>
      </c>
      <c r="I48" s="100">
        <f t="shared" si="9"/>
        <v>132882.75</v>
      </c>
      <c r="J48" s="100">
        <f t="shared" si="10"/>
        <v>4745.8125</v>
      </c>
      <c r="K48" s="100">
        <f t="shared" si="7"/>
        <v>86625</v>
      </c>
      <c r="L48" s="100">
        <f t="shared" si="14"/>
        <v>93017.925000000003</v>
      </c>
    </row>
    <row r="49" spans="2:12" x14ac:dyDescent="0.2">
      <c r="C49" s="89" t="s">
        <v>278</v>
      </c>
      <c r="D49" s="79">
        <v>7000000</v>
      </c>
      <c r="E49" s="100">
        <f t="shared" si="11"/>
        <v>76725</v>
      </c>
      <c r="F49" s="100">
        <f t="shared" si="12"/>
        <v>109607.14285714287</v>
      </c>
      <c r="G49" s="101">
        <f t="shared" si="13"/>
        <v>137008.92857142858</v>
      </c>
      <c r="H49" s="86">
        <f t="shared" si="8"/>
        <v>1.5658163265306124E-2</v>
      </c>
      <c r="I49" s="100">
        <f t="shared" si="9"/>
        <v>147120.18750000003</v>
      </c>
      <c r="J49" s="100">
        <f t="shared" si="10"/>
        <v>5254.2924107142871</v>
      </c>
      <c r="K49" s="100">
        <f t="shared" si="7"/>
        <v>95906.25</v>
      </c>
      <c r="L49" s="100">
        <f t="shared" si="14"/>
        <v>102984.13125000001</v>
      </c>
    </row>
    <row r="50" spans="2:12" x14ac:dyDescent="0.2">
      <c r="C50" s="89" t="s">
        <v>279</v>
      </c>
      <c r="D50" s="79">
        <v>10000000</v>
      </c>
      <c r="E50" s="100">
        <f t="shared" si="11"/>
        <v>86625</v>
      </c>
      <c r="F50" s="100">
        <f t="shared" si="12"/>
        <v>123750.00000000001</v>
      </c>
      <c r="G50" s="101">
        <f t="shared" si="13"/>
        <v>154687.5</v>
      </c>
      <c r="H50" s="86">
        <f t="shared" si="8"/>
        <v>1.2375000000000002E-2</v>
      </c>
      <c r="I50" s="100">
        <f t="shared" si="9"/>
        <v>166103.4375</v>
      </c>
      <c r="J50" s="100">
        <f t="shared" si="10"/>
        <v>5932.265625</v>
      </c>
      <c r="K50" s="100">
        <f>E50/(100%-$D$5)</f>
        <v>108281.25</v>
      </c>
      <c r="L50" s="100">
        <f t="shared" si="14"/>
        <v>116272.40625000001</v>
      </c>
    </row>
    <row r="51" spans="2:12" x14ac:dyDescent="0.2">
      <c r="C51" s="89" t="s">
        <v>280</v>
      </c>
      <c r="D51" s="79">
        <v>15000000</v>
      </c>
      <c r="E51" s="100">
        <f t="shared" si="11"/>
        <v>99000</v>
      </c>
      <c r="F51" s="100">
        <f t="shared" si="12"/>
        <v>141428.57142857145</v>
      </c>
      <c r="G51" s="101">
        <f t="shared" si="13"/>
        <v>176785.71428571429</v>
      </c>
      <c r="H51" s="86">
        <f t="shared" si="8"/>
        <v>9.4285714285714303E-3</v>
      </c>
      <c r="I51" s="100">
        <f t="shared" si="9"/>
        <v>189832.50000000003</v>
      </c>
      <c r="J51" s="100">
        <f t="shared" si="10"/>
        <v>6779.732142857144</v>
      </c>
      <c r="K51" s="100">
        <f t="shared" si="7"/>
        <v>123750</v>
      </c>
      <c r="L51" s="100">
        <f t="shared" si="14"/>
        <v>132882.75</v>
      </c>
    </row>
    <row r="52" spans="2:12" x14ac:dyDescent="0.2">
      <c r="C52" s="89" t="s">
        <v>281</v>
      </c>
      <c r="D52" s="79">
        <v>20000000</v>
      </c>
      <c r="E52" s="100">
        <f t="shared" si="11"/>
        <v>123750</v>
      </c>
      <c r="F52" s="100">
        <f t="shared" si="12"/>
        <v>176785.71428571429</v>
      </c>
      <c r="G52" s="101">
        <f t="shared" si="13"/>
        <v>220982.14285714284</v>
      </c>
      <c r="H52" s="86">
        <f t="shared" si="8"/>
        <v>8.8392857142857145E-3</v>
      </c>
      <c r="I52" s="100">
        <f t="shared" si="9"/>
        <v>237290.625</v>
      </c>
      <c r="J52" s="100">
        <f t="shared" si="10"/>
        <v>8474.6651785714294</v>
      </c>
      <c r="K52" s="100">
        <f t="shared" si="7"/>
        <v>154687.5</v>
      </c>
      <c r="L52" s="100">
        <f t="shared" si="14"/>
        <v>166103.4375</v>
      </c>
    </row>
    <row r="53" spans="2:12" x14ac:dyDescent="0.2">
      <c r="C53" s="11"/>
      <c r="D53" s="48"/>
      <c r="E53" s="102"/>
      <c r="F53" s="102"/>
      <c r="G53" s="102"/>
      <c r="H53" s="45"/>
      <c r="I53" s="48"/>
      <c r="J53" s="48"/>
    </row>
    <row r="54" spans="2:12" x14ac:dyDescent="0.2">
      <c r="B54" s="15" t="s">
        <v>210</v>
      </c>
      <c r="C54" s="81" t="s">
        <v>264</v>
      </c>
      <c r="D54" s="81" t="s">
        <v>265</v>
      </c>
      <c r="E54" s="81" t="s">
        <v>266</v>
      </c>
      <c r="F54" s="81" t="s">
        <v>272</v>
      </c>
      <c r="G54" s="81" t="s">
        <v>269</v>
      </c>
      <c r="H54" s="81" t="s">
        <v>207</v>
      </c>
      <c r="I54" s="81" t="s">
        <v>263</v>
      </c>
      <c r="J54" s="81" t="s">
        <v>216</v>
      </c>
      <c r="K54" s="98" t="s">
        <v>300</v>
      </c>
      <c r="L54" s="98" t="s">
        <v>262</v>
      </c>
    </row>
    <row r="55" spans="2:12" x14ac:dyDescent="0.2">
      <c r="C55" s="89" t="s">
        <v>274</v>
      </c>
      <c r="D55" s="79">
        <v>1000000</v>
      </c>
      <c r="E55" s="100">
        <f>IF(G34&gt;=$D$3,G34,$D$3)</f>
        <v>24750</v>
      </c>
      <c r="F55" s="100">
        <f>E55/(100%-$D$8)</f>
        <v>35357.142857142862</v>
      </c>
      <c r="G55" s="101">
        <f>F55/(100%-$D$5)</f>
        <v>44196.428571428572</v>
      </c>
      <c r="H55" s="86">
        <f>F55/D55</f>
        <v>3.5357142857142865E-2</v>
      </c>
      <c r="I55" s="100">
        <f>G55*1.0738</f>
        <v>47458.125000000007</v>
      </c>
      <c r="J55" s="100">
        <f>I55/$D$27</f>
        <v>1694.933035714286</v>
      </c>
      <c r="K55" s="100">
        <f>E55/(100%-$D$5)</f>
        <v>30937.5</v>
      </c>
      <c r="L55" s="100">
        <f>E55/(100%-$D$5)*1.0738</f>
        <v>33220.6875</v>
      </c>
    </row>
    <row r="56" spans="2:12" x14ac:dyDescent="0.2">
      <c r="C56" s="89" t="s">
        <v>276</v>
      </c>
      <c r="D56" s="79">
        <v>3000000</v>
      </c>
      <c r="E56" s="100">
        <f>IF(G36&gt;=$D$3,G36,$D$3)</f>
        <v>56924.999999999993</v>
      </c>
      <c r="F56" s="100">
        <f>E56/(100%-$D$8)</f>
        <v>81321.428571428565</v>
      </c>
      <c r="G56" s="101">
        <f>F56/(100%-$D$5)</f>
        <v>101651.7857142857</v>
      </c>
      <c r="H56" s="86">
        <f>F56/D56</f>
        <v>2.7107142857142854E-2</v>
      </c>
      <c r="I56" s="100">
        <f>G56*1.0738</f>
        <v>109153.68749999999</v>
      </c>
      <c r="J56" s="100">
        <f>I56/$D$27</f>
        <v>3898.3459821428564</v>
      </c>
      <c r="K56" s="100">
        <f>E56/(100%-$D$5)</f>
        <v>71156.249999999985</v>
      </c>
      <c r="L56" s="100">
        <f>E56/(100%-$D$5)*1.0738</f>
        <v>76407.581249999988</v>
      </c>
    </row>
    <row r="57" spans="2:12" x14ac:dyDescent="0.2">
      <c r="C57" s="89" t="s">
        <v>277</v>
      </c>
      <c r="D57" s="79">
        <v>5000000</v>
      </c>
      <c r="E57" s="100">
        <f>IF(G37&gt;=$D$3,G37,$D$3)</f>
        <v>69300</v>
      </c>
      <c r="F57" s="100">
        <f>E57/(100%-$D$8)</f>
        <v>99000</v>
      </c>
      <c r="G57" s="101">
        <f>F57/(100%-$D$5)</f>
        <v>123750</v>
      </c>
      <c r="H57" s="86">
        <f>F57/D57</f>
        <v>1.9800000000000002E-2</v>
      </c>
      <c r="I57" s="100">
        <f>G57*1.0738</f>
        <v>132882.75</v>
      </c>
      <c r="J57" s="100">
        <f>I57/$D$27</f>
        <v>4745.8125</v>
      </c>
      <c r="K57" s="100">
        <f>E57/(100%-$D$5)</f>
        <v>86625</v>
      </c>
      <c r="L57" s="100">
        <f>E57/(100%-$D$5)*1.0738</f>
        <v>93017.925000000003</v>
      </c>
    </row>
    <row r="58" spans="2:12" x14ac:dyDescent="0.2">
      <c r="C58" s="89" t="s">
        <v>279</v>
      </c>
      <c r="D58" s="79">
        <v>10000000</v>
      </c>
      <c r="E58" s="100">
        <f>IF(G39&gt;=$D$3,G39,$D$3)</f>
        <v>86625</v>
      </c>
      <c r="F58" s="100">
        <f>E58/(100%-$D$8)</f>
        <v>123750.00000000001</v>
      </c>
      <c r="G58" s="101">
        <f>F58/(100%-$D$5)</f>
        <v>154687.5</v>
      </c>
      <c r="H58" s="86">
        <f>F58/D58</f>
        <v>1.2375000000000002E-2</v>
      </c>
      <c r="I58" s="100">
        <f>G58*1.0738</f>
        <v>166103.4375</v>
      </c>
      <c r="J58" s="100">
        <f>I58/$D$27</f>
        <v>5932.265625</v>
      </c>
      <c r="K58" s="100">
        <f>E58/(100%-$D$5)</f>
        <v>108281.25</v>
      </c>
      <c r="L58" s="100">
        <f>E58/(100%-$D$5)*1.0738</f>
        <v>116272.40625000001</v>
      </c>
    </row>
    <row r="59" spans="2:12" x14ac:dyDescent="0.2">
      <c r="F59" s="97"/>
      <c r="G59" s="96"/>
      <c r="H59" s="96"/>
    </row>
  </sheetData>
  <mergeCells count="1">
    <mergeCell ref="A1:L1"/>
  </mergeCells>
  <phoneticPr fontId="4" type="noConversion"/>
  <conditionalFormatting sqref="D4">
    <cfRule type="colorScale" priority="55">
      <colorScale>
        <cfvo type="num" val="5"/>
        <cfvo type="num" val="5.5"/>
        <cfvo type="num" val="6"/>
        <color rgb="FFF8696B"/>
        <color rgb="FFFFEB84"/>
        <color rgb="FF63BE7B"/>
      </colorScale>
    </cfRule>
  </conditionalFormatting>
  <conditionalFormatting sqref="D5:D8">
    <cfRule type="colorScale" priority="54">
      <colorScale>
        <cfvo type="num" val="7.4999999999999997E-2"/>
        <cfvo type="num" val="0.15"/>
        <cfvo type="num" val="0.25"/>
        <color theme="9"/>
        <color rgb="FFFFEB84"/>
        <color rgb="FFFF0000"/>
      </colorScale>
    </cfRule>
  </conditionalFormatting>
  <conditionalFormatting sqref="E23">
    <cfRule type="colorScale" priority="4">
      <colorScale>
        <cfvo type="num" val="0"/>
        <cfvo type="num" val="175"/>
        <cfvo type="num" val="350"/>
        <color rgb="FF92D050"/>
        <color rgb="FFFFEB84"/>
        <color rgb="FFFF0000"/>
      </colorScale>
    </cfRule>
  </conditionalFormatting>
  <conditionalFormatting sqref="E30">
    <cfRule type="colorScale" priority="53">
      <colorScale>
        <cfvo type="num" val="0"/>
        <cfvo type="num" val="175"/>
        <cfvo type="num" val="350"/>
        <color rgb="FF92D050"/>
        <color rgb="FFFFEB84"/>
        <color rgb="FFFF0000"/>
      </colorScale>
    </cfRule>
  </conditionalFormatting>
  <conditionalFormatting sqref="F29">
    <cfRule type="cellIs" dxfId="2" priority="1" operator="greaterThanOrEqual">
      <formula>$D$3</formula>
    </cfRule>
    <cfRule type="cellIs" dxfId="1" priority="2" operator="lessThan">
      <formula>$D$3</formula>
    </cfRule>
  </conditionalFormatting>
  <conditionalFormatting sqref="F34:F41">
    <cfRule type="cellIs" dxfId="0" priority="3" operator="lessThan">
      <formula>4500</formula>
    </cfRule>
  </conditionalFormatting>
  <dataValidations count="7">
    <dataValidation type="list" allowBlank="1" showInputMessage="1" showErrorMessage="1" sqref="D28 D15" xr:uid="{852E6363-61B4-4C47-91E0-295BCEC0C86B}">
      <formula1>"Yes, No"</formula1>
    </dataValidation>
    <dataValidation type="list" allowBlank="1" showInputMessage="1" showErrorMessage="1" sqref="D12" xr:uid="{193BE0F6-E9C5-4BE3-90EE-CA8A6A785C17}">
      <formula1>"N/A, I, II, III, IV"</formula1>
    </dataValidation>
    <dataValidation type="list" allowBlank="1" showInputMessage="1" showErrorMessage="1" sqref="D19" xr:uid="{CC531E6A-93AE-48C5-86C8-009B1B2DAF15}">
      <formula1>"Amene, Agressive"</formula1>
    </dataValidation>
    <dataValidation type="list" allowBlank="1" showInputMessage="1" showErrorMessage="1" sqref="D13" xr:uid="{51F16D35-4D1D-434B-B129-3842FE60C567}">
      <formula1>"Interventional, Not Interventional"</formula1>
    </dataValidation>
    <dataValidation type="list" allowBlank="1" showInputMessage="1" showErrorMessage="1" sqref="D14" xr:uid="{DA34B877-EFAB-4AA3-AA3F-B6E214ABB0D4}">
      <formula1>"Observational, Food &amp; Nutrition, Comestics, Drug, Medical Device, Vaccine, Surgery, Transfusion, Transplant, Tissue, Organs, Cellular Therapy, Cannabis &amp; Derivatives, Other"</formula1>
    </dataValidation>
    <dataValidation type="list" allowBlank="1" showInputMessage="1" showErrorMessage="1" sqref="D16" xr:uid="{6B870F4E-D5AD-42F1-BD1A-8F9324907FF6}">
      <formula1>"Sick, Healthy"</formula1>
    </dataValidation>
    <dataValidation type="list" allowBlank="1" showInputMessage="1" showErrorMessage="1" sqref="D21:D22 D19" xr:uid="{9FCAD48A-57CE-418D-815B-E1252F6954A8}">
      <formula1>"Any, None"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35:F4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12B223-13E2-46F2-9A68-FD6320F47A4E}">
          <x14:formula1>
            <xm:f>INPUTS!$L$15:$L$19</xm:f>
          </x14:formula1>
          <xm:sqref>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F07A-02E4-4FF6-8FCF-7BD4A67B9093}">
  <sheetPr>
    <tabColor theme="5"/>
  </sheetPr>
  <dimension ref="B2:XFC13"/>
  <sheetViews>
    <sheetView showGridLines="0" showRowColHeaders="0" zoomScale="115" zoomScaleNormal="115" workbookViewId="0">
      <selection activeCell="E68" sqref="E68"/>
    </sheetView>
  </sheetViews>
  <sheetFormatPr baseColWidth="10" defaultColWidth="0" defaultRowHeight="15" x14ac:dyDescent="0.2"/>
  <cols>
    <col min="1" max="1" width="4.33203125" customWidth="1"/>
    <col min="2" max="2" width="21.6640625" hidden="1" customWidth="1"/>
    <col min="3" max="3" width="11" customWidth="1"/>
    <col min="4" max="4" width="15.6640625" customWidth="1"/>
    <col min="5" max="5" width="39.5" customWidth="1"/>
    <col min="6" max="7" width="16.83203125" customWidth="1"/>
    <col min="8" max="8" width="12.6640625" bestFit="1" customWidth="1"/>
    <col min="9" max="9" width="3.6640625" customWidth="1"/>
    <col min="10" max="16383" width="9.33203125" hidden="1"/>
  </cols>
  <sheetData>
    <row r="2" spans="2:8" x14ac:dyDescent="0.2">
      <c r="B2" s="54" t="s">
        <v>155</v>
      </c>
      <c r="C2" s="20" t="s">
        <v>156</v>
      </c>
      <c r="D2" s="20" t="s">
        <v>176</v>
      </c>
      <c r="E2" s="20" t="s">
        <v>191</v>
      </c>
      <c r="F2" s="76" t="s">
        <v>160</v>
      </c>
      <c r="G2" s="76" t="s">
        <v>157</v>
      </c>
      <c r="H2" s="76" t="s">
        <v>216</v>
      </c>
    </row>
    <row r="3" spans="2:8" x14ac:dyDescent="0.2">
      <c r="B3" s="55" t="s">
        <v>161</v>
      </c>
      <c r="C3" s="77" t="s">
        <v>282</v>
      </c>
      <c r="D3" s="77" t="s">
        <v>292</v>
      </c>
      <c r="E3" s="77" t="s">
        <v>293</v>
      </c>
      <c r="F3" s="90">
        <f>(G3/(100%-QUOTE!D5))*1.0738</f>
        <v>38915.662499999999</v>
      </c>
      <c r="G3" s="90">
        <f>G5*0.82</f>
        <v>28992.857142857145</v>
      </c>
      <c r="H3" s="91">
        <f>F3/QUOTE!D27</f>
        <v>1389.8450892857143</v>
      </c>
    </row>
    <row r="4" spans="2:8" x14ac:dyDescent="0.2">
      <c r="B4" s="55" t="s">
        <v>162</v>
      </c>
      <c r="C4" s="77" t="s">
        <v>283</v>
      </c>
      <c r="D4" s="77" t="s">
        <v>292</v>
      </c>
      <c r="E4" s="77" t="s">
        <v>293</v>
      </c>
      <c r="F4" s="90">
        <f>(G4/(100%-QUOTE!D5))*1.0738</f>
        <v>42712.312500000007</v>
      </c>
      <c r="G4" s="90">
        <f>G5*0.9</f>
        <v>31821.428571428576</v>
      </c>
      <c r="H4" s="91">
        <f>F4/QUOTE!D27</f>
        <v>1525.4397321428573</v>
      </c>
    </row>
    <row r="5" spans="2:8" x14ac:dyDescent="0.2">
      <c r="B5" s="55" t="s">
        <v>163</v>
      </c>
      <c r="C5" s="77" t="s">
        <v>284</v>
      </c>
      <c r="D5" s="77" t="s">
        <v>292</v>
      </c>
      <c r="E5" s="77" t="s">
        <v>293</v>
      </c>
      <c r="F5" s="90">
        <f>QUOTE!I45</f>
        <v>47458.125000000007</v>
      </c>
      <c r="G5" s="90">
        <f>QUOTE!F45</f>
        <v>35357.142857142862</v>
      </c>
      <c r="H5" s="91">
        <f>QUOTE!J45</f>
        <v>1694.933035714286</v>
      </c>
    </row>
    <row r="6" spans="2:8" x14ac:dyDescent="0.2">
      <c r="B6" s="55" t="s">
        <v>164</v>
      </c>
      <c r="C6" s="77" t="s">
        <v>285</v>
      </c>
      <c r="D6" s="77" t="s">
        <v>292</v>
      </c>
      <c r="E6" s="77" t="s">
        <v>293</v>
      </c>
      <c r="F6" s="90">
        <f>QUOTE!I46</f>
        <v>71187.1875</v>
      </c>
      <c r="G6" s="90">
        <f>QUOTE!F46</f>
        <v>53035.71428571429</v>
      </c>
      <c r="H6" s="91">
        <f>QUOTE!J46</f>
        <v>2542.3995535714284</v>
      </c>
    </row>
    <row r="7" spans="2:8" x14ac:dyDescent="0.2">
      <c r="B7" s="55" t="s">
        <v>165</v>
      </c>
      <c r="C7" s="77" t="s">
        <v>286</v>
      </c>
      <c r="D7" s="77" t="s">
        <v>292</v>
      </c>
      <c r="E7" s="77" t="s">
        <v>293</v>
      </c>
      <c r="F7" s="90">
        <f>QUOTE!I47</f>
        <v>109153.68749999999</v>
      </c>
      <c r="G7" s="90">
        <f>QUOTE!F47</f>
        <v>81321.428571428565</v>
      </c>
      <c r="H7" s="91">
        <f>QUOTE!J47</f>
        <v>3898.3459821428564</v>
      </c>
    </row>
    <row r="8" spans="2:8" x14ac:dyDescent="0.2">
      <c r="B8" s="55" t="s">
        <v>166</v>
      </c>
      <c r="C8" s="77" t="s">
        <v>287</v>
      </c>
      <c r="D8" s="77" t="s">
        <v>292</v>
      </c>
      <c r="E8" s="77" t="s">
        <v>293</v>
      </c>
      <c r="F8" s="90">
        <f>QUOTE!I48</f>
        <v>132882.75</v>
      </c>
      <c r="G8" s="90">
        <f>QUOTE!F48</f>
        <v>99000</v>
      </c>
      <c r="H8" s="91">
        <f>QUOTE!J48</f>
        <v>4745.8125</v>
      </c>
    </row>
    <row r="9" spans="2:8" x14ac:dyDescent="0.2">
      <c r="B9" s="55" t="s">
        <v>167</v>
      </c>
      <c r="C9" s="77" t="s">
        <v>288</v>
      </c>
      <c r="D9" s="77" t="s">
        <v>292</v>
      </c>
      <c r="E9" s="77" t="s">
        <v>293</v>
      </c>
      <c r="F9" s="90">
        <f>QUOTE!I49</f>
        <v>147120.18750000003</v>
      </c>
      <c r="G9" s="90">
        <f>QUOTE!F49</f>
        <v>109607.14285714287</v>
      </c>
      <c r="H9" s="91">
        <f>QUOTE!J49</f>
        <v>5254.2924107142871</v>
      </c>
    </row>
    <row r="10" spans="2:8" x14ac:dyDescent="0.2">
      <c r="B10" s="55" t="s">
        <v>168</v>
      </c>
      <c r="C10" s="77" t="s">
        <v>289</v>
      </c>
      <c r="D10" s="77" t="s">
        <v>292</v>
      </c>
      <c r="E10" s="77" t="s">
        <v>293</v>
      </c>
      <c r="F10" s="90">
        <f>QUOTE!I50</f>
        <v>166103.4375</v>
      </c>
      <c r="G10" s="90">
        <f>QUOTE!F50</f>
        <v>123750.00000000001</v>
      </c>
      <c r="H10" s="91">
        <f>QUOTE!J50</f>
        <v>5932.265625</v>
      </c>
    </row>
    <row r="11" spans="2:8" x14ac:dyDescent="0.2">
      <c r="B11" s="55" t="s">
        <v>177</v>
      </c>
      <c r="C11" s="77" t="s">
        <v>290</v>
      </c>
      <c r="D11" s="77" t="s">
        <v>292</v>
      </c>
      <c r="E11" s="77" t="s">
        <v>293</v>
      </c>
      <c r="F11" s="90">
        <f>QUOTE!I51</f>
        <v>189832.50000000003</v>
      </c>
      <c r="G11" s="90">
        <f>QUOTE!F51</f>
        <v>141428.57142857145</v>
      </c>
      <c r="H11" s="91">
        <f>QUOTE!J51</f>
        <v>6779.732142857144</v>
      </c>
    </row>
    <row r="12" spans="2:8" x14ac:dyDescent="0.2">
      <c r="B12" s="55" t="s">
        <v>178</v>
      </c>
      <c r="C12" s="77" t="s">
        <v>291</v>
      </c>
      <c r="D12" s="77" t="s">
        <v>292</v>
      </c>
      <c r="E12" s="77" t="s">
        <v>293</v>
      </c>
      <c r="F12" s="90">
        <f>QUOTE!I52</f>
        <v>237290.625</v>
      </c>
      <c r="G12" s="90">
        <f>QUOTE!F52</f>
        <v>176785.71428571429</v>
      </c>
      <c r="H12" s="91">
        <f>QUOTE!J52</f>
        <v>8474.6651785714294</v>
      </c>
    </row>
    <row r="13" spans="2:8" x14ac:dyDescent="0.2">
      <c r="B13" s="11"/>
      <c r="C13" s="48"/>
      <c r="D13" s="48"/>
      <c r="E13" s="4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1762-6244-4639-9652-E0305AB68D0F}">
  <sheetPr>
    <tabColor theme="4"/>
  </sheetPr>
  <dimension ref="C1:R80"/>
  <sheetViews>
    <sheetView showGridLines="0" zoomScale="142" zoomScaleNormal="130" workbookViewId="0">
      <selection activeCell="F12" sqref="F12"/>
    </sheetView>
  </sheetViews>
  <sheetFormatPr baseColWidth="10" defaultColWidth="26.33203125" defaultRowHeight="17" customHeight="1" x14ac:dyDescent="0.15"/>
  <cols>
    <col min="1" max="3" width="2.83203125" style="113" customWidth="1"/>
    <col min="4" max="4" width="23.5" style="113" customWidth="1"/>
    <col min="5" max="5" width="45.5" style="113" customWidth="1"/>
    <col min="6" max="6" width="36.5" style="113" customWidth="1"/>
    <col min="7" max="7" width="15.83203125" style="114" bestFit="1" customWidth="1"/>
    <col min="8" max="8" width="12.83203125" style="114" customWidth="1"/>
    <col min="9" max="9" width="5.1640625" style="114" bestFit="1" customWidth="1"/>
    <col min="10" max="10" width="11.5" style="114" bestFit="1" customWidth="1"/>
    <col min="11" max="11" width="19.6640625" style="114" customWidth="1"/>
    <col min="12" max="12" width="19" style="114" customWidth="1"/>
    <col min="13" max="15" width="26.33203125" style="114" customWidth="1"/>
    <col min="16" max="16" width="26.33203125" style="113" customWidth="1"/>
    <col min="17" max="16384" width="26.33203125" style="113"/>
  </cols>
  <sheetData>
    <row r="1" spans="4:15" ht="18" customHeight="1" x14ac:dyDescent="0.15">
      <c r="G1" s="113"/>
      <c r="H1" s="113"/>
      <c r="I1" s="113"/>
      <c r="J1" s="113"/>
      <c r="K1" s="113"/>
      <c r="L1" s="113"/>
      <c r="M1" s="113"/>
      <c r="N1" s="113"/>
      <c r="O1" s="113"/>
    </row>
    <row r="2" spans="4:15" ht="18" customHeight="1" x14ac:dyDescent="0.15">
      <c r="D2" s="163" t="s">
        <v>249</v>
      </c>
      <c r="E2" s="163" t="s">
        <v>249</v>
      </c>
      <c r="F2" s="164" t="s">
        <v>248</v>
      </c>
    </row>
    <row r="3" spans="4:15" ht="18" customHeight="1" x14ac:dyDescent="0.15">
      <c r="E3" s="115" t="s">
        <v>250</v>
      </c>
      <c r="F3" s="165">
        <f>F4*G3</f>
        <v>15675</v>
      </c>
      <c r="G3" s="166">
        <v>2750</v>
      </c>
      <c r="J3" s="121"/>
      <c r="K3" s="121"/>
    </row>
    <row r="4" spans="4:15" ht="18" customHeight="1" x14ac:dyDescent="0.15">
      <c r="E4" s="115" t="s">
        <v>170</v>
      </c>
      <c r="F4" s="167">
        <v>5.7</v>
      </c>
      <c r="G4" s="168"/>
      <c r="J4" s="121"/>
      <c r="K4" s="121"/>
    </row>
    <row r="5" spans="4:15" ht="18" customHeight="1" x14ac:dyDescent="0.15">
      <c r="E5" s="115" t="s">
        <v>213</v>
      </c>
      <c r="F5" s="169">
        <v>0.15</v>
      </c>
      <c r="G5" s="121"/>
      <c r="J5" s="121"/>
      <c r="K5" s="121"/>
    </row>
    <row r="6" spans="4:15" ht="18" customHeight="1" x14ac:dyDescent="0.15">
      <c r="E6" s="115" t="s">
        <v>64</v>
      </c>
      <c r="F6" s="169">
        <v>0.15</v>
      </c>
      <c r="G6" s="121"/>
      <c r="J6" s="121"/>
      <c r="K6" s="121"/>
    </row>
    <row r="7" spans="4:15" ht="18" customHeight="1" x14ac:dyDescent="0.15">
      <c r="E7" s="115" t="s">
        <v>214</v>
      </c>
      <c r="F7" s="169">
        <v>0.15</v>
      </c>
      <c r="G7" s="121"/>
      <c r="J7" s="154"/>
      <c r="K7" s="121"/>
      <c r="M7" s="101"/>
    </row>
    <row r="8" spans="4:15" ht="18" customHeight="1" x14ac:dyDescent="0.15">
      <c r="E8" s="115" t="s">
        <v>375</v>
      </c>
      <c r="F8" s="169">
        <v>0.15</v>
      </c>
      <c r="G8" s="121"/>
      <c r="J8" s="121"/>
      <c r="K8" s="121"/>
    </row>
    <row r="9" spans="4:15" ht="18" customHeight="1" x14ac:dyDescent="0.15">
      <c r="E9" s="115" t="str">
        <f>F19</f>
        <v>Gold standard trials</v>
      </c>
      <c r="F9" s="170">
        <f>(IF(F19="Retrospective",0,IF(F19="Prospective data collection",0,IF(F19="Systematic review",0,IF(F19="RWE, phase IV, pharmacovigilance",5,IF(F19="Post-Market Study",5,IF(F19="Comparability studies",15,IF(F19="Gold standard trials",20,IF(F19="Expanded access",25,IF(F19="Compassionate use",30,IF(F19="PTA",35,IF(F19="First-in-human &amp; early-phased trials",40,IF(F19="Adaptative",40,0)))))))))))))/100</f>
        <v>0.2</v>
      </c>
      <c r="G9" s="121"/>
      <c r="J9" s="121"/>
      <c r="K9" s="121"/>
    </row>
    <row r="10" spans="4:15" ht="18" customHeight="1" x14ac:dyDescent="0.15">
      <c r="E10" s="115" t="str">
        <f>F20</f>
        <v>II</v>
      </c>
      <c r="F10" s="170">
        <f>IF(F21=INPUTS!O21,INPUTS!P21,IF(F21=INPUTS!O22,INPUTS!P22,IF(F155=INPUTS!O23,INPUTS!P23,IF(F21=INPUTS!O24,INPUTS!P24,IF(F21=INPUTS!O25,INPUTS!P25,IF(F21=INPUTS!O26,INPUTS!P26,IF(F21=INPUTS!O27,INPUTS!P27,IF(F21=INPUTS!O28,INPUTS!P28,IF(F21=INPUTS!O29,INPUTS!P29,INPUTS!P30)))))))))</f>
        <v>0.3</v>
      </c>
      <c r="G10" s="121"/>
      <c r="J10" s="121"/>
      <c r="K10" s="121"/>
    </row>
    <row r="11" spans="4:15" ht="18" customHeight="1" x14ac:dyDescent="0.15">
      <c r="E11" s="115" t="s">
        <v>376</v>
      </c>
      <c r="F11" s="170">
        <f>(IF(F33&lt;50,0,IF(AND(F33&lt;=60,F33&gt;=51),5,IF(AND(F33&lt;=75,F33&gt;=61),10,IF(AND(F33&lt;=90,F33&gt;=76),20,IF(AND(F33&lt;=110,F33&gt;=91),26,IF(AND(F33&lt;=127,F33&gt;=111),31.2,IF(AND(F33&lt;=145,F33&gt;=128),37.44,IF(AND(F33&lt;=167,F33&gt;=146),41.93,IF(AND(F33&lt;=184,F33&gt;=168),46.96,IF(AND(F33&lt;=202,F33&gt;=185),50.72,IF(AND(F33&lt;=223,F33&gt;=203),51.74,IF(AND(F33&lt;=245,F33&gt;=224),52.77,IF(AND(F33&lt;=269,F33&gt;=246),53.83,IF(AND(F33&lt;=288,F33&gt;=270),54.9,IF(AND(F33&lt;=308,F33&gt;=289),56,IF(AND(F33&lt;=324,F33&gt;=309),57.12,IF(AND(F33&lt;=340,F33&gt;=325),58.26,IF(AND(F33&lt;=357,F33&gt;=341),59.43,IF(AND(F33&lt;=375,F33&gt;=358),60.62,IF(AND(F33&lt;=394,F33&gt;=376),91.83,IF(AND(F33&lt;=413,F33&gt;=395),63.07,IF(AND(F33&lt;=434,F33&gt;=414),64.33,IF(AND(F33&lt;=456,F33&gt;=435),65.61,IF(AND(F33&lt;=479,F33&gt;=457),66.93,IF(AND(F33&lt;=502,F33&gt;=480),67.73,IF(AND(F33&lt;=528,F33&gt;=503),68.54,IF(AND(F33&lt;=554,F33&gt;=529),69.36,IF(AND(F33&lt;=582,F33&gt;=555),70.2,IF(AND(F33&lt;=611,F33&gt;=583),71.04,IF(AND(F33&lt;=641,F33&gt;=612),71.89,IF(AND(F33&lt;=673,F33&gt;=642),72.75,IF(AND(F33&lt;=707,F33&gt;=674),73.63,IF(AND(F33&lt;=742,F33&gt;=708),74.51,IF(AND(F33&lt;=779,F33&gt;=743),75.41,IF(AND(F33&lt;=818,F33&gt;=780),76.31,IF(AND(F33&lt;=859,F33&gt;=819),77.23,IF(AND(F33&lt;=902,F33&gt;=860),78.15,IF(AND(F33&lt;=947,F33&gt;=903),79.09,IF(AND(F33&lt;=995,F33&gt;=948),79.88,IF(AND(F33&lt;=1045,F33&gt;=996),80.68,IF(AND(F33&lt;=1097,F33&gt;=1046),81.49,IF(AND(F33&lt;=1152,F33&gt;=1098),82.3,IF(AND(F33&lt;=1209,F33&gt;=1153),83.13,IF(AND(F33&lt;=1270,F33&gt;=1210),83.96,IF(AND(F33&lt;=1333,F33&gt;=1271),84.8,IF(AND(F33&lt;=1400,F33&gt;=1334),85.64,IF(AND(F33&lt;=1470,F33&gt;=1401),86.5,IF(AND(F33&lt;=1543,F33&gt;=1471),83.37,IF(AND(F33&lt;=1621,F33&gt;=1544),88.24,IF(AND(F33&lt;=1702,F33&gt;=1622),89.12,IF(AND(F33&lt;=1787,F33&gt;=1703),90.01,IF(AND(F33&lt;=1876,F33&gt;=1788),90.91,IF(AND(F33&lt;=1970,F33&gt;=1877),91.82,IF(AND(F33&lt;=2068,F33&gt;=1971),92.46,IF(AND(F33&lt;=2172,F33&gt;=2069),93.11,IF(AND(F33&lt;=2280,F33&gt;=2173),93.76,IF(AND(F33&lt;=2394,F33&gt;=2281),94.42,IF(AND(F33&lt;=2514,F33&gt;=2395),95,IF(AND(F33&lt;=6670,F33&gt;=2515),96,IF(AND(F33&lt;=8513,F33&gt;=6671),97,IF(F33&gt;=8514,98,0))))))))))))))))))))))))))))))))))))))))))))))))))))))))))))))/100</f>
        <v>0.56000000000000005</v>
      </c>
      <c r="J11" s="121"/>
      <c r="K11" s="121"/>
    </row>
    <row r="12" spans="4:15" ht="18" customHeight="1" x14ac:dyDescent="0.15">
      <c r="E12" s="115" t="s">
        <v>259</v>
      </c>
      <c r="F12" s="171">
        <f>($F$15*$F$33*(E59/1000000))*F4</f>
        <v>124296.48</v>
      </c>
      <c r="G12" s="121"/>
      <c r="J12" s="121"/>
      <c r="K12" s="121"/>
    </row>
    <row r="13" spans="4:15" ht="18" customHeight="1" x14ac:dyDescent="0.15">
      <c r="E13" s="115"/>
      <c r="F13" s="171">
        <f>($F$15*$F$33*(E59/1000000))*F4</f>
        <v>124296.48</v>
      </c>
      <c r="G13" s="121"/>
      <c r="H13" s="121"/>
      <c r="I13" s="121"/>
      <c r="J13" s="121"/>
      <c r="K13" s="121"/>
    </row>
    <row r="14" spans="4:15" ht="18" customHeight="1" x14ac:dyDescent="0.15">
      <c r="E14" s="115" t="s">
        <v>320</v>
      </c>
      <c r="F14" s="172">
        <f>F13/F33</f>
        <v>414.32159999999999</v>
      </c>
      <c r="G14" s="173" t="e">
        <f>#REF!/F33</f>
        <v>#REF!</v>
      </c>
      <c r="H14" s="121"/>
      <c r="I14" s="121"/>
      <c r="J14" s="121"/>
      <c r="K14" s="121"/>
    </row>
    <row r="15" spans="4:15" ht="18" customHeight="1" x14ac:dyDescent="0.15">
      <c r="E15" s="115" t="s">
        <v>260</v>
      </c>
      <c r="F15" s="157">
        <f>((((SUM(G19:G29)*(1-F11))*(1-F9))*(1-F10)))</f>
        <v>72.687999999999988</v>
      </c>
      <c r="G15" s="121"/>
      <c r="H15" s="121"/>
      <c r="I15" s="121"/>
      <c r="J15" s="121"/>
      <c r="K15" s="121"/>
    </row>
    <row r="16" spans="4:15" ht="18" customHeight="1" x14ac:dyDescent="0.15">
      <c r="F16" s="159"/>
      <c r="G16" s="121"/>
      <c r="H16" s="121"/>
      <c r="I16" s="121"/>
      <c r="J16" s="121"/>
      <c r="K16" s="121"/>
    </row>
    <row r="17" spans="4:18" ht="14" x14ac:dyDescent="0.15">
      <c r="F17" s="159"/>
      <c r="G17" s="121"/>
      <c r="H17" s="121"/>
      <c r="I17" s="121"/>
      <c r="J17" s="121"/>
      <c r="K17" s="121"/>
    </row>
    <row r="18" spans="4:18" ht="17" customHeight="1" x14ac:dyDescent="0.15">
      <c r="D18" s="118" t="s">
        <v>254</v>
      </c>
      <c r="E18" s="119" t="s">
        <v>247</v>
      </c>
      <c r="F18" s="119" t="s">
        <v>248</v>
      </c>
      <c r="G18" s="119" t="s">
        <v>321</v>
      </c>
      <c r="H18" s="145"/>
      <c r="I18" s="145"/>
    </row>
    <row r="19" spans="4:18" ht="17" customHeight="1" x14ac:dyDescent="0.15">
      <c r="E19" s="125" t="s">
        <v>239</v>
      </c>
      <c r="F19" s="125" t="s">
        <v>347</v>
      </c>
      <c r="G19" s="132">
        <f>IF(F19="Retrospective",0,IF(F19="Prospective data collection",0,IF(F19="Systematic review",0,IF(F19="RWE, phase IV, pharmacovigilance",5,IF(F19="Post-Market Study",5,IF(F19="Comparability studies",15,IF(F19="Gold standard trials",20,IF(F19="Expanded access",25,IF(F19="Compassionate use",30,IF(F19="PTA",35,IF(F19="First-in-human &amp; early-phase",40,IF(F19="Adaptative",40,IF(F19="Other",25,0)))))))))))))</f>
        <v>20</v>
      </c>
      <c r="H19" s="132"/>
      <c r="I19" s="120"/>
    </row>
    <row r="20" spans="4:18" ht="17" customHeight="1" x14ac:dyDescent="0.15">
      <c r="E20" s="124" t="s">
        <v>322</v>
      </c>
      <c r="F20" s="124" t="s">
        <v>79</v>
      </c>
      <c r="G20" s="137">
        <f>IF(F20=INPUTS!J5,INPUTS!K5,IF(F20=INPUTS!J6,INPUTS!K6,(IF(F20=INPUTS!J7,INPUTS!K7,IF(F20=INPUTS!J8,INPUTS!K8,IF(F20=INPUTS!J9,INPUTS!K9,IF(F20=INPUTS!J10,INPUTS!K10,IF(F20=INPUTS!J11,INPUTS!K11,IF(F20=INPUTS!J12,INPUTS!K12,INPUTS!K13)))))))))</f>
        <v>35</v>
      </c>
      <c r="H20" s="138"/>
      <c r="I20" s="120"/>
    </row>
    <row r="21" spans="4:18" ht="17" customHeight="1" x14ac:dyDescent="0.15">
      <c r="E21" s="125" t="s">
        <v>240</v>
      </c>
      <c r="F21" s="125" t="s">
        <v>306</v>
      </c>
      <c r="G21" s="138">
        <f>IF(F21=INPUTS!O5,INPUTS!P5,IF(F21=INPUTS!O6,INPUTS!P6,IF(F21=INPUTS!O7,INPUTS!P7,IF(F21=INPUTS!O8,INPUTS!P8,IF(F21=INPUTS!O9,INPUTS!P9,IF(F21=INPUTS!O10,INPUTS!P10,IF(F21=INPUTS!O11,INPUTS!P11,IF(F21=INPUTS!O12,INPUTS!P12,IF(F21=INPUTS!P13,,IF(F21=INPUTS!O13,INPUTS!P13,IF(F21=INPUTS!O14,INPUTS!P14,INPUTS!P15)))))))))))</f>
        <v>20</v>
      </c>
      <c r="H21" s="138"/>
      <c r="I21" s="120"/>
    </row>
    <row r="22" spans="4:18" ht="17" customHeight="1" x14ac:dyDescent="0.15">
      <c r="E22" s="124" t="s">
        <v>364</v>
      </c>
      <c r="F22" s="124" t="s">
        <v>361</v>
      </c>
      <c r="G22" s="137">
        <f>IF(F22="Nutrition",5,IF(F22="Dermatological",7,IF(F22="Muscular",9,IF(F22="Mental and behavioral disorders",13,IF(F22="Ophthalmology",15,IF(F22="Gastrointestinal",15,IF(F22="Endocrinology",15,IF(F22="Respiratory Ds",20,IF(F22="Infectious Ds",25,IF(F22="Genitourinary",30,IF(F22="Oncology",35,IF(F22="Neurology",40,IF(F22="Heart Ds",45,25)))))))))))))</f>
        <v>35</v>
      </c>
      <c r="H22" s="138"/>
      <c r="I22" s="120"/>
    </row>
    <row r="23" spans="4:18" ht="17" customHeight="1" x14ac:dyDescent="0.2">
      <c r="E23" s="125" t="s">
        <v>241</v>
      </c>
      <c r="F23" s="125" t="s">
        <v>302</v>
      </c>
      <c r="G23" s="138">
        <f>IF(F23="Yes",15,0)</f>
        <v>15</v>
      </c>
      <c r="H23" s="138"/>
      <c r="I23" s="120"/>
      <c r="J23" s="175"/>
      <c r="K23" s="176"/>
    </row>
    <row r="24" spans="4:18" ht="17" customHeight="1" x14ac:dyDescent="0.2">
      <c r="E24" s="124" t="s">
        <v>242</v>
      </c>
      <c r="F24" s="124" t="s">
        <v>182</v>
      </c>
      <c r="G24" s="137">
        <f>IF(F24="Healthy",15,0)</f>
        <v>0</v>
      </c>
      <c r="H24" s="138"/>
      <c r="I24" s="120"/>
      <c r="J24" s="175"/>
      <c r="K24" s="176"/>
      <c r="R24" s="123"/>
    </row>
    <row r="25" spans="4:18" ht="17" customHeight="1" x14ac:dyDescent="0.2">
      <c r="E25" s="125" t="s">
        <v>370</v>
      </c>
      <c r="F25" s="125" t="s">
        <v>380</v>
      </c>
      <c r="G25" s="138">
        <f>IF(F25="Systemic",45,0)</f>
        <v>45</v>
      </c>
      <c r="H25" s="138"/>
      <c r="I25" s="120"/>
      <c r="J25" s="175"/>
      <c r="K25" s="176"/>
      <c r="R25" s="123"/>
    </row>
    <row r="26" spans="4:18" ht="17" customHeight="1" x14ac:dyDescent="0.2">
      <c r="E26" s="124" t="s">
        <v>368</v>
      </c>
      <c r="F26" s="124" t="s">
        <v>381</v>
      </c>
      <c r="G26" s="137">
        <f>IF(F26="Chronic",45,0)</f>
        <v>45</v>
      </c>
      <c r="H26" s="138"/>
      <c r="I26" s="120"/>
      <c r="J26" s="175"/>
      <c r="K26" s="176"/>
      <c r="R26" s="123"/>
    </row>
    <row r="27" spans="4:18" ht="17" customHeight="1" x14ac:dyDescent="0.2">
      <c r="E27" s="125" t="s">
        <v>369</v>
      </c>
      <c r="F27" s="125" t="s">
        <v>378</v>
      </c>
      <c r="G27" s="138">
        <f>IF(F27="Several",25,0)</f>
        <v>25</v>
      </c>
      <c r="H27" s="138"/>
      <c r="I27" s="120"/>
      <c r="J27" s="175"/>
      <c r="K27" s="176"/>
      <c r="R27" s="123"/>
    </row>
    <row r="28" spans="4:18" ht="17" customHeight="1" x14ac:dyDescent="0.2">
      <c r="E28" s="147" t="s">
        <v>246</v>
      </c>
      <c r="F28" s="147">
        <v>60</v>
      </c>
      <c r="G28" s="148">
        <f>IF(F28&lt;12,0,IF(AND(F28&lt;=24,F28&gt;=13),10,IF(F28&gt;=25,20,0)))</f>
        <v>20</v>
      </c>
      <c r="H28" s="138"/>
      <c r="I28" s="120"/>
      <c r="J28" s="175"/>
      <c r="K28" s="176"/>
      <c r="R28" s="123"/>
    </row>
    <row r="29" spans="4:18" ht="17" customHeight="1" x14ac:dyDescent="0.2">
      <c r="E29" s="125" t="s">
        <v>371</v>
      </c>
      <c r="F29" s="125" t="s">
        <v>302</v>
      </c>
      <c r="G29" s="138">
        <f>IF(F29="Yes",35,0)</f>
        <v>35</v>
      </c>
      <c r="H29" s="138"/>
      <c r="J29" s="175"/>
      <c r="K29" s="176"/>
    </row>
    <row r="30" spans="4:18" ht="17" customHeight="1" x14ac:dyDescent="0.2">
      <c r="E30" s="126"/>
      <c r="F30" s="127" t="s">
        <v>261</v>
      </c>
      <c r="G30" s="139">
        <f>SUM(G19:G29)</f>
        <v>295</v>
      </c>
      <c r="H30" s="146"/>
      <c r="I30" s="120"/>
      <c r="J30" s="175"/>
      <c r="K30" s="176"/>
    </row>
    <row r="31" spans="4:18" ht="17" customHeight="1" x14ac:dyDescent="0.2">
      <c r="E31" s="117"/>
      <c r="F31" s="120"/>
      <c r="G31" s="120"/>
      <c r="H31" s="120"/>
      <c r="I31" s="120"/>
      <c r="J31" s="175"/>
      <c r="K31" s="176"/>
    </row>
    <row r="32" spans="4:18" ht="17" customHeight="1" x14ac:dyDescent="0.2">
      <c r="D32" s="118" t="s">
        <v>247</v>
      </c>
      <c r="E32" s="116" t="s">
        <v>247</v>
      </c>
      <c r="F32" s="119" t="s">
        <v>248</v>
      </c>
      <c r="G32" s="119" t="s">
        <v>257</v>
      </c>
      <c r="H32" s="145"/>
      <c r="J32" s="175"/>
      <c r="K32" s="176"/>
    </row>
    <row r="33" spans="3:15" ht="17" customHeight="1" x14ac:dyDescent="0.15">
      <c r="E33" s="115" t="s">
        <v>334</v>
      </c>
      <c r="F33" s="160">
        <v>300</v>
      </c>
      <c r="G33" s="113"/>
      <c r="H33" s="156"/>
      <c r="I33" s="120"/>
    </row>
    <row r="34" spans="3:15" ht="14" x14ac:dyDescent="0.15">
      <c r="E34" s="115" t="s">
        <v>239</v>
      </c>
      <c r="H34" s="156"/>
      <c r="I34" s="120"/>
    </row>
    <row r="35" spans="3:15" ht="14" x14ac:dyDescent="0.15">
      <c r="E35" s="115" t="s">
        <v>240</v>
      </c>
      <c r="H35" s="156"/>
      <c r="J35" s="145"/>
      <c r="K35" s="113"/>
    </row>
    <row r="36" spans="3:15" ht="14" x14ac:dyDescent="0.15">
      <c r="E36" s="177" t="s">
        <v>154</v>
      </c>
      <c r="H36" s="157"/>
      <c r="I36" s="113"/>
      <c r="J36" s="155"/>
      <c r="K36" s="113"/>
      <c r="N36" s="140"/>
    </row>
    <row r="37" spans="3:15" ht="17" customHeight="1" x14ac:dyDescent="0.15">
      <c r="E37" s="117"/>
      <c r="F37" s="120"/>
      <c r="G37" s="120"/>
      <c r="H37" s="120"/>
      <c r="I37" s="120"/>
      <c r="J37" s="120"/>
      <c r="K37" s="149"/>
      <c r="N37" s="140"/>
      <c r="O37" s="140"/>
    </row>
    <row r="38" spans="3:15" ht="17" customHeight="1" x14ac:dyDescent="0.15">
      <c r="D38" s="118" t="s">
        <v>323</v>
      </c>
      <c r="E38" s="143"/>
      <c r="F38" s="144"/>
      <c r="G38" s="144"/>
      <c r="H38" s="120"/>
      <c r="I38" s="120"/>
      <c r="J38" s="120"/>
      <c r="K38" s="149"/>
      <c r="N38" s="140"/>
      <c r="O38" s="140"/>
    </row>
    <row r="39" spans="3:15" ht="17" customHeight="1" x14ac:dyDescent="0.15">
      <c r="G39" s="113"/>
      <c r="H39" s="113"/>
      <c r="I39" s="113"/>
      <c r="J39" s="113"/>
      <c r="K39" s="113"/>
      <c r="N39" s="140"/>
      <c r="O39" s="140"/>
    </row>
    <row r="40" spans="3:15" ht="17" customHeight="1" x14ac:dyDescent="0.15">
      <c r="F40" s="113" t="s">
        <v>324</v>
      </c>
      <c r="G40" s="113">
        <v>55</v>
      </c>
      <c r="H40" s="113"/>
      <c r="I40" s="113"/>
      <c r="J40" s="113"/>
      <c r="K40" s="113"/>
      <c r="N40" s="140"/>
      <c r="O40" s="140"/>
    </row>
    <row r="41" spans="3:15" ht="17" customHeight="1" x14ac:dyDescent="0.15">
      <c r="F41" s="113" t="s">
        <v>326</v>
      </c>
      <c r="G41" s="113">
        <v>55</v>
      </c>
      <c r="H41" s="113"/>
      <c r="I41" s="113"/>
      <c r="J41" s="113"/>
      <c r="K41" s="113"/>
      <c r="N41" s="140"/>
      <c r="O41" s="140"/>
    </row>
    <row r="42" spans="3:15" ht="17" customHeight="1" x14ac:dyDescent="0.15">
      <c r="C42" s="150"/>
      <c r="D42" s="113" t="s">
        <v>373</v>
      </c>
      <c r="F42" s="113" t="s">
        <v>325</v>
      </c>
      <c r="G42" s="113">
        <v>115</v>
      </c>
      <c r="H42" s="113"/>
      <c r="I42" s="113"/>
      <c r="J42" s="113"/>
      <c r="K42" s="113"/>
      <c r="N42" s="140"/>
      <c r="O42" s="140"/>
    </row>
    <row r="43" spans="3:15" ht="17" customHeight="1" x14ac:dyDescent="0.15">
      <c r="C43" s="151"/>
      <c r="D43" s="113" t="s">
        <v>372</v>
      </c>
      <c r="F43" s="113" t="s">
        <v>328</v>
      </c>
      <c r="G43" s="113">
        <v>145</v>
      </c>
      <c r="H43" s="113"/>
      <c r="I43" s="113"/>
      <c r="J43" s="113"/>
      <c r="K43" s="113"/>
      <c r="N43" s="140"/>
      <c r="O43" s="140"/>
    </row>
    <row r="44" spans="3:15" ht="17" customHeight="1" x14ac:dyDescent="0.15">
      <c r="C44" s="152"/>
      <c r="D44" s="113" t="s">
        <v>374</v>
      </c>
      <c r="F44" s="113" t="s">
        <v>327</v>
      </c>
      <c r="G44" s="113">
        <f>SUM(G40:G43)</f>
        <v>370</v>
      </c>
      <c r="H44" s="113"/>
      <c r="I44" s="113"/>
      <c r="J44" s="113"/>
      <c r="K44" s="113"/>
      <c r="N44" s="140"/>
      <c r="O44" s="140"/>
    </row>
    <row r="45" spans="3:15" ht="17" customHeight="1" x14ac:dyDescent="0.15">
      <c r="C45" s="153"/>
      <c r="D45" s="113" t="s">
        <v>377</v>
      </c>
      <c r="F45" s="113" t="s">
        <v>332</v>
      </c>
      <c r="G45" s="113">
        <f>G30</f>
        <v>295</v>
      </c>
      <c r="H45" s="113"/>
      <c r="I45" s="113"/>
      <c r="J45" s="113"/>
      <c r="K45" s="113"/>
      <c r="N45" s="140"/>
      <c r="O45" s="140"/>
    </row>
    <row r="46" spans="3:15" ht="17" customHeight="1" x14ac:dyDescent="0.15">
      <c r="G46" s="113"/>
      <c r="H46" s="113"/>
      <c r="I46" s="113"/>
      <c r="J46" s="113"/>
      <c r="K46" s="113"/>
      <c r="N46" s="140"/>
      <c r="O46" s="140"/>
    </row>
    <row r="47" spans="3:15" ht="17" customHeight="1" x14ac:dyDescent="0.15">
      <c r="F47" s="113" t="s">
        <v>330</v>
      </c>
      <c r="G47" s="113">
        <f>G45-K38/2</f>
        <v>295</v>
      </c>
      <c r="H47" s="113"/>
      <c r="I47" s="113"/>
      <c r="J47" s="113"/>
      <c r="K47" s="113"/>
      <c r="N47" s="140"/>
      <c r="O47" s="140"/>
    </row>
    <row r="48" spans="3:15" ht="17" customHeight="1" x14ac:dyDescent="0.15">
      <c r="F48" s="113" t="s">
        <v>329</v>
      </c>
      <c r="G48" s="113">
        <v>4</v>
      </c>
      <c r="H48" s="113"/>
      <c r="I48" s="113"/>
      <c r="J48" s="113"/>
      <c r="K48" s="113"/>
      <c r="N48" s="140"/>
      <c r="O48" s="140"/>
    </row>
    <row r="49" spans="4:15" ht="17" customHeight="1" x14ac:dyDescent="0.15">
      <c r="F49" s="113" t="s">
        <v>331</v>
      </c>
      <c r="G49" s="113">
        <f>SUM(G40:G44)-G47-G48</f>
        <v>441</v>
      </c>
      <c r="H49" s="113"/>
      <c r="I49" s="113"/>
      <c r="J49" s="113"/>
      <c r="K49" s="113"/>
      <c r="N49" s="140"/>
      <c r="O49" s="140"/>
    </row>
    <row r="50" spans="4:15" ht="17" customHeight="1" x14ac:dyDescent="0.15">
      <c r="G50" s="113"/>
      <c r="H50" s="113"/>
      <c r="I50" s="113"/>
      <c r="J50" s="113"/>
      <c r="K50" s="113"/>
      <c r="N50" s="140"/>
      <c r="O50" s="140"/>
    </row>
    <row r="51" spans="4:15" ht="17" customHeight="1" x14ac:dyDescent="0.15">
      <c r="G51" s="113"/>
      <c r="H51" s="113"/>
      <c r="I51" s="113"/>
      <c r="J51" s="113"/>
      <c r="K51" s="113"/>
      <c r="O51" s="140"/>
    </row>
    <row r="52" spans="4:15" ht="17" customHeight="1" x14ac:dyDescent="0.15">
      <c r="G52" s="113"/>
      <c r="H52" s="113"/>
      <c r="I52" s="113"/>
      <c r="J52" s="113"/>
      <c r="K52" s="113"/>
      <c r="O52" s="140"/>
    </row>
    <row r="53" spans="4:15" ht="17" customHeight="1" x14ac:dyDescent="0.15">
      <c r="D53" s="118" t="s">
        <v>333</v>
      </c>
      <c r="E53" s="122" t="s">
        <v>265</v>
      </c>
      <c r="F53" s="122" t="s">
        <v>270</v>
      </c>
      <c r="G53" s="122" t="s">
        <v>271</v>
      </c>
      <c r="H53" s="122" t="s">
        <v>207</v>
      </c>
      <c r="J53" s="121"/>
      <c r="K53" s="121"/>
    </row>
    <row r="54" spans="4:15" ht="17" customHeight="1" x14ac:dyDescent="0.15">
      <c r="E54" s="174">
        <v>10000000</v>
      </c>
      <c r="F54" s="161">
        <f>F59*3.5</f>
        <v>790977.59999999986</v>
      </c>
      <c r="G54" s="161">
        <f t="shared" ref="G54:G59" si="0">F54/$F$33</f>
        <v>2636.5919999999996</v>
      </c>
      <c r="H54" s="162">
        <f>F54/E54</f>
        <v>7.9097759999999989E-2</v>
      </c>
      <c r="I54" s="114" t="s">
        <v>379</v>
      </c>
      <c r="J54" s="161">
        <f>F54/$F$4</f>
        <v>138767.99999999997</v>
      </c>
      <c r="K54" s="180">
        <f>E54</f>
        <v>10000000</v>
      </c>
    </row>
    <row r="55" spans="4:15" ht="17" customHeight="1" x14ac:dyDescent="0.15">
      <c r="E55" s="174">
        <v>7000000</v>
      </c>
      <c r="F55" s="161">
        <f>F59*3.1</f>
        <v>700580.15999999992</v>
      </c>
      <c r="G55" s="161">
        <f t="shared" si="0"/>
        <v>2335.2671999999998</v>
      </c>
      <c r="H55" s="162">
        <f t="shared" ref="H55:H59" si="1">F55/E55</f>
        <v>0.10008287999999999</v>
      </c>
      <c r="I55" s="114" t="s">
        <v>379</v>
      </c>
      <c r="J55" s="161">
        <f t="shared" ref="J55:J59" si="2">F55/$F$4</f>
        <v>122908.79999999999</v>
      </c>
      <c r="K55" s="180">
        <f t="shared" ref="K55:K59" si="3">E55</f>
        <v>7000000</v>
      </c>
    </row>
    <row r="56" spans="4:15" ht="17" customHeight="1" x14ac:dyDescent="0.15">
      <c r="E56" s="174">
        <v>5000000</v>
      </c>
      <c r="F56" s="161">
        <f>F59*2.8</f>
        <v>632782.07999999984</v>
      </c>
      <c r="G56" s="161">
        <f t="shared" si="0"/>
        <v>2109.2735999999995</v>
      </c>
      <c r="H56" s="162">
        <f t="shared" si="1"/>
        <v>0.12655641599999998</v>
      </c>
      <c r="I56" s="114" t="s">
        <v>379</v>
      </c>
      <c r="J56" s="161">
        <f t="shared" si="2"/>
        <v>111014.39999999997</v>
      </c>
      <c r="K56" s="180">
        <f t="shared" si="3"/>
        <v>5000000</v>
      </c>
    </row>
    <row r="57" spans="4:15" ht="17" customHeight="1" x14ac:dyDescent="0.15">
      <c r="E57" s="174">
        <v>3000000</v>
      </c>
      <c r="F57" s="161">
        <f>F59*2.3</f>
        <v>519785.27999999991</v>
      </c>
      <c r="G57" s="161">
        <f t="shared" si="0"/>
        <v>1732.6175999999998</v>
      </c>
      <c r="H57" s="162">
        <f t="shared" si="1"/>
        <v>0.17326175999999996</v>
      </c>
      <c r="I57" s="114" t="s">
        <v>379</v>
      </c>
      <c r="J57" s="161">
        <f t="shared" si="2"/>
        <v>91190.39999999998</v>
      </c>
      <c r="K57" s="180">
        <f t="shared" si="3"/>
        <v>3000000</v>
      </c>
    </row>
    <row r="58" spans="4:15" ht="17" customHeight="1" x14ac:dyDescent="0.15">
      <c r="E58" s="174">
        <v>2000000</v>
      </c>
      <c r="F58" s="161">
        <f>F59*1.5</f>
        <v>338990.39999999997</v>
      </c>
      <c r="G58" s="161">
        <f t="shared" si="0"/>
        <v>1129.9679999999998</v>
      </c>
      <c r="H58" s="162">
        <f t="shared" si="1"/>
        <v>0.16949519999999998</v>
      </c>
      <c r="I58" s="114" t="s">
        <v>379</v>
      </c>
      <c r="J58" s="161">
        <f t="shared" si="2"/>
        <v>59471.999999999993</v>
      </c>
      <c r="K58" s="180">
        <f t="shared" si="3"/>
        <v>2000000</v>
      </c>
    </row>
    <row r="59" spans="4:15" ht="17" customHeight="1" x14ac:dyDescent="0.15">
      <c r="E59" s="174">
        <v>1000000</v>
      </c>
      <c r="F59" s="161">
        <f>(IF(F12&lt;F3,F3,F13))/0.55</f>
        <v>225993.59999999998</v>
      </c>
      <c r="G59" s="161">
        <f t="shared" si="0"/>
        <v>753.3119999999999</v>
      </c>
      <c r="H59" s="162">
        <f t="shared" si="1"/>
        <v>0.22599359999999999</v>
      </c>
      <c r="I59" s="114" t="s">
        <v>379</v>
      </c>
      <c r="J59" s="161">
        <f t="shared" si="2"/>
        <v>39647.999999999993</v>
      </c>
      <c r="K59" s="180">
        <f t="shared" si="3"/>
        <v>1000000</v>
      </c>
    </row>
    <row r="60" spans="4:15" ht="17" customHeight="1" x14ac:dyDescent="0.15">
      <c r="G60" s="113"/>
      <c r="H60" s="113"/>
      <c r="J60" s="121"/>
      <c r="K60" s="121"/>
    </row>
    <row r="61" spans="4:15" ht="25" customHeight="1" x14ac:dyDescent="0.15">
      <c r="E61" s="178">
        <f>G30</f>
        <v>295</v>
      </c>
      <c r="F61" s="114">
        <v>230</v>
      </c>
      <c r="G61" s="113"/>
      <c r="H61" s="113"/>
      <c r="J61" s="121"/>
      <c r="K61" s="121"/>
    </row>
    <row r="62" spans="4:15" ht="29" customHeight="1" x14ac:dyDescent="0.15">
      <c r="G62" s="113"/>
      <c r="H62" s="113"/>
      <c r="I62" s="113"/>
      <c r="K62" s="113"/>
    </row>
    <row r="63" spans="4:15" ht="17" customHeight="1" x14ac:dyDescent="0.15">
      <c r="E63" s="179"/>
      <c r="F63" s="71"/>
      <c r="G63" s="71"/>
      <c r="H63" s="71"/>
      <c r="K63" s="113"/>
    </row>
    <row r="64" spans="4:15" ht="17" customHeight="1" x14ac:dyDescent="0.15">
      <c r="G64" s="113"/>
      <c r="H64" s="113"/>
      <c r="I64" s="113"/>
      <c r="J64" s="113"/>
      <c r="K64" s="113"/>
    </row>
    <row r="65" spans="7:12" ht="17" customHeight="1" x14ac:dyDescent="0.15">
      <c r="G65" s="113"/>
      <c r="H65" s="113"/>
      <c r="I65" s="113"/>
      <c r="J65" s="113"/>
      <c r="K65" s="113"/>
    </row>
    <row r="66" spans="7:12" ht="17" customHeight="1" x14ac:dyDescent="0.15">
      <c r="G66" s="113"/>
      <c r="H66" s="113"/>
      <c r="I66" s="113"/>
      <c r="J66" s="113"/>
      <c r="K66" s="113"/>
    </row>
    <row r="67" spans="7:12" ht="17" customHeight="1" x14ac:dyDescent="0.15">
      <c r="G67" s="113"/>
      <c r="H67" s="113"/>
      <c r="I67" s="113"/>
      <c r="J67" s="113"/>
      <c r="K67" s="113"/>
    </row>
    <row r="68" spans="7:12" ht="17" customHeight="1" x14ac:dyDescent="0.15">
      <c r="G68" s="113"/>
      <c r="H68" s="113"/>
      <c r="I68" s="113"/>
      <c r="J68" s="113"/>
      <c r="K68" s="113"/>
    </row>
    <row r="69" spans="7:12" ht="17" customHeight="1" x14ac:dyDescent="0.15">
      <c r="G69" s="113"/>
      <c r="H69" s="113"/>
      <c r="I69" s="113"/>
      <c r="J69" s="113"/>
      <c r="K69" s="113"/>
    </row>
    <row r="70" spans="7:12" ht="17" customHeight="1" x14ac:dyDescent="0.15">
      <c r="G70" s="113"/>
      <c r="H70" s="113"/>
      <c r="I70" s="113"/>
      <c r="J70" s="113"/>
      <c r="K70" s="113"/>
    </row>
    <row r="71" spans="7:12" ht="17" customHeight="1" x14ac:dyDescent="0.15">
      <c r="G71" s="113"/>
      <c r="H71" s="113"/>
      <c r="I71" s="113"/>
      <c r="J71" s="113"/>
      <c r="K71" s="113"/>
    </row>
    <row r="72" spans="7:12" ht="17" customHeight="1" x14ac:dyDescent="0.15">
      <c r="G72" s="113"/>
      <c r="H72" s="113"/>
      <c r="I72" s="113"/>
      <c r="J72" s="113"/>
      <c r="K72" s="113"/>
    </row>
    <row r="73" spans="7:12" ht="17" customHeight="1" x14ac:dyDescent="0.15">
      <c r="G73" s="113"/>
      <c r="H73" s="113"/>
      <c r="I73" s="113"/>
      <c r="J73" s="113"/>
      <c r="K73" s="113"/>
    </row>
    <row r="74" spans="7:12" ht="17" customHeight="1" x14ac:dyDescent="0.15">
      <c r="G74" s="113"/>
      <c r="H74" s="113"/>
      <c r="I74" s="113"/>
      <c r="J74" s="113"/>
      <c r="K74" s="113"/>
    </row>
    <row r="75" spans="7:12" ht="17" customHeight="1" x14ac:dyDescent="0.15">
      <c r="G75" s="113"/>
      <c r="H75" s="113"/>
      <c r="I75" s="113"/>
      <c r="J75" s="113"/>
      <c r="K75" s="113"/>
    </row>
    <row r="76" spans="7:12" ht="17" customHeight="1" x14ac:dyDescent="0.15">
      <c r="G76" s="113"/>
      <c r="H76" s="113"/>
      <c r="I76" s="113"/>
      <c r="J76" s="113"/>
      <c r="K76" s="113"/>
    </row>
    <row r="77" spans="7:12" ht="17" customHeight="1" x14ac:dyDescent="0.15">
      <c r="G77" s="113"/>
      <c r="H77" s="113"/>
      <c r="I77" s="113"/>
      <c r="J77" s="113"/>
      <c r="K77" s="113"/>
    </row>
    <row r="78" spans="7:12" ht="17" customHeight="1" x14ac:dyDescent="0.15">
      <c r="G78" s="113"/>
      <c r="H78" s="113"/>
      <c r="I78" s="113"/>
      <c r="J78" s="113"/>
      <c r="K78" s="113"/>
    </row>
    <row r="79" spans="7:12" ht="17" customHeight="1" x14ac:dyDescent="0.15">
      <c r="G79" s="113"/>
      <c r="H79" s="113"/>
      <c r="I79" s="113"/>
      <c r="J79" s="113"/>
      <c r="K79" s="113"/>
      <c r="L79" s="158"/>
    </row>
    <row r="80" spans="7:12" ht="29" customHeight="1" x14ac:dyDescent="0.15"/>
  </sheetData>
  <conditionalFormatting sqref="G30:H30">
    <cfRule type="colorScale" priority="8">
      <colorScale>
        <cfvo type="num" val="0"/>
        <cfvo type="num" val="100"/>
        <cfvo type="num" val="345"/>
        <color rgb="FF92D050"/>
        <color rgb="FFFFEB84"/>
        <color rgb="FFFF0000"/>
      </colorScale>
    </cfRule>
  </conditionalFormatting>
  <dataValidations count="9">
    <dataValidation type="list" allowBlank="1" showInputMessage="1" showErrorMessage="1" sqref="F24" xr:uid="{BC923C0C-EF12-491E-AAE6-6D533FD9F0A2}">
      <formula1>"Sick, Healthy"</formula1>
    </dataValidation>
    <dataValidation type="list" allowBlank="1" showInputMessage="1" showErrorMessage="1" sqref="F23" xr:uid="{9C0B69A0-B178-4E4A-B7A9-BE0DF2025B3A}">
      <formula1>"Yes, No"</formula1>
    </dataValidation>
    <dataValidation type="list" allowBlank="1" showInputMessage="1" showErrorMessage="1" sqref="F20" xr:uid="{AB639919-FC90-4C8A-80CB-BCA496320E0D}">
      <formula1>"N/A, I, I/II, II, II/III, III, III/IV, IV, Other"</formula1>
    </dataValidation>
    <dataValidation type="list" allowBlank="1" showInputMessage="1" showErrorMessage="1" sqref="F19" xr:uid="{D010CC74-FC5F-8F44-BFCE-B6833E0C804A}">
      <formula1>"Retrospective, Prospective data collection, Systematic review, RWE &amp; phase IV &amp; pharmacovigilance, Post-Market Study, Comparability studies, Gold standard trials, Expanded access, Compassionate use, PTA, First-in-human &amp; early-phase, Adaptative, Other"</formula1>
    </dataValidation>
    <dataValidation type="list" allowBlank="1" showInputMessage="1" showErrorMessage="1" sqref="F22" xr:uid="{08223D92-70EE-674B-94D5-60F65CBCDC52}">
      <formula1>"Nutrition, Dermatological, Muscular, Mental and behavioral disorders, Ophthalmology, Gastrointestinal, Endocrinology, Respiratory Ds, Infectious Ds, Genitourinary, Oncology, Neurology, Heart Ds, Other"</formula1>
    </dataValidation>
    <dataValidation type="list" allowBlank="1" showInputMessage="1" showErrorMessage="1" sqref="F25" xr:uid="{D936CC72-0E4E-6848-90C6-DE1EECA656EA}">
      <formula1>"Systemic, Local, N/A"</formula1>
    </dataValidation>
    <dataValidation type="list" allowBlank="1" showInputMessage="1" showErrorMessage="1" sqref="F26" xr:uid="{FF937B87-BE37-464A-B4D9-34B9660FCEB4}">
      <formula1>"Acute, Chronic, N/A"</formula1>
    </dataValidation>
    <dataValidation type="list" allowBlank="1" showInputMessage="1" showErrorMessage="1" sqref="F27" xr:uid="{7E36B715-82E2-4F4B-85D3-6A3A0DC0629D}">
      <formula1>"Single, Several, N/A"</formula1>
    </dataValidation>
    <dataValidation type="list" allowBlank="1" showInputMessage="1" showErrorMessage="1" sqref="F29" xr:uid="{411B5142-F7E1-E044-954B-CCE1442655AB}">
      <formula1>"Yes, No, N/A"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54:H58 G20:G30 F59:H59 F3:F10 F12:G13 F16:G16 F14 G44:G49 G15 G11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23D43-273D-4DF2-A610-E75221F99FF1}">
          <x14:formula1>
            <xm:f>INPUTS!$O$5:$O$14</xm:f>
          </x14:formula1>
          <xm:sqref>F21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6021-27D4-4C32-B265-D0B6EA61F3E2}">
  <sheetPr>
    <tabColor rgb="FF7030A0"/>
  </sheetPr>
  <dimension ref="A1:T92"/>
  <sheetViews>
    <sheetView showGridLines="0" topLeftCell="J1" zoomScale="185" workbookViewId="0">
      <selection activeCell="O14" sqref="O14"/>
    </sheetView>
  </sheetViews>
  <sheetFormatPr baseColWidth="10" defaultColWidth="8.83203125" defaultRowHeight="15" x14ac:dyDescent="0.2"/>
  <cols>
    <col min="1" max="1" width="36.33203125" customWidth="1"/>
    <col min="6" max="7" width="7.83203125" style="4" bestFit="1" customWidth="1"/>
    <col min="9" max="9" width="3.1640625" customWidth="1"/>
    <col min="10" max="10" width="33.83203125" bestFit="1" customWidth="1"/>
    <col min="11" max="11" width="3" bestFit="1" customWidth="1"/>
    <col min="12" max="12" width="19" bestFit="1" customWidth="1"/>
    <col min="13" max="13" width="18.6640625" bestFit="1" customWidth="1"/>
    <col min="14" max="14" width="3" bestFit="1" customWidth="1"/>
    <col min="15" max="15" width="47.33203125" bestFit="1" customWidth="1"/>
    <col min="16" max="16" width="13.1640625" bestFit="1" customWidth="1"/>
    <col min="17" max="17" width="38.33203125" bestFit="1" customWidth="1"/>
    <col min="18" max="18" width="20.6640625" bestFit="1" customWidth="1"/>
    <col min="19" max="19" width="32.5" bestFit="1" customWidth="1"/>
    <col min="20" max="20" width="3" bestFit="1" customWidth="1"/>
  </cols>
  <sheetData>
    <row r="1" spans="1:20" x14ac:dyDescent="0.2">
      <c r="C1">
        <v>8513</v>
      </c>
      <c r="E1" s="15" t="s">
        <v>3</v>
      </c>
      <c r="F1" s="107"/>
      <c r="G1" s="107"/>
      <c r="H1" s="15"/>
      <c r="I1" s="15"/>
    </row>
    <row r="2" spans="1:20" x14ac:dyDescent="0.2">
      <c r="B2" s="210" t="s">
        <v>304</v>
      </c>
      <c r="C2" s="210"/>
      <c r="D2" s="210"/>
      <c r="F2" s="210" t="s">
        <v>303</v>
      </c>
      <c r="G2" s="210"/>
      <c r="H2" s="210"/>
    </row>
    <row r="3" spans="1:20" x14ac:dyDescent="0.2">
      <c r="B3" s="210" t="s">
        <v>273</v>
      </c>
      <c r="C3" s="210"/>
      <c r="D3" s="1" t="s">
        <v>257</v>
      </c>
      <c r="F3" s="210" t="s">
        <v>273</v>
      </c>
      <c r="G3" s="210"/>
      <c r="H3" s="1" t="s">
        <v>257</v>
      </c>
    </row>
    <row r="4" spans="1:20" x14ac:dyDescent="0.2">
      <c r="A4">
        <f>IF(C1&lt;50,0,IF(AND(C1&lt;=60,C1&gt;=51),5,IF(AND(C1&lt;=75,C1&gt;=61),10,IF(AND(C1&lt;=90,C1&gt;=76),20,IF(AND(C1&lt;=110,C1&gt;=91),26,IF(AND(C1&lt;=127,C1&gt;=111),31.2,IF(AND(C1&lt;=145,C1&gt;=128),37.44,IF(AND(C1&lt;=167,C1&gt;=146),41.93,IF(AND(C1&lt;=184,C1&gt;=168),46.96,IF(AND(C1&lt;=202,C1&gt;=185),50.72,IF(AND(C1&lt;=223,C1&gt;=203),51.74,IF(AND(C1&lt;=245,C1&gt;=224),52.77,IF(AND(C1&lt;=269,C1&gt;=246),53.83,IF(AND(C1&lt;=288,C1&gt;=270),54.9,IF(AND(C1&lt;=308,C1&gt;=289),56,IF(AND(C1&lt;=324,C1&gt;=309),57.12,IF(AND(C1&lt;=340,C1&gt;=325),58.26,IF(AND(C1&lt;=357,C1&gt;=341),59.43,IF(AND(C1&lt;=375,C1&gt;=358),60.62,IF(AND(C1&lt;=394,C1&gt;=376),91.83,IF(AND(C1&lt;=413,C1&gt;=395),63.07,IF(AND(C1&lt;=434,C1&gt;=414),64.33,IF(AND(C1&lt;=456,C1&gt;=435),65.61,IF(AND(C1&lt;=479,C1&gt;=457),66.93,IF(AND(C1&lt;=502,C1&gt;=480),67.73,IF(AND(C1&lt;=528,C1&gt;=503),68.54,IF(AND(C1&lt;=554,C1&gt;=529),69.36,IF(AND(C1&lt;=582,C1&gt;=555),70.2,IF(AND(C1&lt;=611,C1&gt;=583),71.04,IF(AND(C1&lt;=641,C1&gt;=612),71.89,IF(AND(C1&lt;=673,C1&gt;=642),72.75,IF(AND(C1&lt;=707,C1&gt;=674),73.63,IF(AND(C1&lt;=742,C1&gt;=708),74.51,IF(AND(C1&lt;=779,C1&gt;=743),75.41,IF(AND(C1&lt;=818,C1&gt;=780),76.31,IF(AND(C1&lt;=859,C1&gt;=819),77.23,IF(AND(C1&lt;=902,C1&gt;=860),78.15,IF(AND(C1&lt;=947,C1&gt;=903),79.09,IF(AND(C1&lt;=995,C1&gt;=948),79.88,IF(AND(C1&lt;=1045,C1&gt;=996),80.68,IF(AND(C1&lt;=1097,C1&gt;=1046),81.49,IF(AND(C1&lt;=1152,C1&gt;=1098),82.3,IF(AND(C1&lt;=1209,C1&gt;=1153),83.13,IF(AND(C1&lt;=1270,C1&gt;=1210),83.96,IF(AND(C1&lt;=1333,C1&gt;=1271),84.8,IF(AND(C1&lt;=1400,C1&gt;=1334),85.64,IF(AND(C1&lt;=1470,C1&gt;=1401),86.5,IF(AND(C1&lt;=1543,C1&gt;=1471),83.37,IF(AND(C1&lt;=1621,C1&gt;=1544),88.24,IF(AND(C1&lt;=1702,C1&gt;=1622),89.12,IF(AND(C1&lt;=1787,C1&gt;=1703),90.01,IF(AND(C1&lt;=1876,C1&gt;=1788),90.91,IF(AND(C1&lt;=1970,C1&gt;=1877),91.82,IF(AND(C1&lt;=2068,C1&gt;=1971),92.46,IF(AND(C1&lt;=2172,C1&gt;=2069),93.11,IF(AND(C1&lt;=2280,C1&gt;=2173),93.76,IF(AND(C1&lt;=2394,C1&gt;=2281),94.42,IF(AND(C1&lt;=2514,C1&gt;=2395),95,IF(AND(C1&lt;=6670,C1&gt;=2515),96,IF(AND(C1&lt;=8513,C1&gt;=6671),97,IF(C1&gt;=8514,98,0)))))))))))))))))))))))))))))))))))))))))))))))))))))))))))))</f>
        <v>97</v>
      </c>
      <c r="B4" s="46">
        <v>1</v>
      </c>
      <c r="C4" s="46">
        <v>50</v>
      </c>
      <c r="D4" s="47">
        <v>0</v>
      </c>
      <c r="F4" s="46">
        <v>1</v>
      </c>
      <c r="G4" s="46">
        <v>50</v>
      </c>
      <c r="H4" s="47">
        <v>0</v>
      </c>
      <c r="J4" s="18" t="s">
        <v>8</v>
      </c>
      <c r="K4" s="18"/>
      <c r="L4" s="18" t="s">
        <v>9</v>
      </c>
      <c r="M4" s="18" t="s">
        <v>10</v>
      </c>
      <c r="N4" s="18"/>
      <c r="O4" s="18" t="s">
        <v>11</v>
      </c>
      <c r="P4" s="18"/>
      <c r="Q4" s="18" t="s">
        <v>12</v>
      </c>
      <c r="R4" s="18" t="s">
        <v>13</v>
      </c>
      <c r="S4" s="18" t="s">
        <v>14</v>
      </c>
    </row>
    <row r="5" spans="1:20" x14ac:dyDescent="0.2">
      <c r="B5" s="46">
        <v>51</v>
      </c>
      <c r="C5" s="46">
        <v>60</v>
      </c>
      <c r="D5" s="47">
        <v>0.05</v>
      </c>
      <c r="F5" s="46">
        <v>51</v>
      </c>
      <c r="G5" s="46">
        <v>60</v>
      </c>
      <c r="H5" s="47">
        <v>0.05</v>
      </c>
      <c r="J5" s="4" t="s">
        <v>1</v>
      </c>
      <c r="K5">
        <v>25</v>
      </c>
      <c r="L5" s="4" t="s">
        <v>33</v>
      </c>
      <c r="M5" s="4" t="s">
        <v>34</v>
      </c>
      <c r="N5">
        <v>15</v>
      </c>
      <c r="O5" t="s">
        <v>542</v>
      </c>
      <c r="P5">
        <v>0</v>
      </c>
      <c r="Q5" s="5" t="s">
        <v>35</v>
      </c>
      <c r="R5" t="s">
        <v>186</v>
      </c>
      <c r="S5" t="s">
        <v>172</v>
      </c>
      <c r="T5">
        <v>0</v>
      </c>
    </row>
    <row r="6" spans="1:20" x14ac:dyDescent="0.2">
      <c r="B6" s="46">
        <f t="shared" ref="B6:B69" si="0">C5+1</f>
        <v>61</v>
      </c>
      <c r="C6" s="46">
        <v>75</v>
      </c>
      <c r="D6" s="47">
        <f>D5*2</f>
        <v>0.1</v>
      </c>
      <c r="F6" s="46">
        <f t="shared" ref="F6:F37" si="1">G5+1</f>
        <v>61</v>
      </c>
      <c r="G6" s="46">
        <v>75</v>
      </c>
      <c r="H6" s="47">
        <f>H5*2</f>
        <v>0.1</v>
      </c>
      <c r="J6" s="4" t="s">
        <v>48</v>
      </c>
      <c r="K6">
        <v>45</v>
      </c>
      <c r="L6" s="4" t="s">
        <v>49</v>
      </c>
      <c r="M6" s="4" t="s">
        <v>50</v>
      </c>
      <c r="N6">
        <v>2</v>
      </c>
      <c r="O6" s="78" t="s">
        <v>543</v>
      </c>
      <c r="P6">
        <v>5</v>
      </c>
      <c r="Q6" s="5" t="s">
        <v>51</v>
      </c>
      <c r="R6" t="s">
        <v>187</v>
      </c>
      <c r="S6" t="s">
        <v>180</v>
      </c>
      <c r="T6">
        <v>15</v>
      </c>
    </row>
    <row r="7" spans="1:20" x14ac:dyDescent="0.2">
      <c r="B7" s="46">
        <f t="shared" si="0"/>
        <v>76</v>
      </c>
      <c r="C7" s="46">
        <v>90</v>
      </c>
      <c r="D7" s="47">
        <f>D6*2</f>
        <v>0.2</v>
      </c>
      <c r="F7" s="46">
        <f t="shared" si="1"/>
        <v>76</v>
      </c>
      <c r="G7" s="46">
        <v>90</v>
      </c>
      <c r="H7" s="47">
        <f>H6*2</f>
        <v>0.2</v>
      </c>
      <c r="J7" s="4" t="s">
        <v>66</v>
      </c>
      <c r="K7">
        <v>40</v>
      </c>
      <c r="L7" s="4"/>
      <c r="M7" s="4"/>
      <c r="O7" s="78" t="s">
        <v>544</v>
      </c>
      <c r="P7">
        <v>10</v>
      </c>
      <c r="Q7" s="5" t="s">
        <v>67</v>
      </c>
      <c r="R7" t="s">
        <v>185</v>
      </c>
      <c r="S7" t="s">
        <v>186</v>
      </c>
      <c r="T7">
        <v>5</v>
      </c>
    </row>
    <row r="8" spans="1:20" x14ac:dyDescent="0.2">
      <c r="B8" s="46">
        <f t="shared" si="0"/>
        <v>91</v>
      </c>
      <c r="C8" s="46">
        <v>110</v>
      </c>
      <c r="D8" s="47">
        <f>D7*1.3</f>
        <v>0.26</v>
      </c>
      <c r="F8" s="46">
        <f t="shared" si="1"/>
        <v>91</v>
      </c>
      <c r="G8" s="46">
        <v>110</v>
      </c>
      <c r="H8" s="47">
        <f>H7*1.3</f>
        <v>0.26</v>
      </c>
      <c r="J8" s="4" t="s">
        <v>79</v>
      </c>
      <c r="K8">
        <v>35</v>
      </c>
      <c r="L8" s="4"/>
      <c r="O8" t="s">
        <v>545</v>
      </c>
      <c r="P8">
        <v>15</v>
      </c>
      <c r="Q8" s="5" t="s">
        <v>80</v>
      </c>
      <c r="R8" t="s">
        <v>218</v>
      </c>
      <c r="S8" t="s">
        <v>185</v>
      </c>
      <c r="T8">
        <v>10</v>
      </c>
    </row>
    <row r="9" spans="1:20" x14ac:dyDescent="0.2">
      <c r="B9" s="46">
        <f t="shared" si="0"/>
        <v>111</v>
      </c>
      <c r="C9" s="46">
        <f>C8*1.15</f>
        <v>126.49999999999999</v>
      </c>
      <c r="D9" s="47">
        <f>D8*1.2</f>
        <v>0.312</v>
      </c>
      <c r="F9" s="46">
        <f t="shared" si="1"/>
        <v>111</v>
      </c>
      <c r="G9" s="46">
        <f>G8*1.15</f>
        <v>126.49999999999999</v>
      </c>
      <c r="H9" s="47">
        <f>H8*1.2</f>
        <v>0.312</v>
      </c>
      <c r="J9" s="4" t="s">
        <v>90</v>
      </c>
      <c r="K9">
        <v>30</v>
      </c>
      <c r="L9" s="4"/>
      <c r="M9" s="4" t="s">
        <v>91</v>
      </c>
      <c r="O9" t="s">
        <v>546</v>
      </c>
      <c r="P9">
        <v>45</v>
      </c>
      <c r="Q9" s="5" t="s">
        <v>93</v>
      </c>
      <c r="R9" t="s">
        <v>184</v>
      </c>
      <c r="S9" t="s">
        <v>184</v>
      </c>
      <c r="T9">
        <v>25</v>
      </c>
    </row>
    <row r="10" spans="1:20" x14ac:dyDescent="0.2">
      <c r="B10" s="46">
        <f t="shared" si="0"/>
        <v>127.49999999999999</v>
      </c>
      <c r="C10" s="46">
        <f>C9*1.15</f>
        <v>145.47499999999997</v>
      </c>
      <c r="D10" s="47">
        <f>D9*1.2</f>
        <v>0.37440000000000001</v>
      </c>
      <c r="F10" s="46">
        <f t="shared" si="1"/>
        <v>127.49999999999999</v>
      </c>
      <c r="G10" s="46">
        <f>G9*1.15</f>
        <v>145.47499999999997</v>
      </c>
      <c r="H10" s="47">
        <f>H9*1.2</f>
        <v>0.37440000000000001</v>
      </c>
      <c r="J10" s="4" t="s">
        <v>103</v>
      </c>
      <c r="K10">
        <v>25</v>
      </c>
      <c r="L10" s="4"/>
      <c r="M10" s="4" t="s">
        <v>104</v>
      </c>
      <c r="O10" t="s">
        <v>547</v>
      </c>
      <c r="P10">
        <v>30</v>
      </c>
      <c r="Q10" s="5" t="s">
        <v>106</v>
      </c>
      <c r="R10" t="s">
        <v>219</v>
      </c>
    </row>
    <row r="11" spans="1:20" x14ac:dyDescent="0.2">
      <c r="B11" s="46">
        <f t="shared" si="0"/>
        <v>146.47499999999997</v>
      </c>
      <c r="C11" s="46">
        <f>C10*1.15</f>
        <v>167.29624999999996</v>
      </c>
      <c r="D11" s="47">
        <f>D10*1.12</f>
        <v>0.41932800000000003</v>
      </c>
      <c r="F11" s="46">
        <f t="shared" si="1"/>
        <v>146.47499999999997</v>
      </c>
      <c r="G11" s="46">
        <f>G10*1.15</f>
        <v>167.29624999999996</v>
      </c>
      <c r="H11" s="47">
        <f>H10*1.12</f>
        <v>0.41932800000000003</v>
      </c>
      <c r="J11" s="4" t="s">
        <v>117</v>
      </c>
      <c r="K11">
        <v>20</v>
      </c>
      <c r="L11" s="4"/>
      <c r="M11" s="4"/>
      <c r="O11" t="s">
        <v>312</v>
      </c>
      <c r="P11">
        <v>35</v>
      </c>
      <c r="Q11" s="5" t="s">
        <v>118</v>
      </c>
    </row>
    <row r="12" spans="1:20" x14ac:dyDescent="0.2">
      <c r="B12" s="46">
        <f t="shared" si="0"/>
        <v>168.29624999999996</v>
      </c>
      <c r="C12" s="46">
        <f>C11*1.1</f>
        <v>184.02587499999996</v>
      </c>
      <c r="D12" s="47">
        <f>D11*1.12</f>
        <v>0.46964736000000007</v>
      </c>
      <c r="F12" s="46">
        <f t="shared" si="1"/>
        <v>168.29624999999996</v>
      </c>
      <c r="G12" s="46">
        <f>G11*1.1</f>
        <v>184.02587499999996</v>
      </c>
      <c r="H12" s="47">
        <f>H11*1.12</f>
        <v>0.46964736000000007</v>
      </c>
      <c r="J12" s="4" t="s">
        <v>123</v>
      </c>
      <c r="K12">
        <v>15</v>
      </c>
      <c r="L12" s="4"/>
      <c r="M12" s="4" t="s">
        <v>124</v>
      </c>
      <c r="O12" t="s">
        <v>548</v>
      </c>
      <c r="P12">
        <v>45</v>
      </c>
      <c r="Q12" s="5" t="s">
        <v>125</v>
      </c>
    </row>
    <row r="13" spans="1:20" x14ac:dyDescent="0.2">
      <c r="B13" s="46">
        <f t="shared" si="0"/>
        <v>185.02587499999996</v>
      </c>
      <c r="C13" s="46">
        <f>C12*1.1</f>
        <v>202.42846249999997</v>
      </c>
      <c r="D13" s="47">
        <f>D12*1.08</f>
        <v>0.50721914880000007</v>
      </c>
      <c r="F13" s="46">
        <f t="shared" si="1"/>
        <v>185.02587499999996</v>
      </c>
      <c r="G13" s="46">
        <f>G12*1.1</f>
        <v>202.42846249999997</v>
      </c>
      <c r="H13" s="47">
        <f>H12*1.08</f>
        <v>0.50721914880000007</v>
      </c>
      <c r="J13" s="4" t="s">
        <v>233</v>
      </c>
      <c r="K13">
        <v>25</v>
      </c>
      <c r="L13" s="4"/>
      <c r="M13" s="4" t="s">
        <v>127</v>
      </c>
      <c r="O13" t="s">
        <v>550</v>
      </c>
      <c r="P13">
        <v>30</v>
      </c>
      <c r="Q13" s="5" t="s">
        <v>128</v>
      </c>
    </row>
    <row r="14" spans="1:20" x14ac:dyDescent="0.2">
      <c r="B14" s="46">
        <f t="shared" si="0"/>
        <v>203.42846249999997</v>
      </c>
      <c r="C14" s="46">
        <f>C13*1.1</f>
        <v>222.67130874999998</v>
      </c>
      <c r="D14" s="47">
        <f t="shared" ref="D14:D27" si="2">D13*1.02</f>
        <v>0.51736353177600014</v>
      </c>
      <c r="F14" s="46">
        <f t="shared" si="1"/>
        <v>203.42846249999997</v>
      </c>
      <c r="G14" s="46">
        <f>G13*1.1</f>
        <v>222.67130874999998</v>
      </c>
      <c r="H14" s="47">
        <f t="shared" ref="H14:H27" si="3">H13*1.02</f>
        <v>0.51736353177600014</v>
      </c>
      <c r="J14" s="4"/>
      <c r="L14" s="4"/>
      <c r="M14" s="4"/>
      <c r="O14" t="s">
        <v>549</v>
      </c>
      <c r="P14">
        <v>20</v>
      </c>
      <c r="Q14" s="5" t="s">
        <v>131</v>
      </c>
    </row>
    <row r="15" spans="1:20" x14ac:dyDescent="0.2">
      <c r="B15" s="46">
        <f t="shared" si="0"/>
        <v>223.67130874999998</v>
      </c>
      <c r="C15" s="46">
        <f>C14*1.1</f>
        <v>244.938439625</v>
      </c>
      <c r="D15" s="47">
        <f t="shared" si="2"/>
        <v>0.52771080241152013</v>
      </c>
      <c r="F15" s="46">
        <f t="shared" si="1"/>
        <v>223.67130874999998</v>
      </c>
      <c r="G15" s="46">
        <f>G14*1.1</f>
        <v>244.938439625</v>
      </c>
      <c r="H15" s="47">
        <f t="shared" si="3"/>
        <v>0.52771080241152013</v>
      </c>
      <c r="J15" s="4"/>
      <c r="L15" s="39" t="s">
        <v>220</v>
      </c>
      <c r="M15" s="4">
        <v>0</v>
      </c>
      <c r="P15">
        <v>20</v>
      </c>
      <c r="Q15" s="5" t="s">
        <v>134</v>
      </c>
    </row>
    <row r="16" spans="1:20" x14ac:dyDescent="0.2">
      <c r="B16" s="46">
        <f t="shared" si="0"/>
        <v>245.938439625</v>
      </c>
      <c r="C16" s="46">
        <f>C15*1.1</f>
        <v>269.43228358750002</v>
      </c>
      <c r="D16" s="47">
        <f t="shared" si="2"/>
        <v>0.5382650184597505</v>
      </c>
      <c r="F16" s="46">
        <f t="shared" si="1"/>
        <v>245.938439625</v>
      </c>
      <c r="G16" s="46">
        <f>G15*1.1</f>
        <v>269.43228358750002</v>
      </c>
      <c r="H16" s="47">
        <f t="shared" si="3"/>
        <v>0.5382650184597505</v>
      </c>
      <c r="J16" s="4"/>
      <c r="L16" t="s">
        <v>253</v>
      </c>
      <c r="M16" s="4">
        <v>7</v>
      </c>
      <c r="Q16" s="5" t="s">
        <v>136</v>
      </c>
    </row>
    <row r="17" spans="2:17" x14ac:dyDescent="0.2">
      <c r="B17" s="46">
        <f t="shared" si="0"/>
        <v>270.43228358750002</v>
      </c>
      <c r="C17" s="46">
        <f>C16*1.07</f>
        <v>288.29254343862505</v>
      </c>
      <c r="D17" s="47">
        <f t="shared" si="2"/>
        <v>0.54903031882894548</v>
      </c>
      <c r="F17" s="46">
        <f t="shared" si="1"/>
        <v>270.43228358750002</v>
      </c>
      <c r="G17" s="46">
        <f>G16*1.07</f>
        <v>288.29254343862505</v>
      </c>
      <c r="H17" s="47">
        <f t="shared" si="3"/>
        <v>0.54903031882894548</v>
      </c>
      <c r="J17" s="4"/>
      <c r="L17" s="39" t="s">
        <v>221</v>
      </c>
      <c r="M17" s="4">
        <v>10</v>
      </c>
      <c r="Q17" s="5" t="s">
        <v>138</v>
      </c>
    </row>
    <row r="18" spans="2:17" x14ac:dyDescent="0.2">
      <c r="B18" s="46">
        <f t="shared" si="0"/>
        <v>289.29254343862505</v>
      </c>
      <c r="C18" s="46">
        <f>C17*1.07</f>
        <v>308.47302147932879</v>
      </c>
      <c r="D18" s="47">
        <f t="shared" si="2"/>
        <v>0.56001092520552442</v>
      </c>
      <c r="F18" s="46">
        <f t="shared" si="1"/>
        <v>289.29254343862505</v>
      </c>
      <c r="G18" s="46">
        <f>G17*1.07</f>
        <v>308.47302147932879</v>
      </c>
      <c r="H18" s="47">
        <f t="shared" si="3"/>
        <v>0.56001092520552442</v>
      </c>
      <c r="J18" s="4"/>
      <c r="L18" s="39" t="s">
        <v>222</v>
      </c>
      <c r="M18" s="4">
        <v>15</v>
      </c>
      <c r="Q18" s="5" t="s">
        <v>140</v>
      </c>
    </row>
    <row r="19" spans="2:17" x14ac:dyDescent="0.2">
      <c r="B19" s="46">
        <f t="shared" si="0"/>
        <v>309.47302147932879</v>
      </c>
      <c r="C19" s="46">
        <f t="shared" ref="C19:C82" si="4">C18*1.05</f>
        <v>323.89667255329522</v>
      </c>
      <c r="D19" s="47">
        <f t="shared" si="2"/>
        <v>0.57121114370963488</v>
      </c>
      <c r="F19" s="46">
        <f t="shared" si="1"/>
        <v>309.47302147932879</v>
      </c>
      <c r="G19" s="46">
        <f t="shared" ref="G19:G50" si="5">G18*1.05</f>
        <v>323.89667255329522</v>
      </c>
      <c r="H19" s="47">
        <f t="shared" si="3"/>
        <v>0.57121114370963488</v>
      </c>
      <c r="J19" s="4"/>
      <c r="L19" s="39" t="s">
        <v>223</v>
      </c>
      <c r="M19" s="4">
        <v>25</v>
      </c>
      <c r="Q19" s="5" t="s">
        <v>142</v>
      </c>
    </row>
    <row r="20" spans="2:17" x14ac:dyDescent="0.2">
      <c r="B20" s="46">
        <f t="shared" si="0"/>
        <v>324.89667255329522</v>
      </c>
      <c r="C20" s="46">
        <f t="shared" si="4"/>
        <v>340.09150618095998</v>
      </c>
      <c r="D20" s="47">
        <f t="shared" si="2"/>
        <v>0.58263536658382764</v>
      </c>
      <c r="F20" s="46">
        <f t="shared" si="1"/>
        <v>324.89667255329522</v>
      </c>
      <c r="G20" s="46">
        <f t="shared" si="5"/>
        <v>340.09150618095998</v>
      </c>
      <c r="H20" s="47">
        <f t="shared" si="3"/>
        <v>0.58263536658382764</v>
      </c>
      <c r="J20" s="4"/>
      <c r="L20" s="4"/>
      <c r="M20" s="4">
        <v>5</v>
      </c>
      <c r="O20" s="109" t="s">
        <v>307</v>
      </c>
      <c r="P20" s="110" t="s">
        <v>308</v>
      </c>
      <c r="Q20" s="5" t="s">
        <v>146</v>
      </c>
    </row>
    <row r="21" spans="2:17" x14ac:dyDescent="0.2">
      <c r="B21" s="46">
        <f t="shared" si="0"/>
        <v>341.09150618095998</v>
      </c>
      <c r="C21" s="46">
        <f t="shared" si="4"/>
        <v>357.09608149000798</v>
      </c>
      <c r="D21" s="47">
        <f t="shared" si="2"/>
        <v>0.5942880739155042</v>
      </c>
      <c r="F21" s="46">
        <f t="shared" si="1"/>
        <v>341.09150618095998</v>
      </c>
      <c r="G21" s="46">
        <f t="shared" si="5"/>
        <v>357.09608149000798</v>
      </c>
      <c r="H21" s="47">
        <f t="shared" si="3"/>
        <v>0.5942880739155042</v>
      </c>
      <c r="J21" s="4"/>
      <c r="L21" s="4"/>
      <c r="M21" s="4"/>
      <c r="O21" s="108" t="s">
        <v>305</v>
      </c>
      <c r="P21" s="34">
        <v>0.7</v>
      </c>
      <c r="Q21" s="5"/>
    </row>
    <row r="22" spans="2:17" x14ac:dyDescent="0.2">
      <c r="B22" s="46">
        <f t="shared" si="0"/>
        <v>358.09608149000798</v>
      </c>
      <c r="C22" s="46">
        <f t="shared" si="4"/>
        <v>374.95088556450838</v>
      </c>
      <c r="D22" s="47">
        <f t="shared" si="2"/>
        <v>0.60617383539381431</v>
      </c>
      <c r="F22" s="46">
        <f t="shared" si="1"/>
        <v>358.09608149000798</v>
      </c>
      <c r="G22" s="46">
        <f t="shared" si="5"/>
        <v>374.95088556450838</v>
      </c>
      <c r="H22" s="47">
        <f t="shared" si="3"/>
        <v>0.60617383539381431</v>
      </c>
      <c r="J22" s="4"/>
      <c r="L22" s="4"/>
      <c r="M22" s="4"/>
      <c r="O22" s="108" t="s">
        <v>234</v>
      </c>
      <c r="P22" s="34">
        <v>0.55000000000000004</v>
      </c>
      <c r="Q22" s="5"/>
    </row>
    <row r="23" spans="2:17" x14ac:dyDescent="0.2">
      <c r="B23" s="46">
        <f t="shared" si="0"/>
        <v>375.95088556450838</v>
      </c>
      <c r="C23" s="46">
        <f t="shared" si="4"/>
        <v>393.69842984273384</v>
      </c>
      <c r="D23" s="47">
        <f t="shared" si="2"/>
        <v>0.61829731210169059</v>
      </c>
      <c r="F23" s="46">
        <f t="shared" si="1"/>
        <v>375.95088556450838</v>
      </c>
      <c r="G23" s="46">
        <f t="shared" si="5"/>
        <v>393.69842984273384</v>
      </c>
      <c r="H23" s="47">
        <f t="shared" si="3"/>
        <v>0.61829731210169059</v>
      </c>
      <c r="J23" s="4"/>
      <c r="L23" s="4"/>
      <c r="M23" s="4"/>
      <c r="O23" s="108" t="s">
        <v>252</v>
      </c>
      <c r="P23" s="34">
        <v>0.4</v>
      </c>
      <c r="Q23" s="5"/>
    </row>
    <row r="24" spans="2:17" x14ac:dyDescent="0.2">
      <c r="B24" s="46">
        <f t="shared" si="0"/>
        <v>394.69842984273384</v>
      </c>
      <c r="C24" s="46">
        <f t="shared" si="4"/>
        <v>413.38335133487055</v>
      </c>
      <c r="D24" s="47">
        <f t="shared" si="2"/>
        <v>0.63066325834372439</v>
      </c>
      <c r="F24" s="46">
        <f t="shared" si="1"/>
        <v>394.69842984273384</v>
      </c>
      <c r="G24" s="46">
        <f t="shared" si="5"/>
        <v>413.38335133487055</v>
      </c>
      <c r="H24" s="47">
        <f t="shared" si="3"/>
        <v>0.63066325834372439</v>
      </c>
      <c r="J24" s="129" t="s">
        <v>335</v>
      </c>
      <c r="K24" s="35"/>
      <c r="L24" s="130">
        <v>20</v>
      </c>
      <c r="M24" s="4"/>
      <c r="O24" s="108" t="s">
        <v>306</v>
      </c>
      <c r="P24" s="34">
        <v>0.3</v>
      </c>
      <c r="Q24" s="5"/>
    </row>
    <row r="25" spans="2:17" x14ac:dyDescent="0.2">
      <c r="B25" s="46">
        <f t="shared" si="0"/>
        <v>414.38335133487055</v>
      </c>
      <c r="C25" s="46">
        <f t="shared" si="4"/>
        <v>434.05251890161412</v>
      </c>
      <c r="D25" s="47">
        <f t="shared" si="2"/>
        <v>0.64327652351059894</v>
      </c>
      <c r="F25" s="46">
        <f t="shared" si="1"/>
        <v>414.38335133487055</v>
      </c>
      <c r="G25" s="46">
        <f t="shared" si="5"/>
        <v>434.05251890161412</v>
      </c>
      <c r="H25" s="47">
        <f t="shared" si="3"/>
        <v>0.64327652351059894</v>
      </c>
      <c r="J25" s="129" t="s">
        <v>336</v>
      </c>
      <c r="K25" s="35"/>
      <c r="L25" s="130">
        <v>15</v>
      </c>
      <c r="O25" s="108" t="s">
        <v>225</v>
      </c>
      <c r="P25" s="34">
        <v>0</v>
      </c>
    </row>
    <row r="26" spans="2:17" x14ac:dyDescent="0.2">
      <c r="B26" s="46">
        <f t="shared" si="0"/>
        <v>435.05251890161412</v>
      </c>
      <c r="C26" s="46">
        <f t="shared" si="4"/>
        <v>455.75514484669486</v>
      </c>
      <c r="D26" s="47">
        <f t="shared" si="2"/>
        <v>0.65614205398081094</v>
      </c>
      <c r="F26" s="46">
        <f t="shared" si="1"/>
        <v>435.05251890161412</v>
      </c>
      <c r="G26" s="46">
        <f t="shared" si="5"/>
        <v>455.75514484669486</v>
      </c>
      <c r="H26" s="47">
        <f t="shared" si="3"/>
        <v>0.65614205398081094</v>
      </c>
      <c r="J26" s="129" t="s">
        <v>337</v>
      </c>
      <c r="K26" s="35"/>
      <c r="L26" s="130">
        <v>0</v>
      </c>
      <c r="O26" s="108" t="s">
        <v>224</v>
      </c>
      <c r="P26" s="34">
        <v>0.05</v>
      </c>
    </row>
    <row r="27" spans="2:17" x14ac:dyDescent="0.2">
      <c r="B27" s="46">
        <f t="shared" si="0"/>
        <v>456.75514484669486</v>
      </c>
      <c r="C27" s="46">
        <f t="shared" si="4"/>
        <v>478.54290208902961</v>
      </c>
      <c r="D27" s="47">
        <f t="shared" si="2"/>
        <v>0.66926489506042719</v>
      </c>
      <c r="F27" s="46">
        <f t="shared" si="1"/>
        <v>456.75514484669486</v>
      </c>
      <c r="G27" s="46">
        <f t="shared" si="5"/>
        <v>478.54290208902961</v>
      </c>
      <c r="H27" s="47">
        <f t="shared" si="3"/>
        <v>0.66926489506042719</v>
      </c>
      <c r="J27" s="129" t="s">
        <v>338</v>
      </c>
      <c r="K27" s="35"/>
      <c r="L27" s="130">
        <v>5</v>
      </c>
      <c r="O27" s="108" t="s">
        <v>181</v>
      </c>
      <c r="P27" s="34">
        <v>0</v>
      </c>
    </row>
    <row r="28" spans="2:17" x14ac:dyDescent="0.2">
      <c r="B28" s="46">
        <f t="shared" si="0"/>
        <v>479.54290208902961</v>
      </c>
      <c r="C28" s="46">
        <f t="shared" si="4"/>
        <v>502.47004719348109</v>
      </c>
      <c r="D28" s="47">
        <f t="shared" ref="D28:D41" si="6">D27*1.012</f>
        <v>0.67729607380115231</v>
      </c>
      <c r="F28" s="46">
        <f t="shared" si="1"/>
        <v>479.54290208902961</v>
      </c>
      <c r="G28" s="46">
        <f t="shared" si="5"/>
        <v>502.47004719348109</v>
      </c>
      <c r="H28" s="47">
        <f t="shared" ref="H28:H41" si="7">H27*1.012</f>
        <v>0.67729607380115231</v>
      </c>
      <c r="J28" s="129" t="s">
        <v>339</v>
      </c>
      <c r="K28" s="35"/>
      <c r="L28" s="130">
        <v>5</v>
      </c>
      <c r="O28" s="108" t="s">
        <v>232</v>
      </c>
      <c r="P28" s="34">
        <v>0</v>
      </c>
    </row>
    <row r="29" spans="2:17" x14ac:dyDescent="0.2">
      <c r="B29" s="46">
        <f t="shared" si="0"/>
        <v>503.47004719348109</v>
      </c>
      <c r="C29" s="46">
        <f t="shared" si="4"/>
        <v>527.59354955315519</v>
      </c>
      <c r="D29" s="47">
        <f t="shared" si="6"/>
        <v>0.68542362668676615</v>
      </c>
      <c r="F29" s="46">
        <f t="shared" si="1"/>
        <v>503.47004719348109</v>
      </c>
      <c r="G29" s="46">
        <f t="shared" si="5"/>
        <v>527.59354955315519</v>
      </c>
      <c r="H29" s="47">
        <f t="shared" si="7"/>
        <v>0.68542362668676615</v>
      </c>
      <c r="J29" s="129" t="s">
        <v>340</v>
      </c>
      <c r="K29" s="35"/>
      <c r="L29" s="130">
        <v>5</v>
      </c>
      <c r="O29" s="108" t="s">
        <v>235</v>
      </c>
      <c r="P29" s="34">
        <v>0.25</v>
      </c>
    </row>
    <row r="30" spans="2:17" x14ac:dyDescent="0.2">
      <c r="B30" s="46">
        <f t="shared" si="0"/>
        <v>528.59354955315519</v>
      </c>
      <c r="C30" s="46">
        <f t="shared" si="4"/>
        <v>553.97322703081295</v>
      </c>
      <c r="D30" s="47">
        <f t="shared" si="6"/>
        <v>0.69364871020700736</v>
      </c>
      <c r="F30" s="46">
        <f t="shared" si="1"/>
        <v>528.59354955315519</v>
      </c>
      <c r="G30" s="46">
        <f t="shared" si="5"/>
        <v>553.97322703081295</v>
      </c>
      <c r="H30" s="47">
        <f t="shared" si="7"/>
        <v>0.69364871020700736</v>
      </c>
      <c r="J30" s="129" t="s">
        <v>341</v>
      </c>
      <c r="K30" s="35"/>
      <c r="L30" s="130">
        <v>10</v>
      </c>
      <c r="O30" s="108" t="s">
        <v>233</v>
      </c>
      <c r="P30" s="34">
        <v>0.35</v>
      </c>
    </row>
    <row r="31" spans="2:17" x14ac:dyDescent="0.2">
      <c r="B31" s="46">
        <f t="shared" si="0"/>
        <v>554.97322703081295</v>
      </c>
      <c r="C31" s="46">
        <f t="shared" si="4"/>
        <v>581.67188838235359</v>
      </c>
      <c r="D31" s="47">
        <f t="shared" si="6"/>
        <v>0.70197249472949141</v>
      </c>
      <c r="F31" s="46">
        <f t="shared" si="1"/>
        <v>554.97322703081295</v>
      </c>
      <c r="G31" s="46">
        <f t="shared" si="5"/>
        <v>581.67188838235359</v>
      </c>
      <c r="H31" s="47">
        <f t="shared" si="7"/>
        <v>0.70197249472949141</v>
      </c>
      <c r="J31" s="129" t="s">
        <v>342</v>
      </c>
      <c r="K31" s="35"/>
      <c r="L31" s="130">
        <v>15</v>
      </c>
    </row>
    <row r="32" spans="2:17" x14ac:dyDescent="0.2">
      <c r="B32" s="46">
        <f t="shared" si="0"/>
        <v>582.67188838235359</v>
      </c>
      <c r="C32" s="46">
        <f t="shared" si="4"/>
        <v>610.75548280147132</v>
      </c>
      <c r="D32" s="47">
        <f t="shared" si="6"/>
        <v>0.71039616466624533</v>
      </c>
      <c r="F32" s="46">
        <f t="shared" si="1"/>
        <v>582.67188838235359</v>
      </c>
      <c r="G32" s="46">
        <f t="shared" si="5"/>
        <v>610.75548280147132</v>
      </c>
      <c r="H32" s="47">
        <f t="shared" si="7"/>
        <v>0.71039616466624533</v>
      </c>
    </row>
    <row r="33" spans="2:18" x14ac:dyDescent="0.2">
      <c r="B33" s="46">
        <f t="shared" si="0"/>
        <v>611.75548280147132</v>
      </c>
      <c r="C33" s="46">
        <f t="shared" si="4"/>
        <v>641.29325694154488</v>
      </c>
      <c r="D33" s="47">
        <f t="shared" si="6"/>
        <v>0.71892091864224028</v>
      </c>
      <c r="F33" s="46">
        <f t="shared" si="1"/>
        <v>611.75548280147132</v>
      </c>
      <c r="G33" s="46">
        <f t="shared" si="5"/>
        <v>641.29325694154488</v>
      </c>
      <c r="H33" s="47">
        <f t="shared" si="7"/>
        <v>0.71892091864224028</v>
      </c>
    </row>
    <row r="34" spans="2:18" ht="16" x14ac:dyDescent="0.2">
      <c r="B34" s="46">
        <f t="shared" si="0"/>
        <v>642.29325694154488</v>
      </c>
      <c r="C34" s="46">
        <f t="shared" si="4"/>
        <v>673.35791978862221</v>
      </c>
      <c r="D34" s="47">
        <f t="shared" si="6"/>
        <v>0.72754796966594715</v>
      </c>
      <c r="F34" s="46">
        <f t="shared" si="1"/>
        <v>642.29325694154488</v>
      </c>
      <c r="G34" s="46">
        <f t="shared" si="5"/>
        <v>673.35791978862221</v>
      </c>
      <c r="H34" s="47">
        <f t="shared" si="7"/>
        <v>0.72754796966594715</v>
      </c>
      <c r="J34" s="131" t="s">
        <v>345</v>
      </c>
      <c r="K34" s="131"/>
      <c r="L34" s="134">
        <v>0</v>
      </c>
      <c r="O34" s="108" t="s">
        <v>315</v>
      </c>
    </row>
    <row r="35" spans="2:18" ht="16" x14ac:dyDescent="0.2">
      <c r="B35" s="46">
        <f t="shared" si="0"/>
        <v>674.35791978862221</v>
      </c>
      <c r="C35" s="46">
        <f t="shared" si="4"/>
        <v>707.02581577805336</v>
      </c>
      <c r="D35" s="47">
        <f t="shared" si="6"/>
        <v>0.73627854530193848</v>
      </c>
      <c r="F35" s="46">
        <f t="shared" si="1"/>
        <v>674.35791978862221</v>
      </c>
      <c r="G35" s="46">
        <f t="shared" si="5"/>
        <v>707.02581577805336</v>
      </c>
      <c r="H35" s="47">
        <f t="shared" si="7"/>
        <v>0.73627854530193848</v>
      </c>
      <c r="J35" s="133" t="s">
        <v>518</v>
      </c>
      <c r="K35" s="133"/>
      <c r="L35" s="133">
        <v>0</v>
      </c>
      <c r="O35" s="108" t="s">
        <v>309</v>
      </c>
    </row>
    <row r="36" spans="2:18" ht="16" x14ac:dyDescent="0.2">
      <c r="B36" s="46">
        <f t="shared" si="0"/>
        <v>708.02581577805336</v>
      </c>
      <c r="C36" s="46">
        <f t="shared" si="4"/>
        <v>742.37710656695606</v>
      </c>
      <c r="D36" s="47">
        <f t="shared" si="6"/>
        <v>0.74511388784556176</v>
      </c>
      <c r="F36" s="46">
        <f t="shared" si="1"/>
        <v>708.02581577805336</v>
      </c>
      <c r="G36" s="46">
        <f t="shared" si="5"/>
        <v>742.37710656695606</v>
      </c>
      <c r="H36" s="47">
        <f t="shared" si="7"/>
        <v>0.74511388784556176</v>
      </c>
      <c r="J36" s="131" t="s">
        <v>338</v>
      </c>
      <c r="K36" s="131"/>
      <c r="L36" s="131">
        <v>0</v>
      </c>
      <c r="O36" s="108" t="s">
        <v>317</v>
      </c>
    </row>
    <row r="37" spans="2:18" ht="16" x14ac:dyDescent="0.2">
      <c r="B37" s="46">
        <f t="shared" si="0"/>
        <v>743.37710656695606</v>
      </c>
      <c r="C37" s="46">
        <f t="shared" si="4"/>
        <v>779.49596189530394</v>
      </c>
      <c r="D37" s="47">
        <f t="shared" si="6"/>
        <v>0.75405525449970856</v>
      </c>
      <c r="F37" s="46">
        <f t="shared" si="1"/>
        <v>743.37710656695606</v>
      </c>
      <c r="G37" s="46">
        <f t="shared" si="5"/>
        <v>779.49596189530394</v>
      </c>
      <c r="H37" s="47">
        <f t="shared" si="7"/>
        <v>0.75405525449970856</v>
      </c>
      <c r="J37" s="133" t="s">
        <v>519</v>
      </c>
      <c r="K37" s="133"/>
      <c r="L37" s="135">
        <v>5</v>
      </c>
      <c r="O37" s="108" t="s">
        <v>316</v>
      </c>
      <c r="P37" s="32"/>
    </row>
    <row r="38" spans="2:18" ht="16" x14ac:dyDescent="0.2">
      <c r="B38" s="46">
        <f t="shared" si="0"/>
        <v>780.49596189530394</v>
      </c>
      <c r="C38" s="46">
        <f t="shared" si="4"/>
        <v>818.47075999006915</v>
      </c>
      <c r="D38" s="47">
        <f t="shared" si="6"/>
        <v>0.7631039175537051</v>
      </c>
      <c r="F38" s="46">
        <f t="shared" ref="F38:F69" si="8">G37+1</f>
        <v>780.49596189530394</v>
      </c>
      <c r="G38" s="46">
        <f t="shared" si="5"/>
        <v>818.47075999006915</v>
      </c>
      <c r="H38" s="47">
        <f t="shared" si="7"/>
        <v>0.7631039175537051</v>
      </c>
      <c r="J38" s="136" t="s">
        <v>520</v>
      </c>
      <c r="K38" s="133"/>
      <c r="L38" s="135">
        <v>5</v>
      </c>
      <c r="O38" s="108" t="s">
        <v>310</v>
      </c>
    </row>
    <row r="39" spans="2:18" ht="16" x14ac:dyDescent="0.2">
      <c r="B39" s="46">
        <f t="shared" si="0"/>
        <v>819.47075999006915</v>
      </c>
      <c r="C39" s="46">
        <f t="shared" si="4"/>
        <v>859.39429798957269</v>
      </c>
      <c r="D39" s="47">
        <f t="shared" si="6"/>
        <v>0.77226116456434957</v>
      </c>
      <c r="F39" s="46">
        <f t="shared" si="8"/>
        <v>819.47075999006915</v>
      </c>
      <c r="G39" s="46">
        <f t="shared" si="5"/>
        <v>859.39429798957269</v>
      </c>
      <c r="H39" s="47">
        <f t="shared" si="7"/>
        <v>0.77226116456434957</v>
      </c>
      <c r="J39" s="133" t="s">
        <v>521</v>
      </c>
      <c r="K39" s="133"/>
      <c r="L39" s="133">
        <v>15</v>
      </c>
      <c r="O39" s="108" t="s">
        <v>311</v>
      </c>
    </row>
    <row r="40" spans="2:18" ht="16" x14ac:dyDescent="0.2">
      <c r="B40" s="46">
        <f t="shared" si="0"/>
        <v>860.39429798957269</v>
      </c>
      <c r="C40" s="46">
        <f t="shared" si="4"/>
        <v>902.36401288905131</v>
      </c>
      <c r="D40" s="47">
        <f t="shared" si="6"/>
        <v>0.78152829853912176</v>
      </c>
      <c r="F40" s="46">
        <f t="shared" si="8"/>
        <v>860.39429798957269</v>
      </c>
      <c r="G40" s="46">
        <f t="shared" si="5"/>
        <v>902.36401288905131</v>
      </c>
      <c r="H40" s="47">
        <f t="shared" si="7"/>
        <v>0.78152829853912176</v>
      </c>
      <c r="J40" s="133" t="s">
        <v>217</v>
      </c>
      <c r="K40" s="133"/>
      <c r="L40" s="133">
        <v>20</v>
      </c>
      <c r="O40" s="108" t="s">
        <v>312</v>
      </c>
    </row>
    <row r="41" spans="2:18" ht="16" x14ac:dyDescent="0.2">
      <c r="B41" s="46">
        <f t="shared" si="0"/>
        <v>903.36401288905131</v>
      </c>
      <c r="C41" s="46">
        <f t="shared" si="4"/>
        <v>947.48221353350391</v>
      </c>
      <c r="D41" s="47">
        <f t="shared" si="6"/>
        <v>0.79090663812159123</v>
      </c>
      <c r="F41" s="46">
        <f t="shared" si="8"/>
        <v>903.36401288905131</v>
      </c>
      <c r="G41" s="46">
        <f t="shared" si="5"/>
        <v>947.48221353350391</v>
      </c>
      <c r="H41" s="47">
        <f t="shared" si="7"/>
        <v>0.79090663812159123</v>
      </c>
      <c r="J41" s="133" t="s">
        <v>522</v>
      </c>
      <c r="K41" s="133"/>
      <c r="L41" s="133">
        <v>40</v>
      </c>
      <c r="O41" s="108" t="s">
        <v>313</v>
      </c>
    </row>
    <row r="42" spans="2:18" ht="16" x14ac:dyDescent="0.2">
      <c r="B42" s="46">
        <f t="shared" si="0"/>
        <v>948.48221353350391</v>
      </c>
      <c r="C42" s="46">
        <f t="shared" si="4"/>
        <v>994.8563242101792</v>
      </c>
      <c r="D42" s="47">
        <f t="shared" ref="D42:D56" si="9">D41*1.01</f>
        <v>0.79881570450280714</v>
      </c>
      <c r="F42" s="46">
        <f t="shared" si="8"/>
        <v>948.48221353350391</v>
      </c>
      <c r="G42" s="46">
        <f t="shared" si="5"/>
        <v>994.8563242101792</v>
      </c>
      <c r="H42" s="47">
        <f t="shared" ref="H42:H56" si="10">H41*1.01</f>
        <v>0.79881570450280714</v>
      </c>
      <c r="J42" s="133" t="s">
        <v>523</v>
      </c>
      <c r="K42" s="133"/>
      <c r="L42" s="133">
        <v>35</v>
      </c>
      <c r="O42" s="108" t="s">
        <v>314</v>
      </c>
    </row>
    <row r="43" spans="2:18" ht="16" x14ac:dyDescent="0.2">
      <c r="B43" s="46">
        <f t="shared" si="0"/>
        <v>995.8563242101792</v>
      </c>
      <c r="C43" s="46">
        <f t="shared" si="4"/>
        <v>1044.5991404206882</v>
      </c>
      <c r="D43" s="47">
        <f t="shared" si="9"/>
        <v>0.80680386154783523</v>
      </c>
      <c r="F43" s="46">
        <f t="shared" si="8"/>
        <v>995.8563242101792</v>
      </c>
      <c r="G43" s="46">
        <f t="shared" si="5"/>
        <v>1044.5991404206882</v>
      </c>
      <c r="H43" s="47">
        <f t="shared" si="10"/>
        <v>0.80680386154783523</v>
      </c>
      <c r="J43" s="133" t="s">
        <v>524</v>
      </c>
      <c r="K43" s="133"/>
      <c r="L43" s="133">
        <v>35</v>
      </c>
      <c r="O43" s="108" t="s">
        <v>105</v>
      </c>
    </row>
    <row r="44" spans="2:18" ht="16" x14ac:dyDescent="0.2">
      <c r="B44" s="46">
        <f t="shared" si="0"/>
        <v>1045.5991404206882</v>
      </c>
      <c r="C44" s="46">
        <f t="shared" si="4"/>
        <v>1096.8290974417225</v>
      </c>
      <c r="D44" s="47">
        <f t="shared" si="9"/>
        <v>0.81487190016331357</v>
      </c>
      <c r="F44" s="46">
        <f t="shared" si="8"/>
        <v>1045.5991404206882</v>
      </c>
      <c r="G44" s="46">
        <f t="shared" si="5"/>
        <v>1096.8290974417225</v>
      </c>
      <c r="H44" s="47">
        <f t="shared" si="10"/>
        <v>0.81487190016331357</v>
      </c>
      <c r="J44" s="131" t="s">
        <v>341</v>
      </c>
      <c r="K44" s="131"/>
      <c r="L44" s="133">
        <v>30</v>
      </c>
      <c r="Q44" s="19" t="s">
        <v>319</v>
      </c>
    </row>
    <row r="45" spans="2:18" ht="16" x14ac:dyDescent="0.2">
      <c r="B45" s="46">
        <f t="shared" si="0"/>
        <v>1097.8290974417225</v>
      </c>
      <c r="C45" s="46">
        <f t="shared" si="4"/>
        <v>1151.6705523138087</v>
      </c>
      <c r="D45" s="47">
        <f t="shared" si="9"/>
        <v>0.82302061916494673</v>
      </c>
      <c r="F45" s="46">
        <f t="shared" si="8"/>
        <v>1097.8290974417225</v>
      </c>
      <c r="G45" s="46">
        <f t="shared" si="5"/>
        <v>1151.6705523138087</v>
      </c>
      <c r="H45" s="47">
        <f t="shared" si="10"/>
        <v>0.82302061916494673</v>
      </c>
      <c r="J45" s="131" t="s">
        <v>525</v>
      </c>
      <c r="K45" s="131"/>
      <c r="L45" s="133">
        <v>25</v>
      </c>
      <c r="O45" s="109" t="s">
        <v>307</v>
      </c>
      <c r="P45" s="111" t="s">
        <v>318</v>
      </c>
      <c r="Q45" s="19">
        <v>5</v>
      </c>
    </row>
    <row r="46" spans="2:18" ht="16" x14ac:dyDescent="0.2">
      <c r="B46" s="46">
        <f t="shared" si="0"/>
        <v>1152.6705523138087</v>
      </c>
      <c r="C46" s="46">
        <f t="shared" si="4"/>
        <v>1209.2540799294991</v>
      </c>
      <c r="D46" s="47">
        <f t="shared" si="9"/>
        <v>0.83125082535659622</v>
      </c>
      <c r="F46" s="46">
        <f t="shared" si="8"/>
        <v>1152.6705523138087</v>
      </c>
      <c r="G46" s="46">
        <f t="shared" si="5"/>
        <v>1209.2540799294991</v>
      </c>
      <c r="H46" s="47">
        <f t="shared" si="10"/>
        <v>0.83125082535659622</v>
      </c>
      <c r="J46" s="133" t="s">
        <v>233</v>
      </c>
      <c r="L46" s="133">
        <v>25</v>
      </c>
      <c r="O46" s="108" t="s">
        <v>305</v>
      </c>
      <c r="P46" s="12">
        <v>9000</v>
      </c>
      <c r="Q46" s="12">
        <f t="shared" ref="Q46:Q55" si="11">P46/0.65</f>
        <v>13846.153846153846</v>
      </c>
      <c r="R46" s="112">
        <f t="shared" ref="R46:R55" si="12">Q46/$Q$45</f>
        <v>2769.2307692307691</v>
      </c>
    </row>
    <row r="47" spans="2:18" x14ac:dyDescent="0.2">
      <c r="B47" s="46">
        <f t="shared" si="0"/>
        <v>1210.2540799294991</v>
      </c>
      <c r="C47" s="46">
        <f t="shared" si="4"/>
        <v>1269.7167839259741</v>
      </c>
      <c r="D47" s="47">
        <f t="shared" si="9"/>
        <v>0.83956333361016222</v>
      </c>
      <c r="F47" s="46">
        <f t="shared" si="8"/>
        <v>1210.2540799294991</v>
      </c>
      <c r="G47" s="46">
        <f t="shared" si="5"/>
        <v>1269.7167839259741</v>
      </c>
      <c r="H47" s="47">
        <f t="shared" si="10"/>
        <v>0.83956333361016222</v>
      </c>
      <c r="O47" s="108" t="s">
        <v>234</v>
      </c>
      <c r="P47" s="12">
        <v>10000</v>
      </c>
      <c r="Q47" s="12">
        <f t="shared" si="11"/>
        <v>15384.615384615385</v>
      </c>
      <c r="R47" s="112">
        <f t="shared" si="12"/>
        <v>3076.9230769230771</v>
      </c>
    </row>
    <row r="48" spans="2:18" x14ac:dyDescent="0.2">
      <c r="B48" s="46">
        <f t="shared" si="0"/>
        <v>1270.7167839259741</v>
      </c>
      <c r="C48" s="46">
        <f t="shared" si="4"/>
        <v>1333.2026231222728</v>
      </c>
      <c r="D48" s="47">
        <f t="shared" si="9"/>
        <v>0.84795896694626383</v>
      </c>
      <c r="F48" s="46">
        <f t="shared" si="8"/>
        <v>1270.7167839259741</v>
      </c>
      <c r="G48" s="46">
        <f t="shared" si="5"/>
        <v>1333.2026231222728</v>
      </c>
      <c r="H48" s="47">
        <f t="shared" si="10"/>
        <v>0.84795896694626383</v>
      </c>
      <c r="O48" s="108" t="s">
        <v>252</v>
      </c>
      <c r="P48" s="12">
        <v>9000</v>
      </c>
      <c r="Q48" s="12">
        <f t="shared" si="11"/>
        <v>13846.153846153846</v>
      </c>
      <c r="R48" s="112">
        <f t="shared" si="12"/>
        <v>2769.2307692307691</v>
      </c>
    </row>
    <row r="49" spans="2:18" ht="16" x14ac:dyDescent="0.2">
      <c r="B49" s="46">
        <f t="shared" si="0"/>
        <v>1334.2026231222728</v>
      </c>
      <c r="C49" s="46">
        <f t="shared" si="4"/>
        <v>1399.8627542783865</v>
      </c>
      <c r="D49" s="47">
        <f t="shared" si="9"/>
        <v>0.85643855661572643</v>
      </c>
      <c r="F49" s="46">
        <f t="shared" si="8"/>
        <v>1334.2026231222728</v>
      </c>
      <c r="G49" s="46">
        <f t="shared" si="5"/>
        <v>1399.8627542783865</v>
      </c>
      <c r="H49" s="47">
        <f t="shared" si="10"/>
        <v>0.85643855661572643</v>
      </c>
      <c r="J49" s="128" t="s">
        <v>351</v>
      </c>
      <c r="L49">
        <v>5</v>
      </c>
      <c r="O49" s="108" t="s">
        <v>306</v>
      </c>
      <c r="P49" s="12">
        <v>10000</v>
      </c>
      <c r="Q49" s="12">
        <f t="shared" si="11"/>
        <v>15384.615384615385</v>
      </c>
      <c r="R49" s="112">
        <f t="shared" si="12"/>
        <v>3076.9230769230771</v>
      </c>
    </row>
    <row r="50" spans="2:18" ht="16" x14ac:dyDescent="0.2">
      <c r="B50" s="46">
        <f t="shared" si="0"/>
        <v>1400.8627542783865</v>
      </c>
      <c r="C50" s="46">
        <f t="shared" si="4"/>
        <v>1469.8558919923059</v>
      </c>
      <c r="D50" s="47">
        <f t="shared" si="9"/>
        <v>0.86500294218188367</v>
      </c>
      <c r="F50" s="46">
        <f t="shared" si="8"/>
        <v>1400.8627542783865</v>
      </c>
      <c r="G50" s="46">
        <f t="shared" si="5"/>
        <v>1469.8558919923059</v>
      </c>
      <c r="H50" s="47">
        <f t="shared" si="10"/>
        <v>0.86500294218188367</v>
      </c>
      <c r="J50" s="128" t="s">
        <v>352</v>
      </c>
      <c r="L50">
        <v>7</v>
      </c>
      <c r="O50" s="108" t="s">
        <v>225</v>
      </c>
      <c r="P50" s="12">
        <v>15000</v>
      </c>
      <c r="Q50" s="12">
        <f t="shared" si="11"/>
        <v>23076.923076923074</v>
      </c>
      <c r="R50" s="112">
        <f t="shared" si="12"/>
        <v>4615.3846153846152</v>
      </c>
    </row>
    <row r="51" spans="2:18" ht="16" x14ac:dyDescent="0.2">
      <c r="B51" s="46">
        <f t="shared" si="0"/>
        <v>1470.8558919923059</v>
      </c>
      <c r="C51" s="46">
        <f t="shared" si="4"/>
        <v>1543.3486865919213</v>
      </c>
      <c r="D51" s="47">
        <f t="shared" si="9"/>
        <v>0.87365297160370248</v>
      </c>
      <c r="F51" s="46">
        <f t="shared" si="8"/>
        <v>1470.8558919923059</v>
      </c>
      <c r="G51" s="46">
        <f t="shared" ref="G51:G82" si="13">G50*1.05</f>
        <v>1543.3486865919213</v>
      </c>
      <c r="H51" s="47">
        <f t="shared" si="10"/>
        <v>0.87365297160370248</v>
      </c>
      <c r="J51" s="128" t="s">
        <v>353</v>
      </c>
      <c r="L51">
        <v>9</v>
      </c>
      <c r="O51" s="108" t="s">
        <v>224</v>
      </c>
      <c r="P51" s="12">
        <v>13000</v>
      </c>
      <c r="Q51" s="12">
        <f t="shared" si="11"/>
        <v>20000</v>
      </c>
      <c r="R51" s="112">
        <f t="shared" si="12"/>
        <v>4000</v>
      </c>
    </row>
    <row r="52" spans="2:18" ht="16" x14ac:dyDescent="0.2">
      <c r="B52" s="46">
        <f t="shared" si="0"/>
        <v>1544.3486865919213</v>
      </c>
      <c r="C52" s="46">
        <f t="shared" si="4"/>
        <v>1620.5161209215173</v>
      </c>
      <c r="D52" s="47">
        <f t="shared" si="9"/>
        <v>0.88238950131973948</v>
      </c>
      <c r="F52" s="46">
        <f t="shared" si="8"/>
        <v>1544.3486865919213</v>
      </c>
      <c r="G52" s="46">
        <f t="shared" si="13"/>
        <v>1620.5161209215173</v>
      </c>
      <c r="H52" s="47">
        <f t="shared" si="10"/>
        <v>0.88238950131973948</v>
      </c>
      <c r="J52" s="128" t="s">
        <v>354</v>
      </c>
      <c r="L52">
        <v>13</v>
      </c>
      <c r="O52" s="108" t="s">
        <v>181</v>
      </c>
      <c r="P52" s="12">
        <v>15000</v>
      </c>
      <c r="Q52" s="12">
        <f t="shared" si="11"/>
        <v>23076.923076923074</v>
      </c>
      <c r="R52" s="112">
        <f t="shared" si="12"/>
        <v>4615.3846153846152</v>
      </c>
    </row>
    <row r="53" spans="2:18" ht="16" x14ac:dyDescent="0.2">
      <c r="B53" s="46">
        <f t="shared" si="0"/>
        <v>1621.5161209215173</v>
      </c>
      <c r="C53" s="46">
        <f t="shared" si="4"/>
        <v>1701.5419269675933</v>
      </c>
      <c r="D53" s="47">
        <f t="shared" si="9"/>
        <v>0.89121339633293684</v>
      </c>
      <c r="F53" s="46">
        <f t="shared" si="8"/>
        <v>1621.5161209215173</v>
      </c>
      <c r="G53" s="46">
        <f t="shared" si="13"/>
        <v>1701.5419269675933</v>
      </c>
      <c r="H53" s="47">
        <f t="shared" si="10"/>
        <v>0.89121339633293684</v>
      </c>
      <c r="J53" s="128" t="s">
        <v>355</v>
      </c>
      <c r="L53">
        <v>15</v>
      </c>
      <c r="O53" s="108" t="s">
        <v>232</v>
      </c>
      <c r="P53" s="12">
        <v>15000</v>
      </c>
      <c r="Q53" s="12">
        <f t="shared" si="11"/>
        <v>23076.923076923074</v>
      </c>
      <c r="R53" s="112">
        <f t="shared" si="12"/>
        <v>4615.3846153846152</v>
      </c>
    </row>
    <row r="54" spans="2:18" ht="16" x14ac:dyDescent="0.2">
      <c r="B54" s="46">
        <f t="shared" si="0"/>
        <v>1702.5419269675933</v>
      </c>
      <c r="C54" s="46">
        <f t="shared" si="4"/>
        <v>1786.619023315973</v>
      </c>
      <c r="D54" s="47">
        <f t="shared" si="9"/>
        <v>0.90012553029626619</v>
      </c>
      <c r="F54" s="46">
        <f t="shared" si="8"/>
        <v>1702.5419269675933</v>
      </c>
      <c r="G54" s="46">
        <f t="shared" si="13"/>
        <v>1786.619023315973</v>
      </c>
      <c r="H54" s="47">
        <f t="shared" si="10"/>
        <v>0.90012553029626619</v>
      </c>
      <c r="J54" s="128" t="s">
        <v>356</v>
      </c>
      <c r="L54">
        <v>15</v>
      </c>
      <c r="O54" s="108" t="s">
        <v>235</v>
      </c>
      <c r="P54" s="12">
        <v>13000</v>
      </c>
      <c r="Q54" s="12">
        <f t="shared" si="11"/>
        <v>20000</v>
      </c>
      <c r="R54" s="112">
        <f t="shared" si="12"/>
        <v>4000</v>
      </c>
    </row>
    <row r="55" spans="2:18" ht="16" x14ac:dyDescent="0.2">
      <c r="B55" s="46">
        <f t="shared" si="0"/>
        <v>1787.619023315973</v>
      </c>
      <c r="C55" s="46">
        <f t="shared" si="4"/>
        <v>1875.9499744817717</v>
      </c>
      <c r="D55" s="47">
        <f t="shared" si="9"/>
        <v>0.90912678559922888</v>
      </c>
      <c r="F55" s="46">
        <f t="shared" si="8"/>
        <v>1787.619023315973</v>
      </c>
      <c r="G55" s="46">
        <f t="shared" si="13"/>
        <v>1875.9499744817717</v>
      </c>
      <c r="H55" s="47">
        <f t="shared" si="10"/>
        <v>0.90912678559922888</v>
      </c>
      <c r="J55" s="128" t="s">
        <v>357</v>
      </c>
      <c r="L55">
        <v>15</v>
      </c>
      <c r="O55" s="108" t="s">
        <v>233</v>
      </c>
      <c r="P55" s="12">
        <v>10000</v>
      </c>
      <c r="Q55" s="12">
        <f t="shared" si="11"/>
        <v>15384.615384615385</v>
      </c>
      <c r="R55" s="112">
        <f t="shared" si="12"/>
        <v>3076.9230769230771</v>
      </c>
    </row>
    <row r="56" spans="2:18" ht="16" x14ac:dyDescent="0.2">
      <c r="B56" s="46">
        <f t="shared" si="0"/>
        <v>1876.9499744817717</v>
      </c>
      <c r="C56" s="46">
        <f t="shared" si="4"/>
        <v>1969.7474732058604</v>
      </c>
      <c r="D56" s="47">
        <f t="shared" si="9"/>
        <v>0.91821805345522123</v>
      </c>
      <c r="F56" s="46">
        <f t="shared" si="8"/>
        <v>1876.9499744817717</v>
      </c>
      <c r="G56" s="46">
        <f t="shared" si="13"/>
        <v>1969.7474732058604</v>
      </c>
      <c r="H56" s="47">
        <f t="shared" si="10"/>
        <v>0.91821805345522123</v>
      </c>
      <c r="J56" s="128" t="s">
        <v>358</v>
      </c>
      <c r="L56">
        <v>20</v>
      </c>
      <c r="P56" s="12"/>
    </row>
    <row r="57" spans="2:18" ht="16" x14ac:dyDescent="0.2">
      <c r="B57" s="46">
        <f t="shared" si="0"/>
        <v>1970.7474732058604</v>
      </c>
      <c r="C57" s="46">
        <f t="shared" si="4"/>
        <v>2068.2348468661535</v>
      </c>
      <c r="D57" s="47">
        <f>D56*1.007</f>
        <v>0.92464557982940765</v>
      </c>
      <c r="F57" s="46">
        <f t="shared" si="8"/>
        <v>1970.7474732058604</v>
      </c>
      <c r="G57" s="46">
        <f t="shared" si="13"/>
        <v>2068.2348468661535</v>
      </c>
      <c r="H57" s="47">
        <f>H56*1.007</f>
        <v>0.92464557982940765</v>
      </c>
      <c r="J57" s="128" t="s">
        <v>359</v>
      </c>
      <c r="L57">
        <v>25</v>
      </c>
    </row>
    <row r="58" spans="2:18" ht="16" x14ac:dyDescent="0.2">
      <c r="B58" s="46">
        <f t="shared" si="0"/>
        <v>2069.2348468661535</v>
      </c>
      <c r="C58" s="46">
        <f t="shared" si="4"/>
        <v>2171.6465892094611</v>
      </c>
      <c r="D58" s="47">
        <f>D57*1.007</f>
        <v>0.9311180988882134</v>
      </c>
      <c r="F58" s="46">
        <f t="shared" si="8"/>
        <v>2069.2348468661535</v>
      </c>
      <c r="G58" s="46">
        <f t="shared" si="13"/>
        <v>2171.6465892094611</v>
      </c>
      <c r="H58" s="47">
        <f>H57*1.007</f>
        <v>0.9311180988882134</v>
      </c>
      <c r="J58" s="128" t="s">
        <v>360</v>
      </c>
      <c r="L58">
        <v>30</v>
      </c>
    </row>
    <row r="59" spans="2:18" ht="16" x14ac:dyDescent="0.2">
      <c r="B59" s="46">
        <f t="shared" si="0"/>
        <v>2172.6465892094611</v>
      </c>
      <c r="C59" s="46">
        <f t="shared" si="4"/>
        <v>2280.2289186699345</v>
      </c>
      <c r="D59" s="47">
        <f>D58*1.007</f>
        <v>0.93763592558043074</v>
      </c>
      <c r="F59" s="46">
        <f t="shared" si="8"/>
        <v>2172.6465892094611</v>
      </c>
      <c r="G59" s="46">
        <f t="shared" si="13"/>
        <v>2280.2289186699345</v>
      </c>
      <c r="H59" s="47">
        <f>H58*1.007</f>
        <v>0.93763592558043074</v>
      </c>
      <c r="J59" s="128" t="s">
        <v>361</v>
      </c>
      <c r="L59">
        <v>35</v>
      </c>
    </row>
    <row r="60" spans="2:18" ht="16" x14ac:dyDescent="0.2">
      <c r="B60" s="46">
        <f t="shared" si="0"/>
        <v>2281.2289186699345</v>
      </c>
      <c r="C60" s="46">
        <f t="shared" si="4"/>
        <v>2394.2403646034313</v>
      </c>
      <c r="D60" s="47">
        <f>D59*1.007</f>
        <v>0.94419937705949364</v>
      </c>
      <c r="F60" s="46">
        <f t="shared" si="8"/>
        <v>2281.2289186699345</v>
      </c>
      <c r="G60" s="46">
        <f t="shared" si="13"/>
        <v>2394.2403646034313</v>
      </c>
      <c r="H60" s="47">
        <f>H59*1.007</f>
        <v>0.94419937705949364</v>
      </c>
      <c r="J60" s="128" t="s">
        <v>362</v>
      </c>
      <c r="L60">
        <v>40</v>
      </c>
    </row>
    <row r="61" spans="2:18" ht="16" x14ac:dyDescent="0.2">
      <c r="B61" s="46">
        <f t="shared" si="0"/>
        <v>2395.2403646034313</v>
      </c>
      <c r="C61" s="46">
        <f t="shared" si="4"/>
        <v>2513.9523828336028</v>
      </c>
      <c r="D61" s="47">
        <v>0.95</v>
      </c>
      <c r="F61" s="46">
        <f t="shared" si="8"/>
        <v>2395.2403646034313</v>
      </c>
      <c r="G61" s="46">
        <f t="shared" si="13"/>
        <v>2513.9523828336028</v>
      </c>
      <c r="H61" s="47">
        <v>0.95</v>
      </c>
      <c r="J61" s="128" t="s">
        <v>363</v>
      </c>
      <c r="L61">
        <v>45</v>
      </c>
    </row>
    <row r="62" spans="2:18" x14ac:dyDescent="0.2">
      <c r="B62" s="46">
        <f t="shared" si="0"/>
        <v>2514.9523828336028</v>
      </c>
      <c r="C62" s="46">
        <f t="shared" si="4"/>
        <v>2639.650001975283</v>
      </c>
      <c r="D62" s="47">
        <v>0.95</v>
      </c>
      <c r="F62" s="46">
        <f t="shared" si="8"/>
        <v>2514.9523828336028</v>
      </c>
      <c r="G62" s="46">
        <f t="shared" si="13"/>
        <v>2639.650001975283</v>
      </c>
      <c r="H62" s="47">
        <v>0.95</v>
      </c>
    </row>
    <row r="63" spans="2:18" x14ac:dyDescent="0.2">
      <c r="B63" s="46">
        <f t="shared" si="0"/>
        <v>2640.650001975283</v>
      </c>
      <c r="C63" s="46">
        <f t="shared" si="4"/>
        <v>2771.6325020740474</v>
      </c>
      <c r="D63" s="47">
        <v>0.95</v>
      </c>
      <c r="F63" s="46">
        <f t="shared" si="8"/>
        <v>2640.650001975283</v>
      </c>
      <c r="G63" s="46">
        <f t="shared" si="13"/>
        <v>2771.6325020740474</v>
      </c>
      <c r="H63" s="47">
        <v>0.95</v>
      </c>
    </row>
    <row r="64" spans="2:18" x14ac:dyDescent="0.2">
      <c r="B64" s="46">
        <f t="shared" si="0"/>
        <v>2772.6325020740474</v>
      </c>
      <c r="C64" s="46">
        <f t="shared" si="4"/>
        <v>2910.21412717775</v>
      </c>
      <c r="D64" s="47">
        <v>0.95</v>
      </c>
      <c r="F64" s="46">
        <f t="shared" si="8"/>
        <v>2772.6325020740474</v>
      </c>
      <c r="G64" s="46">
        <f t="shared" si="13"/>
        <v>2910.21412717775</v>
      </c>
      <c r="H64" s="47">
        <v>0.95</v>
      </c>
      <c r="L64">
        <f>IF(D15="Nutrition",5,IF(D15="Dermatological",7,IF(D15="Muscular",9,IF(D15="Mental and behavioral disorders",13,IF(D15="Ophthalmology",15,IF(D15="Gastrointestinal",15,IF(D15="Endocrinology",15,IF(D15="Respiratory Ds",20,IF(D15="Infectious Ds",25,IF(D15="Genitourinary",30,IF(D15="Oncology",35,IF(D15="Neurology",40,IF(D15="Heart Ds",45,0)))))))))))))</f>
        <v>0</v>
      </c>
    </row>
    <row r="65" spans="2:12" x14ac:dyDescent="0.2">
      <c r="B65" s="46">
        <f t="shared" si="0"/>
        <v>2911.21412717775</v>
      </c>
      <c r="C65" s="46">
        <f t="shared" si="4"/>
        <v>3055.7248335366376</v>
      </c>
      <c r="D65" s="47">
        <v>0.95</v>
      </c>
      <c r="F65" s="46">
        <f t="shared" si="8"/>
        <v>2911.21412717775</v>
      </c>
      <c r="G65" s="46">
        <f t="shared" si="13"/>
        <v>3055.7248335366376</v>
      </c>
      <c r="H65" s="47">
        <v>0.95</v>
      </c>
    </row>
    <row r="66" spans="2:12" x14ac:dyDescent="0.2">
      <c r="B66" s="46">
        <f t="shared" si="0"/>
        <v>3056.7248335366376</v>
      </c>
      <c r="C66" s="46">
        <f t="shared" si="4"/>
        <v>3208.5110752134697</v>
      </c>
      <c r="D66" s="47">
        <v>0.95</v>
      </c>
      <c r="F66" s="46">
        <f t="shared" si="8"/>
        <v>3056.7248335366376</v>
      </c>
      <c r="G66" s="46">
        <f t="shared" si="13"/>
        <v>3208.5110752134697</v>
      </c>
      <c r="H66" s="47">
        <v>0.95</v>
      </c>
    </row>
    <row r="67" spans="2:12" x14ac:dyDescent="0.2">
      <c r="B67" s="46">
        <f t="shared" si="0"/>
        <v>3209.5110752134697</v>
      </c>
      <c r="C67" s="46">
        <f t="shared" si="4"/>
        <v>3368.9366289741433</v>
      </c>
      <c r="D67" s="47">
        <v>0.95</v>
      </c>
      <c r="F67" s="46">
        <f t="shared" si="8"/>
        <v>3209.5110752134697</v>
      </c>
      <c r="G67" s="46">
        <f t="shared" si="13"/>
        <v>3368.9366289741433</v>
      </c>
      <c r="H67" s="47">
        <v>0.95</v>
      </c>
    </row>
    <row r="68" spans="2:12" x14ac:dyDescent="0.2">
      <c r="B68" s="46">
        <f t="shared" si="0"/>
        <v>3369.9366289741433</v>
      </c>
      <c r="C68" s="46">
        <f t="shared" si="4"/>
        <v>3537.3834604228505</v>
      </c>
      <c r="D68" s="47">
        <v>0.95</v>
      </c>
      <c r="F68" s="46">
        <f t="shared" si="8"/>
        <v>3369.9366289741433</v>
      </c>
      <c r="G68" s="46">
        <f t="shared" si="13"/>
        <v>3537.3834604228505</v>
      </c>
      <c r="H68" s="47">
        <v>0.95</v>
      </c>
    </row>
    <row r="69" spans="2:12" x14ac:dyDescent="0.2">
      <c r="B69" s="46">
        <f t="shared" si="0"/>
        <v>3538.3834604228505</v>
      </c>
      <c r="C69" s="46">
        <f t="shared" si="4"/>
        <v>3714.2526334439931</v>
      </c>
      <c r="D69" s="47">
        <v>0.95</v>
      </c>
      <c r="F69" s="46">
        <f t="shared" si="8"/>
        <v>3538.3834604228505</v>
      </c>
      <c r="G69" s="46">
        <f t="shared" si="13"/>
        <v>3714.2526334439931</v>
      </c>
      <c r="H69" s="47">
        <v>0.95</v>
      </c>
      <c r="J69" t="s">
        <v>365</v>
      </c>
    </row>
    <row r="70" spans="2:12" x14ac:dyDescent="0.2">
      <c r="B70" s="46">
        <f t="shared" ref="B70:B91" si="14">C69+1</f>
        <v>3715.2526334439931</v>
      </c>
      <c r="C70" s="46">
        <f t="shared" si="4"/>
        <v>3899.9652651161928</v>
      </c>
      <c r="D70" s="47">
        <v>0.95</v>
      </c>
      <c r="F70" s="46">
        <f t="shared" ref="F70:F91" si="15">G69+1</f>
        <v>3715.2526334439931</v>
      </c>
      <c r="G70" s="46">
        <f t="shared" si="13"/>
        <v>3899.9652651161928</v>
      </c>
      <c r="H70" s="47">
        <v>0.95</v>
      </c>
    </row>
    <row r="71" spans="2:12" x14ac:dyDescent="0.2">
      <c r="B71" s="46">
        <f t="shared" si="14"/>
        <v>3900.9652651161928</v>
      </c>
      <c r="C71" s="46">
        <f t="shared" si="4"/>
        <v>4094.9635283720027</v>
      </c>
      <c r="D71" s="47">
        <v>0.95</v>
      </c>
      <c r="F71" s="46">
        <f t="shared" si="15"/>
        <v>3900.9652651161928</v>
      </c>
      <c r="G71" s="46">
        <f t="shared" si="13"/>
        <v>4094.9635283720027</v>
      </c>
      <c r="H71" s="47">
        <v>0.95</v>
      </c>
    </row>
    <row r="72" spans="2:12" x14ac:dyDescent="0.2">
      <c r="B72" s="46">
        <f t="shared" si="14"/>
        <v>4095.9635283720027</v>
      </c>
      <c r="C72" s="46">
        <f t="shared" si="4"/>
        <v>4299.7117047906031</v>
      </c>
      <c r="D72" s="47">
        <v>0.95</v>
      </c>
      <c r="F72" s="46">
        <f t="shared" si="15"/>
        <v>4095.9635283720027</v>
      </c>
      <c r="G72" s="46">
        <f t="shared" si="13"/>
        <v>4299.7117047906031</v>
      </c>
      <c r="H72" s="47">
        <v>0.95</v>
      </c>
    </row>
    <row r="73" spans="2:12" ht="17" x14ac:dyDescent="0.2">
      <c r="B73" s="46">
        <f t="shared" si="14"/>
        <v>4300.7117047906031</v>
      </c>
      <c r="C73" s="46">
        <f t="shared" si="4"/>
        <v>4514.6972900301334</v>
      </c>
      <c r="D73" s="47">
        <v>0.95</v>
      </c>
      <c r="F73" s="46">
        <f t="shared" si="15"/>
        <v>4300.7117047906031</v>
      </c>
      <c r="G73" s="46">
        <f t="shared" si="13"/>
        <v>4514.6972900301334</v>
      </c>
      <c r="H73" s="47">
        <v>0.95</v>
      </c>
      <c r="J73" s="141" t="s">
        <v>343</v>
      </c>
      <c r="L73" s="142">
        <v>0.5</v>
      </c>
    </row>
    <row r="74" spans="2:12" ht="17" x14ac:dyDescent="0.2">
      <c r="B74" s="46">
        <f t="shared" si="14"/>
        <v>4515.6972900301334</v>
      </c>
      <c r="C74" s="46">
        <f t="shared" si="4"/>
        <v>4740.4321545316407</v>
      </c>
      <c r="D74" s="47">
        <v>0.95</v>
      </c>
      <c r="F74" s="46">
        <f t="shared" si="15"/>
        <v>4515.6972900301334</v>
      </c>
      <c r="G74" s="46">
        <f t="shared" si="13"/>
        <v>4740.4321545316407</v>
      </c>
      <c r="H74" s="47">
        <v>0.95</v>
      </c>
      <c r="J74" s="141" t="s">
        <v>344</v>
      </c>
      <c r="L74" s="142">
        <v>0.5</v>
      </c>
    </row>
    <row r="75" spans="2:12" ht="17" x14ac:dyDescent="0.2">
      <c r="B75" s="46">
        <f t="shared" si="14"/>
        <v>4741.4321545316407</v>
      </c>
      <c r="C75" s="46">
        <f t="shared" si="4"/>
        <v>4977.4537622582229</v>
      </c>
      <c r="D75" s="47">
        <v>0.95</v>
      </c>
      <c r="F75" s="46">
        <f t="shared" si="15"/>
        <v>4741.4321545316407</v>
      </c>
      <c r="G75" s="46">
        <f t="shared" si="13"/>
        <v>4977.4537622582229</v>
      </c>
      <c r="H75" s="47">
        <v>0.95</v>
      </c>
      <c r="J75" s="141" t="s">
        <v>345</v>
      </c>
      <c r="L75" s="142">
        <v>0.5</v>
      </c>
    </row>
    <row r="76" spans="2:12" ht="17" x14ac:dyDescent="0.2">
      <c r="B76" s="46">
        <f t="shared" si="14"/>
        <v>4978.4537622582229</v>
      </c>
      <c r="C76" s="46">
        <f t="shared" si="4"/>
        <v>5226.3264503711343</v>
      </c>
      <c r="D76" s="47">
        <v>0.95</v>
      </c>
      <c r="F76" s="46">
        <f t="shared" si="15"/>
        <v>4978.4537622582229</v>
      </c>
      <c r="G76" s="46">
        <f t="shared" si="13"/>
        <v>5226.3264503711343</v>
      </c>
      <c r="H76" s="47">
        <v>0.95</v>
      </c>
      <c r="J76" s="141" t="s">
        <v>366</v>
      </c>
      <c r="L76" s="142">
        <v>0.4</v>
      </c>
    </row>
    <row r="77" spans="2:12" ht="17" x14ac:dyDescent="0.2">
      <c r="B77" s="46">
        <f t="shared" si="14"/>
        <v>5227.3264503711343</v>
      </c>
      <c r="C77" s="46">
        <f t="shared" si="4"/>
        <v>5487.6427728896915</v>
      </c>
      <c r="D77" s="47">
        <v>0.96</v>
      </c>
      <c r="F77" s="46">
        <f t="shared" si="15"/>
        <v>5227.3264503711343</v>
      </c>
      <c r="G77" s="46">
        <f t="shared" si="13"/>
        <v>5487.6427728896915</v>
      </c>
      <c r="H77" s="47">
        <v>0.96</v>
      </c>
      <c r="J77" s="141" t="s">
        <v>339</v>
      </c>
      <c r="L77" s="142">
        <v>0.3</v>
      </c>
    </row>
    <row r="78" spans="2:12" ht="17" x14ac:dyDescent="0.2">
      <c r="B78" s="46">
        <f t="shared" si="14"/>
        <v>5488.6427728896915</v>
      </c>
      <c r="C78" s="46">
        <f t="shared" si="4"/>
        <v>5762.0249115341767</v>
      </c>
      <c r="D78" s="47">
        <v>0.96</v>
      </c>
      <c r="F78" s="46">
        <f t="shared" si="15"/>
        <v>5488.6427728896915</v>
      </c>
      <c r="G78" s="46">
        <f t="shared" si="13"/>
        <v>5762.0249115341767</v>
      </c>
      <c r="H78" s="47">
        <v>0.96</v>
      </c>
      <c r="J78" s="141" t="s">
        <v>346</v>
      </c>
      <c r="L78" s="142">
        <v>0.15</v>
      </c>
    </row>
    <row r="79" spans="2:12" ht="17" x14ac:dyDescent="0.2">
      <c r="B79" s="46">
        <f t="shared" si="14"/>
        <v>5763.0249115341767</v>
      </c>
      <c r="C79" s="46">
        <f t="shared" si="4"/>
        <v>6050.1261571108862</v>
      </c>
      <c r="D79" s="47">
        <v>0.96</v>
      </c>
      <c r="F79" s="46">
        <f t="shared" si="15"/>
        <v>5763.0249115341767</v>
      </c>
      <c r="G79" s="46">
        <f t="shared" si="13"/>
        <v>6050.1261571108862</v>
      </c>
      <c r="H79" s="47">
        <v>0.96</v>
      </c>
      <c r="J79" s="141" t="s">
        <v>347</v>
      </c>
      <c r="L79" s="142">
        <v>0.1</v>
      </c>
    </row>
    <row r="80" spans="2:12" ht="17" x14ac:dyDescent="0.2">
      <c r="B80" s="46">
        <f t="shared" si="14"/>
        <v>6051.1261571108862</v>
      </c>
      <c r="C80" s="46">
        <f t="shared" si="4"/>
        <v>6352.6324649664311</v>
      </c>
      <c r="D80" s="47">
        <v>0.96</v>
      </c>
      <c r="F80" s="46">
        <f t="shared" si="15"/>
        <v>6051.1261571108862</v>
      </c>
      <c r="G80" s="46">
        <f t="shared" si="13"/>
        <v>6352.6324649664311</v>
      </c>
      <c r="H80" s="47">
        <v>0.96</v>
      </c>
      <c r="J80" s="141" t="s">
        <v>348</v>
      </c>
      <c r="L80" s="142">
        <v>0.1</v>
      </c>
    </row>
    <row r="81" spans="2:12" ht="17" x14ac:dyDescent="0.2">
      <c r="B81" s="46">
        <f t="shared" si="14"/>
        <v>6353.6324649664311</v>
      </c>
      <c r="C81" s="46">
        <f t="shared" si="4"/>
        <v>6670.2640882147534</v>
      </c>
      <c r="D81" s="47">
        <v>0.96</v>
      </c>
      <c r="F81" s="46">
        <f t="shared" si="15"/>
        <v>6353.6324649664311</v>
      </c>
      <c r="G81" s="46">
        <f t="shared" si="13"/>
        <v>6670.2640882147534</v>
      </c>
      <c r="H81" s="47">
        <v>0.96</v>
      </c>
      <c r="J81" s="141" t="s">
        <v>349</v>
      </c>
      <c r="L81" s="142">
        <v>0</v>
      </c>
    </row>
    <row r="82" spans="2:12" ht="17" x14ac:dyDescent="0.2">
      <c r="B82" s="46">
        <f t="shared" si="14"/>
        <v>6671.2640882147534</v>
      </c>
      <c r="C82" s="46">
        <f t="shared" si="4"/>
        <v>7003.7772926254911</v>
      </c>
      <c r="D82" s="47">
        <v>0.97</v>
      </c>
      <c r="F82" s="46">
        <f t="shared" si="15"/>
        <v>6671.2640882147534</v>
      </c>
      <c r="G82" s="46">
        <f t="shared" si="13"/>
        <v>7003.7772926254911</v>
      </c>
      <c r="H82" s="47">
        <v>0.97</v>
      </c>
      <c r="J82" s="141" t="s">
        <v>340</v>
      </c>
      <c r="L82" s="142">
        <v>0</v>
      </c>
    </row>
    <row r="83" spans="2:12" ht="17" x14ac:dyDescent="0.2">
      <c r="B83" s="46">
        <f t="shared" si="14"/>
        <v>7004.7772926254911</v>
      </c>
      <c r="C83" s="46">
        <f t="shared" ref="C83:C91" si="16">C82*1.05</f>
        <v>7353.9661572567657</v>
      </c>
      <c r="D83" s="47">
        <v>0.97</v>
      </c>
      <c r="F83" s="46">
        <f t="shared" si="15"/>
        <v>7004.7772926254911</v>
      </c>
      <c r="G83" s="46">
        <f t="shared" ref="G83:G91" si="17">G82*1.05</f>
        <v>7353.9661572567657</v>
      </c>
      <c r="H83" s="47">
        <v>0.97</v>
      </c>
      <c r="J83" s="141" t="s">
        <v>367</v>
      </c>
      <c r="L83" s="142">
        <v>0</v>
      </c>
    </row>
    <row r="84" spans="2:12" ht="17" x14ac:dyDescent="0.2">
      <c r="B84" s="46">
        <f t="shared" si="14"/>
        <v>7354.9661572567657</v>
      </c>
      <c r="C84" s="46">
        <f t="shared" si="16"/>
        <v>7721.6644651196038</v>
      </c>
      <c r="D84" s="47">
        <v>0.97</v>
      </c>
      <c r="F84" s="46">
        <f t="shared" si="15"/>
        <v>7354.9661572567657</v>
      </c>
      <c r="G84" s="46">
        <f t="shared" si="17"/>
        <v>7721.6644651196038</v>
      </c>
      <c r="H84" s="47">
        <v>0.97</v>
      </c>
      <c r="J84" s="141" t="s">
        <v>350</v>
      </c>
      <c r="L84" s="142">
        <v>0</v>
      </c>
    </row>
    <row r="85" spans="2:12" x14ac:dyDescent="0.2">
      <c r="B85" s="46">
        <f t="shared" si="14"/>
        <v>7722.6644651196038</v>
      </c>
      <c r="C85" s="46">
        <f t="shared" si="16"/>
        <v>8107.7476883755844</v>
      </c>
      <c r="D85" s="47">
        <v>0.97</v>
      </c>
      <c r="F85" s="46">
        <f t="shared" si="15"/>
        <v>7722.6644651196038</v>
      </c>
      <c r="G85" s="46">
        <f t="shared" si="17"/>
        <v>8107.7476883755844</v>
      </c>
      <c r="H85" s="47">
        <v>0.97</v>
      </c>
    </row>
    <row r="86" spans="2:12" x14ac:dyDescent="0.2">
      <c r="B86" s="46">
        <f t="shared" si="14"/>
        <v>8108.7476883755844</v>
      </c>
      <c r="C86" s="46">
        <f t="shared" si="16"/>
        <v>8513.1350727943645</v>
      </c>
      <c r="D86" s="47">
        <v>0.97</v>
      </c>
      <c r="F86" s="46">
        <f t="shared" si="15"/>
        <v>8108.7476883755844</v>
      </c>
      <c r="G86" s="46">
        <f t="shared" si="17"/>
        <v>8513.1350727943645</v>
      </c>
      <c r="H86" s="47">
        <v>0.97</v>
      </c>
    </row>
    <row r="87" spans="2:12" x14ac:dyDescent="0.2">
      <c r="B87" s="46">
        <f t="shared" si="14"/>
        <v>8514.1350727943645</v>
      </c>
      <c r="C87" s="46">
        <f t="shared" si="16"/>
        <v>8938.7918264340824</v>
      </c>
      <c r="D87" s="47">
        <v>0.98</v>
      </c>
      <c r="F87" s="46">
        <f t="shared" si="15"/>
        <v>8514.1350727943645</v>
      </c>
      <c r="G87" s="46">
        <f t="shared" si="17"/>
        <v>8938.7918264340824</v>
      </c>
      <c r="H87" s="47">
        <v>0.98</v>
      </c>
    </row>
    <row r="88" spans="2:12" x14ac:dyDescent="0.2">
      <c r="B88" s="46">
        <f t="shared" si="14"/>
        <v>8939.7918264340824</v>
      </c>
      <c r="C88" s="46">
        <f t="shared" si="16"/>
        <v>9385.7314177557873</v>
      </c>
      <c r="D88" s="47">
        <v>0.98</v>
      </c>
      <c r="F88" s="46">
        <f t="shared" si="15"/>
        <v>8939.7918264340824</v>
      </c>
      <c r="G88" s="46">
        <f t="shared" si="17"/>
        <v>9385.7314177557873</v>
      </c>
      <c r="H88" s="47">
        <v>0.98</v>
      </c>
    </row>
    <row r="89" spans="2:12" x14ac:dyDescent="0.2">
      <c r="B89" s="46">
        <f t="shared" si="14"/>
        <v>9386.7314177557873</v>
      </c>
      <c r="C89" s="46">
        <f t="shared" si="16"/>
        <v>9855.0179886435762</v>
      </c>
      <c r="D89" s="47">
        <v>0.98</v>
      </c>
      <c r="F89" s="46">
        <f t="shared" si="15"/>
        <v>9386.7314177557873</v>
      </c>
      <c r="G89" s="46">
        <f t="shared" si="17"/>
        <v>9855.0179886435762</v>
      </c>
      <c r="H89" s="47">
        <v>0.98</v>
      </c>
    </row>
    <row r="90" spans="2:12" x14ac:dyDescent="0.2">
      <c r="B90" s="46">
        <f t="shared" si="14"/>
        <v>9856.0179886435762</v>
      </c>
      <c r="C90" s="46">
        <f t="shared" si="16"/>
        <v>10347.768888075756</v>
      </c>
      <c r="D90" s="47">
        <v>0.98</v>
      </c>
      <c r="F90" s="46">
        <f t="shared" si="15"/>
        <v>9856.0179886435762</v>
      </c>
      <c r="G90" s="46">
        <f t="shared" si="17"/>
        <v>10347.768888075756</v>
      </c>
      <c r="H90" s="47">
        <v>0.98</v>
      </c>
    </row>
    <row r="91" spans="2:12" x14ac:dyDescent="0.2">
      <c r="B91" s="46">
        <f t="shared" si="14"/>
        <v>10348.768888075756</v>
      </c>
      <c r="C91" s="46">
        <f t="shared" si="16"/>
        <v>10865.157332479544</v>
      </c>
      <c r="D91" s="47">
        <v>0.98</v>
      </c>
      <c r="F91" s="46">
        <f t="shared" si="15"/>
        <v>10348.768888075756</v>
      </c>
      <c r="G91" s="46">
        <f t="shared" si="17"/>
        <v>10865.157332479544</v>
      </c>
      <c r="H91" s="47">
        <v>0.98</v>
      </c>
    </row>
    <row r="92" spans="2:12" x14ac:dyDescent="0.2">
      <c r="B92" s="46">
        <f>B91*1.05</f>
        <v>10866.207332479544</v>
      </c>
      <c r="C92" s="39"/>
      <c r="D92" s="47">
        <v>0.99</v>
      </c>
      <c r="F92" s="46">
        <f>F91*1.05</f>
        <v>10866.207332479544</v>
      </c>
      <c r="G92" s="39"/>
      <c r="H92" s="47">
        <v>0.99</v>
      </c>
    </row>
  </sheetData>
  <mergeCells count="4">
    <mergeCell ref="F3:G3"/>
    <mergeCell ref="F2:H2"/>
    <mergeCell ref="B2:D2"/>
    <mergeCell ref="B3:C3"/>
  </mergeCells>
  <pageMargins left="0.511811024" right="0.511811024" top="0.78740157499999996" bottom="0.78740157499999996" header="0.31496062000000002" footer="0.31496062000000002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B75A-C12B-8C44-AA56-173255F7D6BC}">
  <dimension ref="A1:AP47"/>
  <sheetViews>
    <sheetView tabSelected="1" zoomScale="162" zoomScaleNormal="85" workbookViewId="0">
      <selection activeCell="D2" sqref="D2"/>
    </sheetView>
  </sheetViews>
  <sheetFormatPr baseColWidth="10" defaultColWidth="11.5" defaultRowHeight="22" customHeight="1" x14ac:dyDescent="0.2"/>
  <cols>
    <col min="1" max="1" width="4.5" style="224" bestFit="1" customWidth="1"/>
    <col min="2" max="2" width="13.83203125" style="220" bestFit="1" customWidth="1"/>
    <col min="3" max="3" width="12" style="221" bestFit="1" customWidth="1"/>
    <col min="4" max="4" width="6.6640625" style="222" bestFit="1" customWidth="1"/>
    <col min="5" max="5" width="11.33203125" style="221" bestFit="1" customWidth="1"/>
    <col min="6" max="6" width="15" style="223" customWidth="1"/>
    <col min="7" max="7" width="11.33203125" style="223" bestFit="1" customWidth="1"/>
    <col min="8" max="8" width="4" style="223" bestFit="1" customWidth="1"/>
    <col min="9" max="9" width="11.1640625" style="220" customWidth="1"/>
    <col min="10" max="10" width="3" style="220" customWidth="1"/>
    <col min="11" max="11" width="12" style="224" customWidth="1"/>
    <col min="12" max="12" width="17" style="224" bestFit="1" customWidth="1"/>
    <col min="13" max="13" width="13.1640625" style="224" bestFit="1" customWidth="1"/>
    <col min="14" max="14" width="4" style="224" bestFit="1" customWidth="1"/>
    <col min="15" max="15" width="14.33203125" style="224" bestFit="1" customWidth="1"/>
    <col min="16" max="16" width="16.6640625" style="225" bestFit="1" customWidth="1"/>
    <col min="17" max="17" width="3" style="225" customWidth="1"/>
    <col min="18" max="18" width="16.6640625" style="224" bestFit="1" customWidth="1"/>
    <col min="19" max="19" width="10.1640625" style="224" bestFit="1" customWidth="1"/>
    <col min="20" max="21" width="15.83203125" style="224" customWidth="1"/>
    <col min="22" max="22" width="3" style="224" customWidth="1"/>
    <col min="23" max="23" width="13.83203125" style="224" bestFit="1" customWidth="1"/>
    <col min="24" max="24" width="13.1640625" style="224" bestFit="1" customWidth="1"/>
    <col min="25" max="25" width="3" style="224" customWidth="1"/>
    <col min="26" max="31" width="13.5" style="225" customWidth="1"/>
    <col min="32" max="32" width="3" style="225" customWidth="1"/>
    <col min="33" max="34" width="13.5" style="225" customWidth="1"/>
    <col min="35" max="38" width="13.5" style="224" customWidth="1"/>
    <col min="39" max="39" width="3" style="308" customWidth="1"/>
    <col min="40" max="40" width="4" style="311" bestFit="1" customWidth="1"/>
    <col min="41" max="41" width="13.6640625" style="315" bestFit="1" customWidth="1"/>
    <col min="42" max="16384" width="11.5" style="308"/>
  </cols>
  <sheetData>
    <row r="1" spans="1:42" ht="15" x14ac:dyDescent="0.2">
      <c r="A1" s="182" t="s">
        <v>382</v>
      </c>
      <c r="C1" s="249"/>
      <c r="D1" s="250" t="s">
        <v>552</v>
      </c>
      <c r="E1" s="251"/>
      <c r="Z1" s="226"/>
      <c r="AA1" s="226"/>
      <c r="AB1" s="226"/>
      <c r="AC1" s="226"/>
      <c r="AD1" s="226"/>
      <c r="AE1" s="226"/>
      <c r="AG1" s="226"/>
      <c r="AH1" s="226"/>
      <c r="AI1" s="226"/>
      <c r="AJ1" s="226"/>
      <c r="AK1" s="226"/>
      <c r="AL1" s="226"/>
    </row>
    <row r="2" spans="1:42" ht="15" x14ac:dyDescent="0.2">
      <c r="Z2" s="219" t="s">
        <v>535</v>
      </c>
      <c r="AA2" s="219"/>
      <c r="AB2" s="219"/>
      <c r="AC2" s="219"/>
      <c r="AD2" s="219"/>
      <c r="AE2" s="219"/>
      <c r="AG2" s="219" t="s">
        <v>536</v>
      </c>
      <c r="AH2" s="219"/>
      <c r="AI2" s="219"/>
      <c r="AJ2" s="219"/>
      <c r="AK2" s="219"/>
      <c r="AL2" s="219"/>
    </row>
    <row r="3" spans="1:42" ht="15" x14ac:dyDescent="0.2">
      <c r="F3" s="186"/>
      <c r="M3" s="211" t="s">
        <v>388</v>
      </c>
      <c r="N3" s="211"/>
      <c r="O3" s="211"/>
      <c r="W3" s="213" t="s">
        <v>413</v>
      </c>
      <c r="X3" s="214"/>
      <c r="Z3" s="253" t="s">
        <v>532</v>
      </c>
      <c r="AA3" s="253"/>
      <c r="AB3" s="254" t="s">
        <v>533</v>
      </c>
      <c r="AC3" s="254"/>
      <c r="AD3" s="255" t="s">
        <v>534</v>
      </c>
      <c r="AE3" s="255"/>
      <c r="AG3" s="256" t="s">
        <v>532</v>
      </c>
      <c r="AH3" s="256"/>
      <c r="AI3" s="257" t="s">
        <v>533</v>
      </c>
      <c r="AJ3" s="257"/>
      <c r="AK3" s="258" t="s">
        <v>534</v>
      </c>
      <c r="AL3" s="258"/>
    </row>
    <row r="4" spans="1:42" s="309" customFormat="1" ht="44" customHeight="1" x14ac:dyDescent="0.2">
      <c r="A4" s="190" t="s">
        <v>384</v>
      </c>
      <c r="B4" s="193" t="s">
        <v>383</v>
      </c>
      <c r="C4" s="212" t="s">
        <v>385</v>
      </c>
      <c r="D4" s="212"/>
      <c r="E4" s="212"/>
      <c r="F4" s="187" t="s">
        <v>393</v>
      </c>
      <c r="G4" s="212" t="s">
        <v>394</v>
      </c>
      <c r="H4" s="212"/>
      <c r="I4" s="212"/>
      <c r="J4" s="194"/>
      <c r="K4" s="190" t="s">
        <v>387</v>
      </c>
      <c r="L4" s="188" t="s">
        <v>389</v>
      </c>
      <c r="M4" s="189" t="s">
        <v>402</v>
      </c>
      <c r="N4" s="189"/>
      <c r="O4" s="189" t="s">
        <v>403</v>
      </c>
      <c r="P4" s="188" t="s">
        <v>390</v>
      </c>
      <c r="Q4" s="188"/>
      <c r="R4" s="188" t="s">
        <v>391</v>
      </c>
      <c r="S4" s="188" t="s">
        <v>396</v>
      </c>
      <c r="T4" s="188" t="s">
        <v>397</v>
      </c>
      <c r="U4" s="188" t="s">
        <v>398</v>
      </c>
      <c r="V4" s="190"/>
      <c r="W4" s="205" t="s">
        <v>411</v>
      </c>
      <c r="X4" s="206" t="s">
        <v>412</v>
      </c>
      <c r="Y4" s="190"/>
      <c r="Z4" s="188" t="s">
        <v>402</v>
      </c>
      <c r="AA4" s="252" t="s">
        <v>403</v>
      </c>
      <c r="AB4" s="188" t="s">
        <v>402</v>
      </c>
      <c r="AC4" s="252" t="s">
        <v>403</v>
      </c>
      <c r="AD4" s="188" t="s">
        <v>402</v>
      </c>
      <c r="AE4" s="252" t="s">
        <v>403</v>
      </c>
      <c r="AF4" s="188"/>
      <c r="AG4" s="188" t="s">
        <v>402</v>
      </c>
      <c r="AH4" s="188" t="s">
        <v>403</v>
      </c>
      <c r="AI4" s="188" t="s">
        <v>402</v>
      </c>
      <c r="AJ4" s="188" t="s">
        <v>403</v>
      </c>
      <c r="AK4" s="188" t="s">
        <v>402</v>
      </c>
      <c r="AL4" s="188" t="s">
        <v>403</v>
      </c>
      <c r="AN4" s="312"/>
      <c r="AO4" s="316"/>
    </row>
    <row r="5" spans="1:42" s="310" customFormat="1" ht="22" customHeight="1" x14ac:dyDescent="0.2">
      <c r="A5" s="227" t="s">
        <v>379</v>
      </c>
      <c r="B5" s="228">
        <v>50000000</v>
      </c>
      <c r="C5" s="229">
        <f t="shared" ref="C5:C14" si="0">$C$15*(1-F5)</f>
        <v>4.7499999999999999E-3</v>
      </c>
      <c r="D5" s="230" t="s">
        <v>392</v>
      </c>
      <c r="E5" s="229">
        <f t="shared" ref="E5:E14" si="1">$E$15*(1-F5)</f>
        <v>9.4999999999999998E-3</v>
      </c>
      <c r="F5" s="231">
        <v>0.05</v>
      </c>
      <c r="G5" s="232">
        <f>B5*C5</f>
        <v>237500</v>
      </c>
      <c r="H5" s="230" t="s">
        <v>392</v>
      </c>
      <c r="I5" s="232">
        <f>B5*E5</f>
        <v>475000</v>
      </c>
      <c r="J5" s="232"/>
      <c r="K5" s="225">
        <v>22</v>
      </c>
      <c r="L5" s="230">
        <f t="shared" ref="L5:L15" si="2">B5*K5</f>
        <v>1100000000</v>
      </c>
      <c r="M5" s="232">
        <f>G5*K5</f>
        <v>5225000</v>
      </c>
      <c r="N5" s="230" t="s">
        <v>392</v>
      </c>
      <c r="O5" s="232">
        <f>I5*K5</f>
        <v>10450000</v>
      </c>
      <c r="P5" s="233">
        <f>E33</f>
        <v>0.79999999999999993</v>
      </c>
      <c r="Q5" s="233"/>
      <c r="R5" s="232">
        <f>M5*(1+P5)</f>
        <v>9405000</v>
      </c>
      <c r="S5" s="229">
        <f>R5/L5</f>
        <v>8.5500000000000003E-3</v>
      </c>
      <c r="T5" s="232">
        <f>R5/K5</f>
        <v>427500</v>
      </c>
      <c r="U5" s="232">
        <f t="shared" ref="U5:U15" si="3">R5/$C$24</f>
        <v>31350</v>
      </c>
      <c r="V5" s="227"/>
      <c r="W5" s="234">
        <f t="shared" ref="W5:W15" si="4">T5*6</f>
        <v>2565000</v>
      </c>
      <c r="X5" s="235">
        <f>W5*1.45</f>
        <v>3719250</v>
      </c>
      <c r="Y5" s="227"/>
      <c r="Z5" s="232">
        <f>AB5*0.7</f>
        <v>6583500</v>
      </c>
      <c r="AA5" s="232">
        <f>AC5*0.7</f>
        <v>7315000</v>
      </c>
      <c r="AB5" s="232">
        <f t="shared" ref="AB5:AB14" si="5">R5</f>
        <v>9405000</v>
      </c>
      <c r="AC5" s="232">
        <f t="shared" ref="AC5:AC14" si="6">O5</f>
        <v>10450000</v>
      </c>
      <c r="AD5" s="232">
        <f>AB5*1.3</f>
        <v>12226500</v>
      </c>
      <c r="AE5" s="232">
        <f>AC5*1.3</f>
        <v>13585000</v>
      </c>
      <c r="AF5" s="233"/>
      <c r="AG5" s="232">
        <f>AI5*0.7</f>
        <v>1795500</v>
      </c>
      <c r="AH5" s="232">
        <f>AJ5*0.7</f>
        <v>2603475</v>
      </c>
      <c r="AI5" s="232">
        <f t="shared" ref="AI5:AI10" si="7">W5</f>
        <v>2565000</v>
      </c>
      <c r="AJ5" s="232">
        <f t="shared" ref="AJ5:AJ10" si="8">X5</f>
        <v>3719250</v>
      </c>
      <c r="AK5" s="232">
        <f>AI5*1.3</f>
        <v>3334500</v>
      </c>
      <c r="AL5" s="232">
        <f>AJ5*1.3</f>
        <v>4835025</v>
      </c>
      <c r="AN5" s="313"/>
      <c r="AO5" s="317"/>
    </row>
    <row r="6" spans="1:42" s="310" customFormat="1" ht="22" customHeight="1" x14ac:dyDescent="0.2">
      <c r="A6" s="227" t="s">
        <v>379</v>
      </c>
      <c r="B6" s="228">
        <v>40000000</v>
      </c>
      <c r="C6" s="229">
        <f t="shared" si="0"/>
        <v>4.2500000000000003E-3</v>
      </c>
      <c r="D6" s="230" t="s">
        <v>392</v>
      </c>
      <c r="E6" s="229">
        <f t="shared" si="1"/>
        <v>8.5000000000000006E-3</v>
      </c>
      <c r="F6" s="231">
        <v>0.15</v>
      </c>
      <c r="G6" s="232">
        <f t="shared" ref="G6:G15" si="9">B6*C6</f>
        <v>170000</v>
      </c>
      <c r="H6" s="230" t="s">
        <v>392</v>
      </c>
      <c r="I6" s="232">
        <f t="shared" ref="I6:I15" si="10">B6*E6</f>
        <v>340000</v>
      </c>
      <c r="J6" s="232"/>
      <c r="K6" s="225">
        <f>K5</f>
        <v>22</v>
      </c>
      <c r="L6" s="230">
        <f t="shared" si="2"/>
        <v>880000000</v>
      </c>
      <c r="M6" s="232">
        <f>G6*K6</f>
        <v>3740000</v>
      </c>
      <c r="N6" s="230" t="s">
        <v>392</v>
      </c>
      <c r="O6" s="232">
        <f>I6*K6</f>
        <v>7480000</v>
      </c>
      <c r="P6" s="233">
        <f>E33</f>
        <v>0.79999999999999993</v>
      </c>
      <c r="Q6" s="233"/>
      <c r="R6" s="232">
        <f>M6*(1+P6)</f>
        <v>6731999.9999999991</v>
      </c>
      <c r="S6" s="229">
        <f>R6/L6</f>
        <v>7.6499999999999988E-3</v>
      </c>
      <c r="T6" s="232">
        <f>R6/K6</f>
        <v>305999.99999999994</v>
      </c>
      <c r="U6" s="232">
        <f t="shared" si="3"/>
        <v>22439.999999999996</v>
      </c>
      <c r="V6" s="227"/>
      <c r="W6" s="234">
        <f t="shared" si="4"/>
        <v>1835999.9999999995</v>
      </c>
      <c r="X6" s="235">
        <f t="shared" ref="X6:X15" si="11">W6*1.45</f>
        <v>2662199.9999999991</v>
      </c>
      <c r="Y6" s="227"/>
      <c r="Z6" s="232">
        <f t="shared" ref="Z6:Z15" si="12">AB6*0.7</f>
        <v>4712399.9999999991</v>
      </c>
      <c r="AA6" s="232">
        <f t="shared" ref="AA6:AA15" si="13">AC6*0.7</f>
        <v>5236000</v>
      </c>
      <c r="AB6" s="232">
        <f t="shared" si="5"/>
        <v>6731999.9999999991</v>
      </c>
      <c r="AC6" s="232">
        <f t="shared" si="6"/>
        <v>7480000</v>
      </c>
      <c r="AD6" s="232">
        <f t="shared" ref="AD6:AD15" si="14">AB6*1.3</f>
        <v>8751600</v>
      </c>
      <c r="AE6" s="232">
        <f t="shared" ref="AE6:AE15" si="15">AC6*1.3</f>
        <v>9724000</v>
      </c>
      <c r="AF6" s="233"/>
      <c r="AG6" s="232">
        <f t="shared" ref="AG6:AG15" si="16">AI6*0.7</f>
        <v>1285199.9999999995</v>
      </c>
      <c r="AH6" s="232">
        <f t="shared" ref="AH6:AH15" si="17">AJ6*0.7</f>
        <v>1863539.9999999993</v>
      </c>
      <c r="AI6" s="232">
        <f t="shared" si="7"/>
        <v>1835999.9999999995</v>
      </c>
      <c r="AJ6" s="232">
        <f t="shared" si="8"/>
        <v>2662199.9999999991</v>
      </c>
      <c r="AK6" s="232">
        <f t="shared" ref="AK6:AK15" si="18">AI6*1.3</f>
        <v>2386799.9999999995</v>
      </c>
      <c r="AL6" s="232">
        <f t="shared" ref="AL6:AL15" si="19">AJ6*1.3</f>
        <v>3460859.9999999991</v>
      </c>
      <c r="AN6" s="313"/>
      <c r="AO6" s="317"/>
    </row>
    <row r="7" spans="1:42" s="310" customFormat="1" ht="22" customHeight="1" x14ac:dyDescent="0.2">
      <c r="A7" s="227" t="s">
        <v>379</v>
      </c>
      <c r="B7" s="228">
        <v>30000000</v>
      </c>
      <c r="C7" s="229">
        <f t="shared" si="0"/>
        <v>4.0000000000000001E-3</v>
      </c>
      <c r="D7" s="230" t="s">
        <v>392</v>
      </c>
      <c r="E7" s="229">
        <f t="shared" si="1"/>
        <v>8.0000000000000002E-3</v>
      </c>
      <c r="F7" s="231">
        <v>0.2</v>
      </c>
      <c r="G7" s="232">
        <f t="shared" si="9"/>
        <v>120000</v>
      </c>
      <c r="H7" s="230" t="s">
        <v>392</v>
      </c>
      <c r="I7" s="232">
        <f t="shared" si="10"/>
        <v>240000</v>
      </c>
      <c r="J7" s="232"/>
      <c r="K7" s="225">
        <f>K5</f>
        <v>22</v>
      </c>
      <c r="L7" s="230">
        <f t="shared" si="2"/>
        <v>660000000</v>
      </c>
      <c r="M7" s="232">
        <f>G7*K7</f>
        <v>2640000</v>
      </c>
      <c r="N7" s="230" t="s">
        <v>392</v>
      </c>
      <c r="O7" s="232">
        <f>I7*K7</f>
        <v>5280000</v>
      </c>
      <c r="P7" s="233">
        <f>E33</f>
        <v>0.79999999999999993</v>
      </c>
      <c r="Q7" s="233"/>
      <c r="R7" s="232">
        <f>M7*(1+P7)</f>
        <v>4751999.9999999991</v>
      </c>
      <c r="S7" s="229">
        <f>R7/L7</f>
        <v>7.1999999999999989E-3</v>
      </c>
      <c r="T7" s="232">
        <f>R7/K7</f>
        <v>215999.99999999997</v>
      </c>
      <c r="U7" s="232">
        <f t="shared" si="3"/>
        <v>15839.999999999996</v>
      </c>
      <c r="V7" s="227"/>
      <c r="W7" s="234">
        <f t="shared" si="4"/>
        <v>1295999.9999999998</v>
      </c>
      <c r="X7" s="235">
        <f t="shared" si="11"/>
        <v>1879199.9999999995</v>
      </c>
      <c r="Y7" s="227"/>
      <c r="Z7" s="232">
        <f t="shared" si="12"/>
        <v>3326399.9999999991</v>
      </c>
      <c r="AA7" s="232">
        <f t="shared" si="13"/>
        <v>3695999.9999999995</v>
      </c>
      <c r="AB7" s="232">
        <f t="shared" si="5"/>
        <v>4751999.9999999991</v>
      </c>
      <c r="AC7" s="232">
        <f t="shared" si="6"/>
        <v>5280000</v>
      </c>
      <c r="AD7" s="232">
        <f t="shared" si="14"/>
        <v>6177599.9999999991</v>
      </c>
      <c r="AE7" s="232">
        <f t="shared" si="15"/>
        <v>6864000</v>
      </c>
      <c r="AF7" s="233"/>
      <c r="AG7" s="232">
        <f t="shared" si="16"/>
        <v>907199.99999999977</v>
      </c>
      <c r="AH7" s="232">
        <f t="shared" si="17"/>
        <v>1315439.9999999995</v>
      </c>
      <c r="AI7" s="232">
        <f t="shared" si="7"/>
        <v>1295999.9999999998</v>
      </c>
      <c r="AJ7" s="232">
        <f t="shared" si="8"/>
        <v>1879199.9999999995</v>
      </c>
      <c r="AK7" s="232">
        <f t="shared" si="18"/>
        <v>1684799.9999999998</v>
      </c>
      <c r="AL7" s="232">
        <f t="shared" si="19"/>
        <v>2442959.9999999995</v>
      </c>
      <c r="AN7" s="313"/>
      <c r="AO7" s="317"/>
    </row>
    <row r="8" spans="1:42" s="310" customFormat="1" ht="22" customHeight="1" x14ac:dyDescent="0.2">
      <c r="A8" s="227" t="s">
        <v>379</v>
      </c>
      <c r="B8" s="228">
        <v>25000000</v>
      </c>
      <c r="C8" s="229">
        <f t="shared" si="0"/>
        <v>3.4999999999999996E-3</v>
      </c>
      <c r="D8" s="230" t="s">
        <v>392</v>
      </c>
      <c r="E8" s="229">
        <f t="shared" si="1"/>
        <v>6.9999999999999993E-3</v>
      </c>
      <c r="F8" s="231">
        <v>0.3</v>
      </c>
      <c r="G8" s="232">
        <f t="shared" si="9"/>
        <v>87499.999999999985</v>
      </c>
      <c r="H8" s="230" t="s">
        <v>392</v>
      </c>
      <c r="I8" s="232">
        <f t="shared" si="10"/>
        <v>174999.99999999997</v>
      </c>
      <c r="J8" s="232"/>
      <c r="K8" s="225">
        <f>K5</f>
        <v>22</v>
      </c>
      <c r="L8" s="230">
        <f t="shared" si="2"/>
        <v>550000000</v>
      </c>
      <c r="M8" s="232">
        <f>G8*K8</f>
        <v>1924999.9999999998</v>
      </c>
      <c r="N8" s="230" t="s">
        <v>392</v>
      </c>
      <c r="O8" s="232">
        <f>I8*K8</f>
        <v>3849999.9999999995</v>
      </c>
      <c r="P8" s="233">
        <f>E33</f>
        <v>0.79999999999999993</v>
      </c>
      <c r="Q8" s="233"/>
      <c r="R8" s="232">
        <f>M8*(1+P8)</f>
        <v>3464999.9999999991</v>
      </c>
      <c r="S8" s="229">
        <f>R8/L8</f>
        <v>6.2999999999999983E-3</v>
      </c>
      <c r="T8" s="232">
        <f>R8/K8</f>
        <v>157499.99999999997</v>
      </c>
      <c r="U8" s="232">
        <f t="shared" si="3"/>
        <v>11549.999999999996</v>
      </c>
      <c r="V8" s="227"/>
      <c r="W8" s="234">
        <f t="shared" si="4"/>
        <v>944999.99999999977</v>
      </c>
      <c r="X8" s="235">
        <f t="shared" si="11"/>
        <v>1370249.9999999995</v>
      </c>
      <c r="Y8" s="227"/>
      <c r="Z8" s="232">
        <f t="shared" si="12"/>
        <v>2425499.9999999991</v>
      </c>
      <c r="AA8" s="232">
        <f t="shared" si="13"/>
        <v>2694999.9999999995</v>
      </c>
      <c r="AB8" s="232">
        <f t="shared" si="5"/>
        <v>3464999.9999999991</v>
      </c>
      <c r="AC8" s="232">
        <f t="shared" si="6"/>
        <v>3849999.9999999995</v>
      </c>
      <c r="AD8" s="232">
        <f t="shared" si="14"/>
        <v>4504499.9999999991</v>
      </c>
      <c r="AE8" s="232">
        <f t="shared" si="15"/>
        <v>5005000</v>
      </c>
      <c r="AF8" s="233"/>
      <c r="AG8" s="232">
        <f t="shared" si="16"/>
        <v>661499.99999999977</v>
      </c>
      <c r="AH8" s="232">
        <f t="shared" si="17"/>
        <v>959174.99999999965</v>
      </c>
      <c r="AI8" s="232">
        <f t="shared" si="7"/>
        <v>944999.99999999977</v>
      </c>
      <c r="AJ8" s="232">
        <f t="shared" si="8"/>
        <v>1370249.9999999995</v>
      </c>
      <c r="AK8" s="232">
        <f t="shared" si="18"/>
        <v>1228499.9999999998</v>
      </c>
      <c r="AL8" s="232">
        <f t="shared" si="19"/>
        <v>1781324.9999999995</v>
      </c>
      <c r="AN8" s="313"/>
      <c r="AO8" s="317"/>
    </row>
    <row r="9" spans="1:42" s="310" customFormat="1" ht="22" customHeight="1" x14ac:dyDescent="0.2">
      <c r="A9" s="227" t="s">
        <v>379</v>
      </c>
      <c r="B9" s="228">
        <v>20000000</v>
      </c>
      <c r="C9" s="229">
        <f t="shared" si="0"/>
        <v>3.2500000000000003E-3</v>
      </c>
      <c r="D9" s="230" t="s">
        <v>392</v>
      </c>
      <c r="E9" s="229">
        <f t="shared" si="1"/>
        <v>6.5000000000000006E-3</v>
      </c>
      <c r="F9" s="231">
        <v>0.35</v>
      </c>
      <c r="G9" s="232">
        <f t="shared" si="9"/>
        <v>65000.000000000007</v>
      </c>
      <c r="H9" s="230" t="s">
        <v>392</v>
      </c>
      <c r="I9" s="232">
        <f t="shared" si="10"/>
        <v>130000.00000000001</v>
      </c>
      <c r="J9" s="232"/>
      <c r="K9" s="225">
        <f>K5</f>
        <v>22</v>
      </c>
      <c r="L9" s="230">
        <f t="shared" si="2"/>
        <v>440000000</v>
      </c>
      <c r="M9" s="232">
        <f>G9*K9</f>
        <v>1430000.0000000002</v>
      </c>
      <c r="N9" s="230" t="s">
        <v>392</v>
      </c>
      <c r="O9" s="232">
        <f>I9*K9</f>
        <v>2860000.0000000005</v>
      </c>
      <c r="P9" s="233">
        <f>E33</f>
        <v>0.79999999999999993</v>
      </c>
      <c r="Q9" s="233"/>
      <c r="R9" s="232">
        <f>M9*(1+P9)</f>
        <v>2574000</v>
      </c>
      <c r="S9" s="229">
        <f>R9/L9</f>
        <v>5.8500000000000002E-3</v>
      </c>
      <c r="T9" s="232">
        <f>R9/K9</f>
        <v>117000</v>
      </c>
      <c r="U9" s="232">
        <f t="shared" si="3"/>
        <v>8580</v>
      </c>
      <c r="V9" s="227"/>
      <c r="W9" s="234">
        <f t="shared" si="4"/>
        <v>702000</v>
      </c>
      <c r="X9" s="235">
        <f t="shared" si="11"/>
        <v>1017900</v>
      </c>
      <c r="Y9" s="227"/>
      <c r="Z9" s="232">
        <f t="shared" si="12"/>
        <v>1801800</v>
      </c>
      <c r="AA9" s="232">
        <f t="shared" si="13"/>
        <v>2002000.0000000002</v>
      </c>
      <c r="AB9" s="232">
        <f t="shared" si="5"/>
        <v>2574000</v>
      </c>
      <c r="AC9" s="232">
        <f t="shared" si="6"/>
        <v>2860000.0000000005</v>
      </c>
      <c r="AD9" s="232">
        <f t="shared" si="14"/>
        <v>3346200</v>
      </c>
      <c r="AE9" s="232">
        <f t="shared" si="15"/>
        <v>3718000.0000000009</v>
      </c>
      <c r="AF9" s="233"/>
      <c r="AG9" s="232">
        <f t="shared" si="16"/>
        <v>491399.99999999994</v>
      </c>
      <c r="AH9" s="232">
        <f t="shared" si="17"/>
        <v>712530</v>
      </c>
      <c r="AI9" s="232">
        <f t="shared" si="7"/>
        <v>702000</v>
      </c>
      <c r="AJ9" s="232">
        <f t="shared" si="8"/>
        <v>1017900</v>
      </c>
      <c r="AK9" s="232">
        <f t="shared" si="18"/>
        <v>912600</v>
      </c>
      <c r="AL9" s="232">
        <f t="shared" si="19"/>
        <v>1323270</v>
      </c>
      <c r="AN9" s="313"/>
      <c r="AO9" s="317"/>
    </row>
    <row r="10" spans="1:42" s="310" customFormat="1" ht="22" customHeight="1" x14ac:dyDescent="0.2">
      <c r="A10" s="227" t="s">
        <v>379</v>
      </c>
      <c r="B10" s="228">
        <v>15000000</v>
      </c>
      <c r="C10" s="229">
        <f t="shared" si="0"/>
        <v>3.0000000000000001E-3</v>
      </c>
      <c r="D10" s="230" t="s">
        <v>392</v>
      </c>
      <c r="E10" s="229">
        <f t="shared" si="1"/>
        <v>6.0000000000000001E-3</v>
      </c>
      <c r="F10" s="231">
        <v>0.4</v>
      </c>
      <c r="G10" s="232">
        <f t="shared" si="9"/>
        <v>45000</v>
      </c>
      <c r="H10" s="230" t="s">
        <v>392</v>
      </c>
      <c r="I10" s="232">
        <f t="shared" si="10"/>
        <v>90000</v>
      </c>
      <c r="J10" s="232"/>
      <c r="K10" s="225">
        <f>K5</f>
        <v>22</v>
      </c>
      <c r="L10" s="230">
        <f t="shared" si="2"/>
        <v>330000000</v>
      </c>
      <c r="M10" s="232">
        <f>G10*K10</f>
        <v>990000</v>
      </c>
      <c r="N10" s="230" t="s">
        <v>392</v>
      </c>
      <c r="O10" s="232">
        <f>I10*K10</f>
        <v>1980000</v>
      </c>
      <c r="P10" s="233">
        <f>E33</f>
        <v>0.79999999999999993</v>
      </c>
      <c r="Q10" s="233"/>
      <c r="R10" s="232">
        <f>M10*(1+P10)</f>
        <v>1781999.9999999998</v>
      </c>
      <c r="S10" s="229">
        <f>R10/L10</f>
        <v>5.3999999999999994E-3</v>
      </c>
      <c r="T10" s="232">
        <f>R10/K10</f>
        <v>80999.999999999985</v>
      </c>
      <c r="U10" s="232">
        <f t="shared" si="3"/>
        <v>5939.9999999999991</v>
      </c>
      <c r="V10" s="227"/>
      <c r="W10" s="234">
        <f t="shared" si="4"/>
        <v>485999.99999999988</v>
      </c>
      <c r="X10" s="235">
        <f t="shared" si="11"/>
        <v>704699.99999999977</v>
      </c>
      <c r="Y10" s="227"/>
      <c r="Z10" s="232">
        <f t="shared" si="12"/>
        <v>1247399.9999999998</v>
      </c>
      <c r="AA10" s="232">
        <f t="shared" si="13"/>
        <v>1386000</v>
      </c>
      <c r="AB10" s="232">
        <f t="shared" si="5"/>
        <v>1781999.9999999998</v>
      </c>
      <c r="AC10" s="232">
        <f t="shared" si="6"/>
        <v>1980000</v>
      </c>
      <c r="AD10" s="232">
        <f t="shared" si="14"/>
        <v>2316600</v>
      </c>
      <c r="AE10" s="232">
        <f t="shared" si="15"/>
        <v>2574000</v>
      </c>
      <c r="AF10" s="233"/>
      <c r="AG10" s="232">
        <f t="shared" si="16"/>
        <v>340199.99999999988</v>
      </c>
      <c r="AH10" s="232">
        <f t="shared" si="17"/>
        <v>493289.99999999983</v>
      </c>
      <c r="AI10" s="232">
        <f t="shared" si="7"/>
        <v>485999.99999999988</v>
      </c>
      <c r="AJ10" s="232">
        <f t="shared" si="8"/>
        <v>704699.99999999977</v>
      </c>
      <c r="AK10" s="232">
        <f t="shared" si="18"/>
        <v>631799.99999999988</v>
      </c>
      <c r="AL10" s="232">
        <f t="shared" si="19"/>
        <v>916109.99999999977</v>
      </c>
      <c r="AN10" s="313"/>
      <c r="AO10" s="317"/>
    </row>
    <row r="11" spans="1:42" s="307" customFormat="1" ht="22" customHeight="1" x14ac:dyDescent="0.2">
      <c r="A11" s="259" t="s">
        <v>379</v>
      </c>
      <c r="B11" s="260">
        <v>10000000</v>
      </c>
      <c r="C11" s="261">
        <f t="shared" si="0"/>
        <v>2.7500000000000003E-3</v>
      </c>
      <c r="D11" s="262" t="s">
        <v>392</v>
      </c>
      <c r="E11" s="261">
        <f t="shared" si="1"/>
        <v>5.5000000000000005E-3</v>
      </c>
      <c r="F11" s="263">
        <v>0.45</v>
      </c>
      <c r="G11" s="264">
        <f t="shared" si="9"/>
        <v>27500.000000000004</v>
      </c>
      <c r="H11" s="262" t="s">
        <v>392</v>
      </c>
      <c r="I11" s="264">
        <f t="shared" si="10"/>
        <v>55000.000000000007</v>
      </c>
      <c r="J11" s="264"/>
      <c r="K11" s="265">
        <f>K5</f>
        <v>22</v>
      </c>
      <c r="L11" s="262">
        <f t="shared" si="2"/>
        <v>220000000</v>
      </c>
      <c r="M11" s="264">
        <f>G11*K11</f>
        <v>605000.00000000012</v>
      </c>
      <c r="N11" s="262" t="s">
        <v>392</v>
      </c>
      <c r="O11" s="264">
        <f>I11*K11</f>
        <v>1210000.0000000002</v>
      </c>
      <c r="P11" s="266">
        <f>E33</f>
        <v>0.79999999999999993</v>
      </c>
      <c r="Q11" s="266"/>
      <c r="R11" s="264">
        <f>M11*(1+P11)</f>
        <v>1089000</v>
      </c>
      <c r="S11" s="261">
        <f>R11/L11</f>
        <v>4.9500000000000004E-3</v>
      </c>
      <c r="T11" s="264">
        <f>R11/K11</f>
        <v>49500</v>
      </c>
      <c r="U11" s="264">
        <f t="shared" si="3"/>
        <v>3630</v>
      </c>
      <c r="V11" s="259"/>
      <c r="W11" s="267">
        <f t="shared" si="4"/>
        <v>297000</v>
      </c>
      <c r="X11" s="268">
        <f t="shared" si="11"/>
        <v>430650</v>
      </c>
      <c r="Y11" s="259"/>
      <c r="Z11" s="269">
        <f t="shared" si="12"/>
        <v>762300</v>
      </c>
      <c r="AA11" s="269">
        <f t="shared" si="13"/>
        <v>847000.00000000012</v>
      </c>
      <c r="AB11" s="270">
        <f t="shared" si="5"/>
        <v>1089000</v>
      </c>
      <c r="AC11" s="270">
        <f t="shared" si="6"/>
        <v>1210000.0000000002</v>
      </c>
      <c r="AD11" s="271">
        <f t="shared" si="14"/>
        <v>1415700</v>
      </c>
      <c r="AE11" s="271">
        <f t="shared" si="15"/>
        <v>1573000.0000000005</v>
      </c>
      <c r="AF11" s="266"/>
      <c r="AG11" s="272">
        <f t="shared" si="16"/>
        <v>207900</v>
      </c>
      <c r="AH11" s="272">
        <f t="shared" si="17"/>
        <v>301455</v>
      </c>
      <c r="AI11" s="273">
        <f>W11</f>
        <v>297000</v>
      </c>
      <c r="AJ11" s="273">
        <f>X11</f>
        <v>430650</v>
      </c>
      <c r="AK11" s="274">
        <f t="shared" si="18"/>
        <v>386100</v>
      </c>
      <c r="AL11" s="274">
        <f t="shared" si="19"/>
        <v>559845</v>
      </c>
      <c r="AM11" s="306" t="s">
        <v>537</v>
      </c>
      <c r="AN11" s="322" t="s">
        <v>411</v>
      </c>
      <c r="AO11" s="317">
        <v>10000000</v>
      </c>
      <c r="AP11" s="306" t="s">
        <v>538</v>
      </c>
    </row>
    <row r="12" spans="1:42" s="307" customFormat="1" ht="22" customHeight="1" x14ac:dyDescent="0.2">
      <c r="A12" s="275" t="s">
        <v>379</v>
      </c>
      <c r="B12" s="276">
        <v>5000000</v>
      </c>
      <c r="C12" s="277">
        <f t="shared" si="0"/>
        <v>3.2500000000000003E-3</v>
      </c>
      <c r="D12" s="278" t="s">
        <v>392</v>
      </c>
      <c r="E12" s="277">
        <f t="shared" si="1"/>
        <v>6.5000000000000006E-3</v>
      </c>
      <c r="F12" s="279">
        <v>0.35</v>
      </c>
      <c r="G12" s="280">
        <f t="shared" si="9"/>
        <v>16250.000000000002</v>
      </c>
      <c r="H12" s="278" t="s">
        <v>392</v>
      </c>
      <c r="I12" s="280">
        <f t="shared" si="10"/>
        <v>32500.000000000004</v>
      </c>
      <c r="J12" s="280"/>
      <c r="K12" s="281">
        <f>K5</f>
        <v>22</v>
      </c>
      <c r="L12" s="278">
        <f t="shared" si="2"/>
        <v>110000000</v>
      </c>
      <c r="M12" s="280">
        <f>G12*K12</f>
        <v>357500.00000000006</v>
      </c>
      <c r="N12" s="278" t="s">
        <v>392</v>
      </c>
      <c r="O12" s="280">
        <f>I12*K12</f>
        <v>715000.00000000012</v>
      </c>
      <c r="P12" s="282">
        <f>E33</f>
        <v>0.79999999999999993</v>
      </c>
      <c r="Q12" s="282"/>
      <c r="R12" s="280">
        <f>M12*(1+P12)</f>
        <v>643500</v>
      </c>
      <c r="S12" s="277">
        <f>R12/L12</f>
        <v>5.8500000000000002E-3</v>
      </c>
      <c r="T12" s="280">
        <f>R12/K12</f>
        <v>29250</v>
      </c>
      <c r="U12" s="280">
        <f t="shared" si="3"/>
        <v>2145</v>
      </c>
      <c r="V12" s="275"/>
      <c r="W12" s="283">
        <f t="shared" si="4"/>
        <v>175500</v>
      </c>
      <c r="X12" s="284">
        <f t="shared" si="11"/>
        <v>254475</v>
      </c>
      <c r="Y12" s="275"/>
      <c r="Z12" s="285">
        <f t="shared" si="12"/>
        <v>450450</v>
      </c>
      <c r="AA12" s="285">
        <f t="shared" si="13"/>
        <v>500500.00000000006</v>
      </c>
      <c r="AB12" s="286">
        <f t="shared" si="5"/>
        <v>643500</v>
      </c>
      <c r="AC12" s="286">
        <f t="shared" si="6"/>
        <v>715000.00000000012</v>
      </c>
      <c r="AD12" s="287">
        <f t="shared" si="14"/>
        <v>836550</v>
      </c>
      <c r="AE12" s="287">
        <f t="shared" si="15"/>
        <v>929500.00000000023</v>
      </c>
      <c r="AF12" s="282"/>
      <c r="AG12" s="288">
        <f t="shared" si="16"/>
        <v>122849.99999999999</v>
      </c>
      <c r="AH12" s="288">
        <f t="shared" si="17"/>
        <v>178132.5</v>
      </c>
      <c r="AI12" s="289">
        <f t="shared" ref="AI12:AI15" si="20">W12</f>
        <v>175500</v>
      </c>
      <c r="AJ12" s="289">
        <f t="shared" ref="AJ12:AJ15" si="21">X12</f>
        <v>254475</v>
      </c>
      <c r="AK12" s="290">
        <f t="shared" si="18"/>
        <v>228150</v>
      </c>
      <c r="AL12" s="290">
        <f t="shared" si="19"/>
        <v>330817.5</v>
      </c>
      <c r="AM12" s="306" t="s">
        <v>537</v>
      </c>
      <c r="AN12" s="322" t="s">
        <v>411</v>
      </c>
      <c r="AO12" s="317">
        <v>5000000</v>
      </c>
      <c r="AP12" s="306" t="s">
        <v>538</v>
      </c>
    </row>
    <row r="13" spans="1:42" s="307" customFormat="1" ht="22" customHeight="1" x14ac:dyDescent="0.2">
      <c r="A13" s="275" t="s">
        <v>379</v>
      </c>
      <c r="B13" s="276">
        <v>3000000</v>
      </c>
      <c r="C13" s="277">
        <f t="shared" si="0"/>
        <v>3.2500000000000003E-3</v>
      </c>
      <c r="D13" s="278" t="s">
        <v>392</v>
      </c>
      <c r="E13" s="277">
        <f t="shared" si="1"/>
        <v>6.5000000000000006E-3</v>
      </c>
      <c r="F13" s="279">
        <v>0.35</v>
      </c>
      <c r="G13" s="280">
        <f t="shared" si="9"/>
        <v>9750</v>
      </c>
      <c r="H13" s="278" t="s">
        <v>392</v>
      </c>
      <c r="I13" s="280">
        <f t="shared" si="10"/>
        <v>19500</v>
      </c>
      <c r="J13" s="280"/>
      <c r="K13" s="281">
        <f>K5</f>
        <v>22</v>
      </c>
      <c r="L13" s="278">
        <f t="shared" si="2"/>
        <v>66000000</v>
      </c>
      <c r="M13" s="280">
        <f>G13*K13</f>
        <v>214500</v>
      </c>
      <c r="N13" s="278" t="s">
        <v>392</v>
      </c>
      <c r="O13" s="280">
        <f>I13*K13</f>
        <v>429000</v>
      </c>
      <c r="P13" s="282">
        <f>E33</f>
        <v>0.79999999999999993</v>
      </c>
      <c r="Q13" s="282"/>
      <c r="R13" s="280">
        <f>M13*(1+P13)</f>
        <v>386099.99999999994</v>
      </c>
      <c r="S13" s="277">
        <f>R13/L13</f>
        <v>5.8499999999999993E-3</v>
      </c>
      <c r="T13" s="280">
        <f>R13/K13</f>
        <v>17549.999999999996</v>
      </c>
      <c r="U13" s="280">
        <f t="shared" si="3"/>
        <v>1286.9999999999998</v>
      </c>
      <c r="V13" s="275"/>
      <c r="W13" s="283">
        <f t="shared" si="4"/>
        <v>105299.99999999997</v>
      </c>
      <c r="X13" s="284">
        <f t="shared" si="11"/>
        <v>152684.99999999994</v>
      </c>
      <c r="Y13" s="275"/>
      <c r="Z13" s="285">
        <f t="shared" si="12"/>
        <v>270269.99999999994</v>
      </c>
      <c r="AA13" s="285">
        <f t="shared" si="13"/>
        <v>300300</v>
      </c>
      <c r="AB13" s="286">
        <f t="shared" si="5"/>
        <v>386099.99999999994</v>
      </c>
      <c r="AC13" s="286">
        <f t="shared" si="6"/>
        <v>429000</v>
      </c>
      <c r="AD13" s="287">
        <f t="shared" si="14"/>
        <v>501929.99999999994</v>
      </c>
      <c r="AE13" s="287">
        <f t="shared" si="15"/>
        <v>557700</v>
      </c>
      <c r="AF13" s="282"/>
      <c r="AG13" s="288">
        <f t="shared" si="16"/>
        <v>73709.999999999971</v>
      </c>
      <c r="AH13" s="288">
        <f t="shared" si="17"/>
        <v>106879.49999999996</v>
      </c>
      <c r="AI13" s="289">
        <f t="shared" si="20"/>
        <v>105299.99999999997</v>
      </c>
      <c r="AJ13" s="289">
        <f t="shared" si="21"/>
        <v>152684.99999999994</v>
      </c>
      <c r="AK13" s="290">
        <f t="shared" si="18"/>
        <v>136889.99999999997</v>
      </c>
      <c r="AL13" s="290">
        <f t="shared" si="19"/>
        <v>198490.49999999994</v>
      </c>
      <c r="AM13" s="306" t="s">
        <v>537</v>
      </c>
      <c r="AN13" s="322" t="s">
        <v>411</v>
      </c>
      <c r="AO13" s="317">
        <v>3000000</v>
      </c>
      <c r="AP13" s="306" t="s">
        <v>538</v>
      </c>
    </row>
    <row r="14" spans="1:42" s="307" customFormat="1" ht="22" customHeight="1" x14ac:dyDescent="0.2">
      <c r="A14" s="275" t="s">
        <v>379</v>
      </c>
      <c r="B14" s="276">
        <v>2000000</v>
      </c>
      <c r="C14" s="277">
        <f t="shared" si="0"/>
        <v>3.7499999999999999E-3</v>
      </c>
      <c r="D14" s="278" t="s">
        <v>392</v>
      </c>
      <c r="E14" s="277">
        <f t="shared" si="1"/>
        <v>7.4999999999999997E-3</v>
      </c>
      <c r="F14" s="279">
        <v>0.25</v>
      </c>
      <c r="G14" s="280">
        <f>B14*C14</f>
        <v>7500</v>
      </c>
      <c r="H14" s="278" t="s">
        <v>392</v>
      </c>
      <c r="I14" s="280">
        <f t="shared" si="10"/>
        <v>15000</v>
      </c>
      <c r="J14" s="280"/>
      <c r="K14" s="281">
        <f>K5</f>
        <v>22</v>
      </c>
      <c r="L14" s="278">
        <f t="shared" si="2"/>
        <v>44000000</v>
      </c>
      <c r="M14" s="280">
        <f>G14*K14</f>
        <v>165000</v>
      </c>
      <c r="N14" s="278" t="s">
        <v>392</v>
      </c>
      <c r="O14" s="280">
        <f>I14*K14</f>
        <v>330000</v>
      </c>
      <c r="P14" s="282">
        <f>E33</f>
        <v>0.79999999999999993</v>
      </c>
      <c r="Q14" s="282"/>
      <c r="R14" s="280">
        <f>M14*(1+P14)</f>
        <v>296999.99999999994</v>
      </c>
      <c r="S14" s="277">
        <f>R14/L14</f>
        <v>6.7499999999999991E-3</v>
      </c>
      <c r="T14" s="280">
        <f>R14/K14</f>
        <v>13499.999999999998</v>
      </c>
      <c r="U14" s="280">
        <f t="shared" si="3"/>
        <v>989.99999999999977</v>
      </c>
      <c r="V14" s="275"/>
      <c r="W14" s="283">
        <f t="shared" si="4"/>
        <v>80999.999999999985</v>
      </c>
      <c r="X14" s="284">
        <f t="shared" si="11"/>
        <v>117449.99999999997</v>
      </c>
      <c r="Y14" s="275"/>
      <c r="Z14" s="285">
        <f t="shared" si="12"/>
        <v>207899.99999999994</v>
      </c>
      <c r="AA14" s="285">
        <f t="shared" si="13"/>
        <v>230999.99999999997</v>
      </c>
      <c r="AB14" s="286">
        <f t="shared" si="5"/>
        <v>296999.99999999994</v>
      </c>
      <c r="AC14" s="286">
        <f t="shared" si="6"/>
        <v>330000</v>
      </c>
      <c r="AD14" s="287">
        <f t="shared" si="14"/>
        <v>386099.99999999994</v>
      </c>
      <c r="AE14" s="287">
        <f t="shared" si="15"/>
        <v>429000</v>
      </c>
      <c r="AF14" s="282"/>
      <c r="AG14" s="288">
        <f t="shared" si="16"/>
        <v>56699.999999999985</v>
      </c>
      <c r="AH14" s="288">
        <f t="shared" si="17"/>
        <v>82214.999999999971</v>
      </c>
      <c r="AI14" s="289">
        <f t="shared" si="20"/>
        <v>80999.999999999985</v>
      </c>
      <c r="AJ14" s="289">
        <f t="shared" si="21"/>
        <v>117449.99999999997</v>
      </c>
      <c r="AK14" s="290">
        <f t="shared" si="18"/>
        <v>105299.99999999999</v>
      </c>
      <c r="AL14" s="290">
        <f t="shared" si="19"/>
        <v>152684.99999999997</v>
      </c>
      <c r="AM14" s="306" t="s">
        <v>537</v>
      </c>
      <c r="AN14" s="322" t="s">
        <v>411</v>
      </c>
      <c r="AO14" s="317">
        <v>2000000</v>
      </c>
      <c r="AP14" s="306" t="s">
        <v>538</v>
      </c>
    </row>
    <row r="15" spans="1:42" s="307" customFormat="1" ht="22" customHeight="1" x14ac:dyDescent="0.2">
      <c r="A15" s="291" t="s">
        <v>379</v>
      </c>
      <c r="B15" s="292">
        <v>1000000</v>
      </c>
      <c r="C15" s="293">
        <v>5.0000000000000001E-3</v>
      </c>
      <c r="D15" s="294" t="s">
        <v>392</v>
      </c>
      <c r="E15" s="293">
        <v>0.01</v>
      </c>
      <c r="F15" s="295">
        <v>0</v>
      </c>
      <c r="G15" s="296">
        <f t="shared" si="9"/>
        <v>5000</v>
      </c>
      <c r="H15" s="294" t="s">
        <v>392</v>
      </c>
      <c r="I15" s="296">
        <f t="shared" si="10"/>
        <v>10000</v>
      </c>
      <c r="J15" s="296"/>
      <c r="K15" s="297">
        <f>K5</f>
        <v>22</v>
      </c>
      <c r="L15" s="294">
        <f t="shared" si="2"/>
        <v>22000000</v>
      </c>
      <c r="M15" s="296">
        <f>G15*K15</f>
        <v>110000</v>
      </c>
      <c r="N15" s="294" t="s">
        <v>392</v>
      </c>
      <c r="O15" s="296">
        <f>I15*K15</f>
        <v>220000</v>
      </c>
      <c r="P15" s="298">
        <f>E33</f>
        <v>0.79999999999999993</v>
      </c>
      <c r="Q15" s="298"/>
      <c r="R15" s="296">
        <f>M15*(1+P15)</f>
        <v>197999.99999999997</v>
      </c>
      <c r="S15" s="293">
        <f>R15/L15</f>
        <v>8.9999999999999993E-3</v>
      </c>
      <c r="T15" s="296">
        <f>R15/K15</f>
        <v>8999.9999999999982</v>
      </c>
      <c r="U15" s="296">
        <f t="shared" si="3"/>
        <v>659.99999999999989</v>
      </c>
      <c r="V15" s="291"/>
      <c r="W15" s="299">
        <f t="shared" si="4"/>
        <v>53999.999999999985</v>
      </c>
      <c r="X15" s="300">
        <f t="shared" si="11"/>
        <v>78299.999999999971</v>
      </c>
      <c r="Y15" s="291"/>
      <c r="Z15" s="301">
        <f t="shared" si="12"/>
        <v>138599.99999999997</v>
      </c>
      <c r="AA15" s="301">
        <f t="shared" si="13"/>
        <v>154000</v>
      </c>
      <c r="AB15" s="302">
        <f>R15</f>
        <v>197999.99999999997</v>
      </c>
      <c r="AC15" s="302">
        <f>O15</f>
        <v>220000</v>
      </c>
      <c r="AD15" s="303">
        <f t="shared" si="14"/>
        <v>257399.99999999997</v>
      </c>
      <c r="AE15" s="303">
        <f t="shared" si="15"/>
        <v>286000</v>
      </c>
      <c r="AF15" s="298"/>
      <c r="AG15" s="304">
        <f t="shared" si="16"/>
        <v>37799.999999999985</v>
      </c>
      <c r="AH15" s="304">
        <f t="shared" si="17"/>
        <v>54809.999999999978</v>
      </c>
      <c r="AI15" s="289">
        <f t="shared" si="20"/>
        <v>53999.999999999985</v>
      </c>
      <c r="AJ15" s="289">
        <f t="shared" si="21"/>
        <v>78299.999999999971</v>
      </c>
      <c r="AK15" s="305">
        <f t="shared" si="18"/>
        <v>70199.999999999985</v>
      </c>
      <c r="AL15" s="305">
        <f t="shared" si="19"/>
        <v>101789.99999999997</v>
      </c>
      <c r="AM15" s="306" t="s">
        <v>537</v>
      </c>
      <c r="AN15" s="322" t="s">
        <v>411</v>
      </c>
      <c r="AO15" s="317">
        <v>1000000</v>
      </c>
      <c r="AP15" s="306" t="s">
        <v>538</v>
      </c>
    </row>
    <row r="16" spans="1:42" s="310" customFormat="1" ht="22" customHeight="1" x14ac:dyDescent="0.2">
      <c r="A16" s="227"/>
      <c r="B16" s="228"/>
      <c r="C16" s="229"/>
      <c r="D16" s="230"/>
      <c r="E16" s="229"/>
      <c r="F16" s="231"/>
      <c r="G16" s="232"/>
      <c r="H16" s="230"/>
      <c r="I16" s="232"/>
      <c r="J16" s="232"/>
      <c r="K16" s="225"/>
      <c r="L16" s="230"/>
      <c r="M16" s="232"/>
      <c r="N16" s="230"/>
      <c r="O16" s="232"/>
      <c r="P16" s="233"/>
      <c r="Q16" s="233"/>
      <c r="R16" s="232"/>
      <c r="S16" s="232"/>
      <c r="T16" s="232"/>
      <c r="U16" s="227"/>
      <c r="V16" s="227"/>
      <c r="W16" s="227"/>
      <c r="X16" s="227"/>
      <c r="Y16" s="227"/>
      <c r="Z16" s="233"/>
      <c r="AA16" s="233"/>
      <c r="AB16" s="233"/>
      <c r="AC16" s="233"/>
      <c r="AD16" s="233"/>
      <c r="AE16" s="233"/>
      <c r="AF16" s="233"/>
      <c r="AG16" s="233"/>
      <c r="AH16" s="233"/>
      <c r="AI16" s="227"/>
      <c r="AJ16" s="227"/>
      <c r="AK16" s="227"/>
      <c r="AL16" s="227"/>
      <c r="AN16" s="314"/>
      <c r="AO16" s="318"/>
      <c r="AP16" s="307"/>
    </row>
    <row r="17" spans="1:42" ht="22" customHeight="1" x14ac:dyDescent="0.2">
      <c r="K17" s="224" t="s">
        <v>531</v>
      </c>
      <c r="L17" s="224" t="s">
        <v>530</v>
      </c>
      <c r="M17" s="224" t="s">
        <v>527</v>
      </c>
      <c r="O17" s="236">
        <f>O20*0.7</f>
        <v>138599.99999999997</v>
      </c>
      <c r="R17" s="236"/>
      <c r="W17" s="236"/>
      <c r="AN17" s="319"/>
      <c r="AO17" s="320"/>
      <c r="AP17" s="321"/>
    </row>
    <row r="18" spans="1:42" ht="18" customHeight="1" x14ac:dyDescent="0.2">
      <c r="A18" s="182" t="s">
        <v>395</v>
      </c>
      <c r="M18" s="224" t="s">
        <v>528</v>
      </c>
      <c r="O18" s="236">
        <f>O21*0.7</f>
        <v>154000</v>
      </c>
      <c r="R18" s="236"/>
      <c r="W18" s="236"/>
      <c r="AN18" s="319"/>
      <c r="AO18" s="320"/>
      <c r="AP18" s="321"/>
    </row>
    <row r="19" spans="1:42" ht="18" customHeight="1" x14ac:dyDescent="0.2">
      <c r="AN19" s="319"/>
      <c r="AO19" s="320"/>
      <c r="AP19" s="321"/>
    </row>
    <row r="20" spans="1:42" ht="18" customHeight="1" x14ac:dyDescent="0.2">
      <c r="B20" s="207" t="s">
        <v>247</v>
      </c>
      <c r="C20" s="207" t="s">
        <v>248</v>
      </c>
      <c r="D20" s="207" t="s">
        <v>321</v>
      </c>
      <c r="E20" s="208" t="s">
        <v>508</v>
      </c>
      <c r="L20" s="224" t="s">
        <v>526</v>
      </c>
      <c r="M20" s="224" t="s">
        <v>527</v>
      </c>
      <c r="O20" s="236">
        <f>R15</f>
        <v>197999.99999999997</v>
      </c>
      <c r="W20" s="236"/>
    </row>
    <row r="21" spans="1:42" ht="18" customHeight="1" x14ac:dyDescent="0.2">
      <c r="B21" s="237" t="s">
        <v>539</v>
      </c>
      <c r="C21" s="237" t="s">
        <v>551</v>
      </c>
      <c r="D21" s="238">
        <f>IF(C21="Revisão sistemática",0,IF(C21="Retrospectivo (sem intervenções)",0,IF(C21="RWE",0,IF(C21="RWD",5,IF(C21="Farmacovigilância",5,IF(C21="Fornecimento Pós-estudo",15,IF(C21="Intervencional",20,IF(C21="Primeiro-em-humanos",40,IF(C21="Biodisponibilidade",35,IF(C21="Bioequivalência",35,IF(C21="Acesso Expandido",30,IF(C21="Uso Compassivo",25,IF(C21="Outro",25,0)))))))))))))</f>
        <v>25</v>
      </c>
      <c r="E21" s="239">
        <f>D21/100</f>
        <v>0.25</v>
      </c>
      <c r="M21" s="224" t="s">
        <v>528</v>
      </c>
      <c r="O21" s="236">
        <f>O15</f>
        <v>220000</v>
      </c>
      <c r="W21" s="236"/>
    </row>
    <row r="22" spans="1:42" ht="18" customHeight="1" x14ac:dyDescent="0.2">
      <c r="B22" s="240" t="s">
        <v>540</v>
      </c>
      <c r="C22" s="240" t="s">
        <v>117</v>
      </c>
      <c r="D22" s="241">
        <f>IF(C22="N/A",25,IF(C22="I",45,IF(C22="I/II",40,IF(C22="II",35,IF(C22="II/III",30,IF(C22="III",25,IF(C22="III/IV",20,IF(C22="IV",15,IF(C22="Outro",25,25)))))))))</f>
        <v>20</v>
      </c>
      <c r="E22" s="242">
        <f t="shared" ref="E22:E32" si="22">D22/100</f>
        <v>0.2</v>
      </c>
    </row>
    <row r="23" spans="1:42" ht="18" customHeight="1" x14ac:dyDescent="0.2">
      <c r="B23" s="237" t="s">
        <v>541</v>
      </c>
      <c r="C23" s="237" t="s">
        <v>545</v>
      </c>
      <c r="D23" s="243">
        <f>IF(C23="Coleta de Dados (Observacional)",0,IF(C23="Alimento Nutrição",5,IF(C23="Cosméticos Higiêne",10,IF(C23="Drogas Fármacos Moléculas",25,IF(C23="Dispositivo Médico",45,IF(C23="Vacina",35,IF(C23="Cirurgia",35,IF(C23="Transfusões Transplante Tecidos Órgãos Terapias Celulares",45,IF(C23="Cannabis Derivados ou Alucenógenos",30,IF(C23="Outro",20,0))))))))))</f>
        <v>25</v>
      </c>
      <c r="E23" s="244">
        <f t="shared" si="22"/>
        <v>0.25</v>
      </c>
      <c r="L23" s="224" t="s">
        <v>529</v>
      </c>
      <c r="M23" s="224" t="s">
        <v>527</v>
      </c>
      <c r="O23" s="236">
        <f>O20*1.3</f>
        <v>257399.99999999997</v>
      </c>
      <c r="W23" s="236"/>
    </row>
    <row r="24" spans="1:42" ht="18" customHeight="1" x14ac:dyDescent="0.2">
      <c r="B24" s="240" t="s">
        <v>386</v>
      </c>
      <c r="C24" s="240">
        <v>300</v>
      </c>
      <c r="D24" s="241">
        <f>(IF(C24&lt;50,0,IF(AND(C24&lt;=200,C24&gt;=51),5,IF(AND(C24&lt;=1000,C24&gt;=201),10,15))))</f>
        <v>10</v>
      </c>
      <c r="E24" s="242">
        <f t="shared" si="22"/>
        <v>0.1</v>
      </c>
      <c r="M24" s="224" t="s">
        <v>528</v>
      </c>
      <c r="O24" s="236">
        <f>O21*1.3</f>
        <v>286000</v>
      </c>
      <c r="W24" s="236"/>
    </row>
    <row r="25" spans="1:42" ht="18" hidden="1" customHeight="1" x14ac:dyDescent="0.2">
      <c r="B25" s="237" t="s">
        <v>364</v>
      </c>
      <c r="C25" s="237" t="s">
        <v>361</v>
      </c>
      <c r="D25" s="243">
        <f>IF(C25="Nutrition",5,IF(C25="Dermatological",7,IF(C25="Muscular",9,IF(C25="Mental and behavioral disorders",13,IF(C25="Ophthalmology",15,IF(C25="Gastrointestinal",15,IF(C25="Endocrinology",15,IF(C25="Respiratory Ds",20,IF(C25="Infectious Ds",25,IF(C25="Genitourinary",30,IF(C25="Oncology",35,IF(C25="Neurology",40,IF(C25="Heart Ds",45,25)))))))))))))</f>
        <v>35</v>
      </c>
      <c r="E25" s="244">
        <f t="shared" si="22"/>
        <v>0.35</v>
      </c>
    </row>
    <row r="26" spans="1:42" ht="18" hidden="1" customHeight="1" x14ac:dyDescent="0.2">
      <c r="B26" s="237" t="s">
        <v>241</v>
      </c>
      <c r="C26" s="237" t="s">
        <v>302</v>
      </c>
      <c r="D26" s="243">
        <f>IF(C26="Yes",15,0)</f>
        <v>15</v>
      </c>
      <c r="E26" s="244">
        <f t="shared" si="22"/>
        <v>0.15</v>
      </c>
    </row>
    <row r="27" spans="1:42" ht="18" hidden="1" customHeight="1" x14ac:dyDescent="0.2">
      <c r="B27" s="240" t="s">
        <v>242</v>
      </c>
      <c r="C27" s="240" t="s">
        <v>182</v>
      </c>
      <c r="D27" s="241">
        <f>IF(C27="Healthy",15,0)</f>
        <v>0</v>
      </c>
      <c r="E27" s="242">
        <f t="shared" si="22"/>
        <v>0</v>
      </c>
    </row>
    <row r="28" spans="1:42" ht="18" hidden="1" customHeight="1" x14ac:dyDescent="0.2">
      <c r="B28" s="237" t="s">
        <v>370</v>
      </c>
      <c r="C28" s="237" t="s">
        <v>380</v>
      </c>
      <c r="D28" s="243">
        <f>IF(C28="Systemic",45,0)</f>
        <v>45</v>
      </c>
      <c r="E28" s="244">
        <f t="shared" si="22"/>
        <v>0.45</v>
      </c>
    </row>
    <row r="29" spans="1:42" ht="18" hidden="1" customHeight="1" x14ac:dyDescent="0.2">
      <c r="B29" s="240" t="s">
        <v>368</v>
      </c>
      <c r="C29" s="240" t="s">
        <v>381</v>
      </c>
      <c r="D29" s="241">
        <f>IF(C29="Chronic",45,0)</f>
        <v>45</v>
      </c>
      <c r="E29" s="242">
        <f t="shared" si="22"/>
        <v>0.45</v>
      </c>
    </row>
    <row r="30" spans="1:42" ht="18" hidden="1" customHeight="1" x14ac:dyDescent="0.2">
      <c r="B30" s="237" t="s">
        <v>369</v>
      </c>
      <c r="C30" s="237" t="s">
        <v>378</v>
      </c>
      <c r="D30" s="243">
        <f>IF(C30="Several",25,0)</f>
        <v>25</v>
      </c>
      <c r="E30" s="244">
        <f t="shared" si="22"/>
        <v>0.25</v>
      </c>
    </row>
    <row r="31" spans="1:42" ht="18" hidden="1" customHeight="1" x14ac:dyDescent="0.2">
      <c r="B31" s="245" t="s">
        <v>246</v>
      </c>
      <c r="C31" s="245">
        <v>60</v>
      </c>
      <c r="D31" s="246">
        <f>IF(C31&lt;12,0,IF(AND(C31&lt;=24,C31&gt;=13),10,IF(C31&gt;=25,20,0)))</f>
        <v>20</v>
      </c>
      <c r="E31" s="247">
        <f t="shared" si="22"/>
        <v>0.2</v>
      </c>
    </row>
    <row r="32" spans="1:42" ht="18" hidden="1" customHeight="1" x14ac:dyDescent="0.2">
      <c r="B32" s="237" t="s">
        <v>371</v>
      </c>
      <c r="C32" s="237" t="s">
        <v>302</v>
      </c>
      <c r="D32" s="243">
        <f>IF(C32="Yes",35,0)</f>
        <v>35</v>
      </c>
      <c r="E32" s="244">
        <f t="shared" si="22"/>
        <v>0.35</v>
      </c>
    </row>
    <row r="33" spans="1:5" ht="18" customHeight="1" x14ac:dyDescent="0.2">
      <c r="B33" s="248"/>
      <c r="C33" s="191" t="s">
        <v>261</v>
      </c>
      <c r="D33" s="192">
        <f>SUM(D21:D24)</f>
        <v>80</v>
      </c>
      <c r="E33" s="199">
        <f>SUM(E21:E24)</f>
        <v>0.79999999999999993</v>
      </c>
    </row>
    <row r="34" spans="1:5" ht="18" customHeight="1" x14ac:dyDescent="0.2"/>
    <row r="35" spans="1:5" ht="18" customHeight="1" x14ac:dyDescent="0.2"/>
    <row r="36" spans="1:5" ht="18" customHeight="1" x14ac:dyDescent="0.2">
      <c r="A36" s="181" t="s">
        <v>509</v>
      </c>
    </row>
    <row r="37" spans="1:5" ht="18" customHeight="1" x14ac:dyDescent="0.2"/>
    <row r="38" spans="1:5" ht="18" customHeight="1" x14ac:dyDescent="0.2">
      <c r="A38" s="224">
        <v>1</v>
      </c>
      <c r="B38" s="220" t="s">
        <v>399</v>
      </c>
    </row>
    <row r="39" spans="1:5" ht="18" customHeight="1" x14ac:dyDescent="0.2">
      <c r="A39" s="224">
        <v>2</v>
      </c>
      <c r="B39" s="220" t="s">
        <v>400</v>
      </c>
    </row>
    <row r="40" spans="1:5" ht="18" customHeight="1" x14ac:dyDescent="0.2">
      <c r="A40" s="224">
        <v>3</v>
      </c>
      <c r="B40" s="220" t="s">
        <v>401</v>
      </c>
    </row>
    <row r="41" spans="1:5" ht="18" customHeight="1" x14ac:dyDescent="0.2">
      <c r="A41" s="224">
        <v>4</v>
      </c>
      <c r="B41" s="220" t="s">
        <v>404</v>
      </c>
    </row>
    <row r="42" spans="1:5" ht="18" customHeight="1" x14ac:dyDescent="0.2">
      <c r="A42" s="224">
        <v>5</v>
      </c>
      <c r="B42" s="220" t="s">
        <v>405</v>
      </c>
    </row>
    <row r="43" spans="1:5" ht="18" customHeight="1" x14ac:dyDescent="0.2">
      <c r="A43" s="224">
        <v>6</v>
      </c>
      <c r="B43" s="220" t="s">
        <v>406</v>
      </c>
    </row>
    <row r="44" spans="1:5" ht="18" customHeight="1" x14ac:dyDescent="0.2">
      <c r="A44" s="224">
        <v>7</v>
      </c>
      <c r="B44" s="220" t="s">
        <v>410</v>
      </c>
    </row>
    <row r="45" spans="1:5" ht="18" customHeight="1" x14ac:dyDescent="0.2">
      <c r="A45" s="224">
        <v>8</v>
      </c>
      <c r="B45" s="220" t="s">
        <v>407</v>
      </c>
    </row>
    <row r="46" spans="1:5" ht="18" customHeight="1" x14ac:dyDescent="0.2">
      <c r="A46" s="224">
        <v>9</v>
      </c>
      <c r="B46" s="220" t="s">
        <v>408</v>
      </c>
    </row>
    <row r="47" spans="1:5" ht="18" customHeight="1" x14ac:dyDescent="0.2">
      <c r="A47" s="224">
        <v>10</v>
      </c>
      <c r="B47" s="220" t="s">
        <v>409</v>
      </c>
    </row>
  </sheetData>
  <mergeCells count="12">
    <mergeCell ref="Z2:AE2"/>
    <mergeCell ref="AD3:AE3"/>
    <mergeCell ref="AB3:AC3"/>
    <mergeCell ref="Z3:AA3"/>
    <mergeCell ref="AG2:AL2"/>
    <mergeCell ref="AG3:AH3"/>
    <mergeCell ref="AI3:AJ3"/>
    <mergeCell ref="AK3:AL3"/>
    <mergeCell ref="M3:O3"/>
    <mergeCell ref="G4:I4"/>
    <mergeCell ref="C4:E4"/>
    <mergeCell ref="W3:X3"/>
  </mergeCells>
  <conditionalFormatting sqref="D33:E33">
    <cfRule type="colorScale" priority="1">
      <colorScale>
        <cfvo type="num" val="0"/>
        <cfvo type="num" val="100"/>
        <cfvo type="num" val="345"/>
        <color rgb="FF92D050"/>
        <color rgb="FFFFEB84"/>
        <color rgb="FFFF0000"/>
      </colorScale>
    </cfRule>
  </conditionalFormatting>
  <dataValidations count="9">
    <dataValidation type="list" allowBlank="1" showInputMessage="1" showErrorMessage="1" sqref="C32" xr:uid="{2BE634DA-D4ED-6C43-A07D-8E5CEE8F0A3E}">
      <formula1>"Yes, No, N/A"</formula1>
    </dataValidation>
    <dataValidation type="list" allowBlank="1" showInputMessage="1" showErrorMessage="1" sqref="C30" xr:uid="{74260086-7283-7742-A681-2DEE9CA19822}">
      <formula1>"Single, Several, N/A"</formula1>
    </dataValidation>
    <dataValidation type="list" allowBlank="1" showInputMessage="1" showErrorMessage="1" sqref="C29" xr:uid="{4A485BA9-62E7-8845-A074-521C3E0DE14D}">
      <formula1>"Acute, Chronic, N/A"</formula1>
    </dataValidation>
    <dataValidation type="list" allowBlank="1" showInputMessage="1" showErrorMessage="1" sqref="C28" xr:uid="{56BA5F1E-08E2-CA45-9999-0A2BC73B589D}">
      <formula1>"Systemic, Local, N/A"</formula1>
    </dataValidation>
    <dataValidation type="list" allowBlank="1" showInputMessage="1" showErrorMessage="1" sqref="C25" xr:uid="{4BCC88EF-A631-EC4B-BB7B-12833DEDF3C2}">
      <formula1>"Nutrition, Dermatological, Muscular, Mental and behavioral disorders, Ophthalmology, Gastrointestinal, Endocrinology, Respiratory Ds, Infectious Ds, Genitourinary, Oncology, Neurology, Heart Ds, Other"</formula1>
    </dataValidation>
    <dataValidation type="list" allowBlank="1" showInputMessage="1" showErrorMessage="1" sqref="C21" xr:uid="{26CE3BDD-FB08-A143-8DB3-32A2BBFF4463}">
      <formula1>"Revisão sistemática, Retrospectivo (sem intervenções), RWE, RWD, Farmacovigilância, Fornecimento Pós-estudo, Intervencional, Primeiro-em-humanos, Biodisponibilidade, Bioequivalência, Acesso Expandido, Uso Compassivo, Outro"</formula1>
    </dataValidation>
    <dataValidation type="list" allowBlank="1" showInputMessage="1" showErrorMessage="1" sqref="C22" xr:uid="{C23F04BF-3408-9C4C-B596-0057F0985381}">
      <formula1>"N/A, I, I/II, II, II/III, III, III/IV, IV, Outro"</formula1>
    </dataValidation>
    <dataValidation type="list" allowBlank="1" showInputMessage="1" showErrorMessage="1" sqref="C26" xr:uid="{076118C4-B308-894E-84AF-BA9832AFA998}">
      <formula1>"Yes, No"</formula1>
    </dataValidation>
    <dataValidation type="list" allowBlank="1" showInputMessage="1" showErrorMessage="1" sqref="C27" xr:uid="{8755F423-EF0D-9D49-A677-132FEAF497F0}">
      <formula1>"Sick, Healthy"</formula1>
    </dataValidation>
  </dataValidations>
  <pageMargins left="0.7" right="0.7" top="0.75" bottom="0.75" header="0.3" footer="0.3"/>
  <ignoredErrors>
    <ignoredError sqref="D33:E33 D24" unlockedFormula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D4DCA5-0E06-7B4F-BEC1-17021E0D4EDD}">
          <x14:formula1>
            <xm:f>INPUTS!$O$5:$O$14</xm:f>
          </x14:formula1>
          <xm:sqref>C23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2F98-37D7-AC44-8A9E-A822593714C1}">
  <dimension ref="B1:C22"/>
  <sheetViews>
    <sheetView zoomScale="139" zoomScaleNormal="139" workbookViewId="0">
      <selection activeCell="C9" sqref="C9:C10"/>
    </sheetView>
  </sheetViews>
  <sheetFormatPr baseColWidth="10" defaultColWidth="10.83203125" defaultRowHeight="21" customHeight="1" x14ac:dyDescent="0.2"/>
  <cols>
    <col min="1" max="1" width="7" style="183" customWidth="1"/>
    <col min="2" max="2" width="40.5" style="183" customWidth="1"/>
    <col min="3" max="3" width="60.83203125" style="183" customWidth="1"/>
    <col min="4" max="16384" width="10.83203125" style="183"/>
  </cols>
  <sheetData>
    <row r="1" spans="2:3" ht="21" customHeight="1" x14ac:dyDescent="0.2">
      <c r="B1" s="195" t="s">
        <v>441</v>
      </c>
    </row>
    <row r="3" spans="2:3" ht="21" customHeight="1" x14ac:dyDescent="0.2">
      <c r="B3" s="195" t="s">
        <v>426</v>
      </c>
      <c r="C3" s="195" t="s">
        <v>425</v>
      </c>
    </row>
    <row r="4" spans="2:3" ht="21" customHeight="1" x14ac:dyDescent="0.2">
      <c r="B4" s="183" t="s">
        <v>414</v>
      </c>
      <c r="C4" s="183" t="s">
        <v>423</v>
      </c>
    </row>
    <row r="5" spans="2:3" ht="21" customHeight="1" x14ac:dyDescent="0.2">
      <c r="B5" s="183" t="s">
        <v>415</v>
      </c>
      <c r="C5" s="183" t="s">
        <v>423</v>
      </c>
    </row>
    <row r="6" spans="2:3" ht="21" customHeight="1" x14ac:dyDescent="0.2">
      <c r="B6" s="183" t="s">
        <v>416</v>
      </c>
      <c r="C6" s="183" t="s">
        <v>423</v>
      </c>
    </row>
    <row r="7" spans="2:3" ht="21" customHeight="1" x14ac:dyDescent="0.2">
      <c r="B7" s="183" t="s">
        <v>417</v>
      </c>
      <c r="C7" s="183" t="s">
        <v>424</v>
      </c>
    </row>
    <row r="8" spans="2:3" ht="21" customHeight="1" x14ac:dyDescent="0.2">
      <c r="B8" s="183" t="s">
        <v>418</v>
      </c>
      <c r="C8" s="183" t="s">
        <v>423</v>
      </c>
    </row>
    <row r="9" spans="2:3" ht="21" customHeight="1" x14ac:dyDescent="0.2">
      <c r="B9" s="183" t="s">
        <v>419</v>
      </c>
      <c r="C9" s="183" t="s">
        <v>423</v>
      </c>
    </row>
    <row r="10" spans="2:3" ht="21" customHeight="1" x14ac:dyDescent="0.2">
      <c r="B10" s="183" t="s">
        <v>420</v>
      </c>
      <c r="C10" s="183" t="s">
        <v>423</v>
      </c>
    </row>
    <row r="12" spans="2:3" ht="21" customHeight="1" x14ac:dyDescent="0.2">
      <c r="B12" s="183" t="s">
        <v>421</v>
      </c>
      <c r="C12" s="183" t="s">
        <v>422</v>
      </c>
    </row>
    <row r="13" spans="2:3" ht="21" customHeight="1" x14ac:dyDescent="0.2">
      <c r="B13" s="183" t="s">
        <v>427</v>
      </c>
      <c r="C13" s="183" t="s">
        <v>422</v>
      </c>
    </row>
    <row r="14" spans="2:3" ht="21" customHeight="1" x14ac:dyDescent="0.2">
      <c r="B14" s="183" t="s">
        <v>428</v>
      </c>
      <c r="C14" s="183" t="s">
        <v>429</v>
      </c>
    </row>
    <row r="15" spans="2:3" ht="21" customHeight="1" x14ac:dyDescent="0.2">
      <c r="B15" s="183" t="s">
        <v>430</v>
      </c>
      <c r="C15" s="196" t="s">
        <v>431</v>
      </c>
    </row>
    <row r="16" spans="2:3" ht="21" customHeight="1" x14ac:dyDescent="0.2">
      <c r="B16" s="183" t="s">
        <v>433</v>
      </c>
      <c r="C16" s="196" t="s">
        <v>432</v>
      </c>
    </row>
    <row r="17" spans="2:3" ht="21" customHeight="1" x14ac:dyDescent="0.2">
      <c r="B17" s="183" t="s">
        <v>434</v>
      </c>
      <c r="C17" s="183" t="s">
        <v>423</v>
      </c>
    </row>
    <row r="19" spans="2:3" ht="21" customHeight="1" x14ac:dyDescent="0.2">
      <c r="B19" s="183" t="s">
        <v>435</v>
      </c>
      <c r="C19" s="183" t="s">
        <v>436</v>
      </c>
    </row>
    <row r="20" spans="2:3" ht="21" customHeight="1" x14ac:dyDescent="0.2">
      <c r="B20" s="183" t="s">
        <v>437</v>
      </c>
      <c r="C20" s="183" t="s">
        <v>438</v>
      </c>
    </row>
    <row r="21" spans="2:3" ht="21" customHeight="1" x14ac:dyDescent="0.2">
      <c r="B21" s="183" t="s">
        <v>439</v>
      </c>
      <c r="C21" s="183" t="s">
        <v>423</v>
      </c>
    </row>
    <row r="22" spans="2:3" ht="21" customHeight="1" x14ac:dyDescent="0.2">
      <c r="B22" s="183" t="s">
        <v>440</v>
      </c>
      <c r="C22" s="183" t="s">
        <v>438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F7BF-6C62-854D-A2A4-59F26FDD4F7B}">
  <dimension ref="B1:D36"/>
  <sheetViews>
    <sheetView zoomScale="139" zoomScaleNormal="139" workbookViewId="0">
      <selection activeCell="D20" sqref="D20"/>
    </sheetView>
  </sheetViews>
  <sheetFormatPr baseColWidth="10" defaultColWidth="10.83203125" defaultRowHeight="21" customHeight="1" x14ac:dyDescent="0.2"/>
  <cols>
    <col min="1" max="1" width="7" style="183" customWidth="1"/>
    <col min="2" max="2" width="19.5" style="183" customWidth="1"/>
    <col min="3" max="3" width="40.5" style="183" customWidth="1"/>
    <col min="4" max="4" width="60.83203125" style="183" customWidth="1"/>
    <col min="5" max="16384" width="10.83203125" style="183"/>
  </cols>
  <sheetData>
    <row r="1" spans="2:4" ht="21" customHeight="1" x14ac:dyDescent="0.2">
      <c r="B1" s="195" t="s">
        <v>442</v>
      </c>
    </row>
    <row r="3" spans="2:4" ht="21" customHeight="1" x14ac:dyDescent="0.2">
      <c r="C3" s="195" t="s">
        <v>426</v>
      </c>
      <c r="D3" s="195" t="s">
        <v>425</v>
      </c>
    </row>
    <row r="4" spans="2:4" ht="21" customHeight="1" x14ac:dyDescent="0.2">
      <c r="B4" s="215" t="s">
        <v>448</v>
      </c>
      <c r="C4" s="183" t="s">
        <v>443</v>
      </c>
      <c r="D4" s="183" t="s">
        <v>423</v>
      </c>
    </row>
    <row r="5" spans="2:4" ht="21" customHeight="1" x14ac:dyDescent="0.2">
      <c r="B5" s="215"/>
      <c r="C5" s="183" t="s">
        <v>444</v>
      </c>
      <c r="D5" s="183" t="s">
        <v>444</v>
      </c>
    </row>
    <row r="6" spans="2:4" ht="21" customHeight="1" x14ac:dyDescent="0.2">
      <c r="B6" s="215"/>
      <c r="C6" s="183" t="s">
        <v>445</v>
      </c>
      <c r="D6" s="183" t="s">
        <v>423</v>
      </c>
    </row>
    <row r="7" spans="2:4" ht="21" customHeight="1" x14ac:dyDescent="0.2">
      <c r="B7" s="215"/>
      <c r="C7" s="183" t="s">
        <v>446</v>
      </c>
      <c r="D7" s="183" t="s">
        <v>447</v>
      </c>
    </row>
    <row r="8" spans="2:4" ht="21" customHeight="1" x14ac:dyDescent="0.2">
      <c r="B8" s="197"/>
    </row>
    <row r="9" spans="2:4" ht="21" customHeight="1" x14ac:dyDescent="0.2">
      <c r="B9" s="216" t="s">
        <v>459</v>
      </c>
      <c r="C9" s="5" t="s">
        <v>443</v>
      </c>
      <c r="D9" s="5" t="s">
        <v>423</v>
      </c>
    </row>
    <row r="10" spans="2:4" ht="21" customHeight="1" x14ac:dyDescent="0.2">
      <c r="B10" s="216"/>
      <c r="C10" s="5" t="s">
        <v>444</v>
      </c>
      <c r="D10" s="5" t="s">
        <v>444</v>
      </c>
    </row>
    <row r="11" spans="2:4" ht="21" customHeight="1" x14ac:dyDescent="0.2">
      <c r="B11" s="216"/>
      <c r="C11" s="5" t="s">
        <v>474</v>
      </c>
      <c r="D11" s="5" t="s">
        <v>438</v>
      </c>
    </row>
    <row r="12" spans="2:4" ht="21" customHeight="1" x14ac:dyDescent="0.2">
      <c r="B12" s="216"/>
      <c r="C12" s="5" t="s">
        <v>445</v>
      </c>
      <c r="D12" s="5" t="s">
        <v>423</v>
      </c>
    </row>
    <row r="13" spans="2:4" ht="21" customHeight="1" x14ac:dyDescent="0.2">
      <c r="B13" s="216"/>
      <c r="C13" s="5" t="s">
        <v>460</v>
      </c>
      <c r="D13" s="5" t="s">
        <v>461</v>
      </c>
    </row>
    <row r="14" spans="2:4" ht="21" customHeight="1" x14ac:dyDescent="0.2">
      <c r="B14" s="216"/>
      <c r="C14" s="5" t="s">
        <v>470</v>
      </c>
      <c r="D14" s="198" t="s">
        <v>471</v>
      </c>
    </row>
    <row r="16" spans="2:4" ht="21" customHeight="1" x14ac:dyDescent="0.2">
      <c r="B16" s="217" t="s">
        <v>449</v>
      </c>
      <c r="C16" s="183" t="s">
        <v>450</v>
      </c>
      <c r="D16" s="183" t="s">
        <v>423</v>
      </c>
    </row>
    <row r="17" spans="2:4" ht="21" customHeight="1" x14ac:dyDescent="0.2">
      <c r="B17" s="217"/>
      <c r="C17" s="183" t="s">
        <v>451</v>
      </c>
      <c r="D17" s="183" t="s">
        <v>444</v>
      </c>
    </row>
    <row r="18" spans="2:4" ht="21" customHeight="1" x14ac:dyDescent="0.2">
      <c r="B18" s="217"/>
      <c r="C18" s="183" t="s">
        <v>452</v>
      </c>
      <c r="D18" s="183" t="s">
        <v>423</v>
      </c>
    </row>
    <row r="19" spans="2:4" ht="21" customHeight="1" x14ac:dyDescent="0.2">
      <c r="B19" s="217"/>
      <c r="C19" s="183" t="s">
        <v>453</v>
      </c>
      <c r="D19" s="183" t="s">
        <v>447</v>
      </c>
    </row>
    <row r="20" spans="2:4" ht="21" customHeight="1" x14ac:dyDescent="0.2">
      <c r="B20" s="217"/>
      <c r="C20" s="183" t="s">
        <v>454</v>
      </c>
      <c r="D20" s="183" t="s">
        <v>447</v>
      </c>
    </row>
    <row r="21" spans="2:4" ht="21" customHeight="1" x14ac:dyDescent="0.2">
      <c r="B21" s="217"/>
      <c r="C21" s="183" t="s">
        <v>455</v>
      </c>
      <c r="D21" s="183" t="s">
        <v>456</v>
      </c>
    </row>
    <row r="22" spans="2:4" ht="21" customHeight="1" x14ac:dyDescent="0.2">
      <c r="B22" s="217"/>
      <c r="C22" s="183" t="s">
        <v>458</v>
      </c>
      <c r="D22" s="183" t="s">
        <v>423</v>
      </c>
    </row>
    <row r="23" spans="2:4" ht="21" customHeight="1" x14ac:dyDescent="0.2">
      <c r="B23" s="217"/>
      <c r="C23" s="183" t="s">
        <v>457</v>
      </c>
      <c r="D23" s="183" t="s">
        <v>423</v>
      </c>
    </row>
    <row r="25" spans="2:4" ht="21" customHeight="1" x14ac:dyDescent="0.2">
      <c r="B25" s="215" t="s">
        <v>462</v>
      </c>
      <c r="C25" s="183" t="s">
        <v>464</v>
      </c>
      <c r="D25" s="183" t="s">
        <v>465</v>
      </c>
    </row>
    <row r="26" spans="2:4" ht="21" customHeight="1" x14ac:dyDescent="0.2">
      <c r="B26" s="215"/>
      <c r="C26" s="183" t="s">
        <v>463</v>
      </c>
      <c r="D26" s="183" t="s">
        <v>502</v>
      </c>
    </row>
    <row r="27" spans="2:4" ht="21" customHeight="1" x14ac:dyDescent="0.2">
      <c r="B27" s="215"/>
      <c r="C27" s="183" t="s">
        <v>468</v>
      </c>
      <c r="D27" s="196" t="s">
        <v>501</v>
      </c>
    </row>
    <row r="28" spans="2:4" ht="21" customHeight="1" x14ac:dyDescent="0.2">
      <c r="B28" s="215"/>
      <c r="C28" s="183" t="s">
        <v>466</v>
      </c>
      <c r="D28" s="183" t="s">
        <v>423</v>
      </c>
    </row>
    <row r="29" spans="2:4" ht="21" customHeight="1" x14ac:dyDescent="0.2">
      <c r="B29" s="215"/>
      <c r="C29" s="183" t="s">
        <v>467</v>
      </c>
      <c r="D29" s="196" t="s">
        <v>503</v>
      </c>
    </row>
    <row r="30" spans="2:4" ht="21" customHeight="1" x14ac:dyDescent="0.2">
      <c r="B30" s="215"/>
      <c r="C30" s="183" t="s">
        <v>469</v>
      </c>
      <c r="D30" s="183" t="s">
        <v>438</v>
      </c>
    </row>
    <row r="31" spans="2:4" ht="21" customHeight="1" x14ac:dyDescent="0.2">
      <c r="B31" s="215"/>
      <c r="C31" s="183" t="s">
        <v>472</v>
      </c>
      <c r="D31" s="183" t="s">
        <v>422</v>
      </c>
    </row>
    <row r="32" spans="2:4" ht="21" customHeight="1" x14ac:dyDescent="0.2">
      <c r="B32" s="215"/>
      <c r="C32" s="183" t="s">
        <v>504</v>
      </c>
      <c r="D32" s="183" t="s">
        <v>505</v>
      </c>
    </row>
    <row r="33" spans="2:4" ht="21" customHeight="1" x14ac:dyDescent="0.2">
      <c r="B33" s="215"/>
      <c r="C33" s="183" t="s">
        <v>473</v>
      </c>
      <c r="D33" s="183" t="s">
        <v>422</v>
      </c>
    </row>
    <row r="34" spans="2:4" ht="21" customHeight="1" x14ac:dyDescent="0.2">
      <c r="B34" s="215"/>
      <c r="C34" s="183" t="s">
        <v>506</v>
      </c>
      <c r="D34" s="183" t="s">
        <v>507</v>
      </c>
    </row>
    <row r="36" spans="2:4" ht="21" customHeight="1" x14ac:dyDescent="0.2">
      <c r="D36" s="196"/>
    </row>
  </sheetData>
  <mergeCells count="4">
    <mergeCell ref="B4:B7"/>
    <mergeCell ref="B9:B14"/>
    <mergeCell ref="B16:B23"/>
    <mergeCell ref="B25:B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C428-7466-8A4E-A91C-481EC2913C4F}">
  <dimension ref="B1:F33"/>
  <sheetViews>
    <sheetView topLeftCell="C1" zoomScale="192" zoomScaleNormal="139" workbookViewId="0">
      <selection activeCell="C34" sqref="C34"/>
    </sheetView>
  </sheetViews>
  <sheetFormatPr baseColWidth="10" defaultColWidth="10.83203125" defaultRowHeight="21" customHeight="1" x14ac:dyDescent="0.2"/>
  <cols>
    <col min="1" max="1" width="7" style="183" customWidth="1"/>
    <col min="2" max="2" width="19.5" style="183" customWidth="1"/>
    <col min="3" max="3" width="120.1640625" style="183" bestFit="1" customWidth="1"/>
    <col min="4" max="6" width="4.33203125" style="184" customWidth="1"/>
    <col min="7" max="16384" width="10.83203125" style="183"/>
  </cols>
  <sheetData>
    <row r="1" spans="2:6" ht="21" customHeight="1" x14ac:dyDescent="0.2">
      <c r="B1" s="195" t="s">
        <v>500</v>
      </c>
      <c r="D1" s="218" t="s">
        <v>510</v>
      </c>
      <c r="E1" s="218"/>
      <c r="F1" s="218"/>
    </row>
    <row r="2" spans="2:6" ht="21" customHeight="1" x14ac:dyDescent="0.2">
      <c r="C2" s="195"/>
      <c r="D2" s="197"/>
    </row>
    <row r="3" spans="2:6" ht="21" customHeight="1" x14ac:dyDescent="0.2">
      <c r="B3" s="215" t="s">
        <v>477</v>
      </c>
      <c r="C3" s="183" t="s">
        <v>475</v>
      </c>
      <c r="D3" s="200"/>
    </row>
    <row r="4" spans="2:6" ht="21" customHeight="1" x14ac:dyDescent="0.2">
      <c r="B4" s="215"/>
      <c r="C4" s="183" t="s">
        <v>476</v>
      </c>
    </row>
    <row r="5" spans="2:6" ht="21" customHeight="1" x14ac:dyDescent="0.2">
      <c r="B5" s="197"/>
    </row>
    <row r="6" spans="2:6" ht="21" customHeight="1" x14ac:dyDescent="0.2">
      <c r="B6" s="216" t="s">
        <v>478</v>
      </c>
      <c r="C6" s="183" t="s">
        <v>479</v>
      </c>
      <c r="D6" s="200"/>
    </row>
    <row r="7" spans="2:6" ht="21" customHeight="1" x14ac:dyDescent="0.2">
      <c r="B7" s="216"/>
      <c r="C7" s="183" t="s">
        <v>480</v>
      </c>
      <c r="D7" s="200"/>
    </row>
    <row r="8" spans="2:6" ht="21" customHeight="1" x14ac:dyDescent="0.2">
      <c r="B8" s="216"/>
      <c r="C8" s="183" t="s">
        <v>481</v>
      </c>
      <c r="D8" s="200"/>
    </row>
    <row r="9" spans="2:6" ht="21" customHeight="1" x14ac:dyDescent="0.2">
      <c r="B9" s="216"/>
      <c r="C9" s="183" t="s">
        <v>511</v>
      </c>
      <c r="D9" s="200"/>
    </row>
    <row r="10" spans="2:6" ht="21" customHeight="1" x14ac:dyDescent="0.2">
      <c r="B10" s="216"/>
      <c r="C10" s="183" t="s">
        <v>512</v>
      </c>
      <c r="D10" s="200"/>
    </row>
    <row r="11" spans="2:6" ht="21" customHeight="1" x14ac:dyDescent="0.2">
      <c r="B11" s="216"/>
      <c r="C11" s="183" t="s">
        <v>513</v>
      </c>
      <c r="D11" s="200"/>
    </row>
    <row r="12" spans="2:6" ht="21" customHeight="1" x14ac:dyDescent="0.2">
      <c r="B12" s="216"/>
      <c r="C12" s="183" t="s">
        <v>514</v>
      </c>
      <c r="D12" s="200"/>
    </row>
    <row r="13" spans="2:6" ht="21" customHeight="1" x14ac:dyDescent="0.2">
      <c r="B13" s="216"/>
      <c r="C13" s="183" t="s">
        <v>515</v>
      </c>
      <c r="D13" s="200"/>
    </row>
    <row r="14" spans="2:6" ht="21" customHeight="1" x14ac:dyDescent="0.2">
      <c r="B14" s="216"/>
      <c r="C14" s="183" t="s">
        <v>516</v>
      </c>
      <c r="D14" s="200"/>
    </row>
    <row r="15" spans="2:6" ht="21" customHeight="1" x14ac:dyDescent="0.2">
      <c r="B15" s="216"/>
      <c r="C15" s="183" t="s">
        <v>517</v>
      </c>
      <c r="D15" s="200"/>
    </row>
    <row r="17" spans="2:6" ht="21" customHeight="1" x14ac:dyDescent="0.2">
      <c r="B17" s="216" t="s">
        <v>482</v>
      </c>
      <c r="C17" s="183" t="s">
        <v>483</v>
      </c>
      <c r="E17" s="201">
        <v>0.05</v>
      </c>
      <c r="F17" s="185">
        <v>0.15</v>
      </c>
    </row>
    <row r="18" spans="2:6" ht="21" customHeight="1" x14ac:dyDescent="0.2">
      <c r="B18" s="216"/>
      <c r="C18" s="183" t="s">
        <v>484</v>
      </c>
      <c r="E18" s="202"/>
    </row>
    <row r="19" spans="2:6" ht="21" customHeight="1" x14ac:dyDescent="0.2">
      <c r="B19" s="216"/>
      <c r="C19" s="183" t="s">
        <v>485</v>
      </c>
      <c r="E19" s="202"/>
    </row>
    <row r="20" spans="2:6" ht="21" customHeight="1" x14ac:dyDescent="0.2">
      <c r="B20" s="216"/>
      <c r="C20" s="183" t="s">
        <v>486</v>
      </c>
      <c r="E20" s="202"/>
    </row>
    <row r="21" spans="2:6" ht="21" customHeight="1" x14ac:dyDescent="0.2">
      <c r="B21" s="216"/>
      <c r="C21" s="183" t="s">
        <v>487</v>
      </c>
      <c r="E21" s="202"/>
    </row>
    <row r="22" spans="2:6" ht="21" customHeight="1" x14ac:dyDescent="0.2">
      <c r="B22" s="216"/>
      <c r="C22" s="183" t="s">
        <v>488</v>
      </c>
      <c r="D22" s="204">
        <v>0</v>
      </c>
      <c r="E22" s="202"/>
    </row>
    <row r="23" spans="2:6" ht="21" customHeight="1" x14ac:dyDescent="0.2">
      <c r="B23" s="216"/>
      <c r="C23" s="183" t="s">
        <v>489</v>
      </c>
      <c r="E23" s="202"/>
    </row>
    <row r="24" spans="2:6" ht="21" customHeight="1" x14ac:dyDescent="0.2">
      <c r="B24" s="216"/>
      <c r="C24" s="183" t="s">
        <v>490</v>
      </c>
      <c r="E24" s="202"/>
      <c r="F24" s="203">
        <v>0.15</v>
      </c>
    </row>
    <row r="25" spans="2:6" ht="21" customHeight="1" x14ac:dyDescent="0.2">
      <c r="B25" s="216"/>
      <c r="C25" s="183" t="s">
        <v>491</v>
      </c>
      <c r="E25" s="202"/>
    </row>
    <row r="26" spans="2:6" ht="21" customHeight="1" x14ac:dyDescent="0.2">
      <c r="B26" s="216"/>
      <c r="C26" s="183" t="s">
        <v>492</v>
      </c>
      <c r="E26" s="202"/>
      <c r="F26" s="203">
        <v>0.15</v>
      </c>
    </row>
    <row r="27" spans="2:6" ht="21" customHeight="1" x14ac:dyDescent="0.2">
      <c r="B27" s="216"/>
      <c r="C27" s="183" t="s">
        <v>493</v>
      </c>
      <c r="E27" s="202"/>
      <c r="F27" s="203">
        <v>0.15</v>
      </c>
    </row>
    <row r="28" spans="2:6" ht="21" customHeight="1" x14ac:dyDescent="0.2">
      <c r="B28" s="216"/>
      <c r="C28" s="183" t="s">
        <v>494</v>
      </c>
      <c r="E28" s="202"/>
    </row>
    <row r="29" spans="2:6" ht="21" customHeight="1" x14ac:dyDescent="0.2">
      <c r="B29" s="216"/>
      <c r="C29" s="183" t="s">
        <v>495</v>
      </c>
      <c r="E29" s="202"/>
    </row>
    <row r="30" spans="2:6" ht="21" customHeight="1" x14ac:dyDescent="0.2">
      <c r="B30" s="216"/>
      <c r="C30" s="183" t="s">
        <v>496</v>
      </c>
      <c r="E30" s="202"/>
    </row>
    <row r="31" spans="2:6" ht="21" customHeight="1" x14ac:dyDescent="0.2">
      <c r="B31" s="216"/>
      <c r="C31" s="183" t="s">
        <v>497</v>
      </c>
      <c r="E31" s="202"/>
    </row>
    <row r="32" spans="2:6" ht="21" customHeight="1" x14ac:dyDescent="0.2">
      <c r="B32" s="216"/>
      <c r="C32" s="183" t="s">
        <v>498</v>
      </c>
      <c r="E32" s="202"/>
    </row>
    <row r="33" spans="2:3" ht="21" customHeight="1" x14ac:dyDescent="0.2">
      <c r="B33" s="216"/>
      <c r="C33" s="183" t="s">
        <v>499</v>
      </c>
    </row>
  </sheetData>
  <mergeCells count="4">
    <mergeCell ref="B3:B4"/>
    <mergeCell ref="B6:B15"/>
    <mergeCell ref="B17:B33"/>
    <mergeCell ref="D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FE816F83D7E243AB64ABA8E77FBEFC" ma:contentTypeVersion="11" ma:contentTypeDescription="Create a new document." ma:contentTypeScope="" ma:versionID="eee9461f9cc42f01d0338e5ac16afe84">
  <xsd:schema xmlns:xsd="http://www.w3.org/2001/XMLSchema" xmlns:xs="http://www.w3.org/2001/XMLSchema" xmlns:p="http://schemas.microsoft.com/office/2006/metadata/properties" xmlns:ns2="a18746af-c64f-447a-ad5f-6153cee11582" xmlns:ns3="e43402ce-3262-4555-905a-2cfa98477170" targetNamespace="http://schemas.microsoft.com/office/2006/metadata/properties" ma:root="true" ma:fieldsID="bfbd12c944e3d5911e44152428d9f976" ns2:_="" ns3:_="">
    <xsd:import namespace="a18746af-c64f-447a-ad5f-6153cee11582"/>
    <xsd:import namespace="e43402ce-3262-4555-905a-2cfa984771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746af-c64f-447a-ad5f-6153cee115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4857a13-b582-49da-9404-d9c5f581bb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402ce-3262-4555-905a-2cfa9847717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11566d1-dae6-4407-95b2-905f8ff7c7a2}" ma:internalName="TaxCatchAll" ma:showField="CatchAllData" ma:web="e43402ce-3262-4555-905a-2cfa984771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3402ce-3262-4555-905a-2cfa98477170" xsi:nil="true"/>
    <lcf76f155ced4ddcb4097134ff3c332f xmlns="a18746af-c64f-447a-ad5f-6153cee1158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5667BE-6AA9-41C1-A6BE-65860EF967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8746af-c64f-447a-ad5f-6153cee11582"/>
    <ds:schemaRef ds:uri="e43402ce-3262-4555-905a-2cfa98477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E1BFDA-B400-4934-901E-03BBDF2D4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10FDCF-66A8-4C9A-8CDB-3A26A7D3526F}">
  <ds:schemaRefs>
    <ds:schemaRef ds:uri="http://schemas.microsoft.com/office/2006/metadata/properties"/>
    <ds:schemaRef ds:uri="http://purl.org/dc/terms/"/>
    <ds:schemaRef ds:uri="a18746af-c64f-447a-ad5f-6153cee11582"/>
    <ds:schemaRef ds:uri="http://www.w3.org/XML/1998/namespace"/>
    <ds:schemaRef ds:uri="http://schemas.microsoft.com/office/infopath/2007/PartnerControls"/>
    <ds:schemaRef ds:uri="e43402ce-3262-4555-905a-2cfa9847717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ESTUDO</vt:lpstr>
      <vt:lpstr>QUOTE</vt:lpstr>
      <vt:lpstr>DESKQUOTE</vt:lpstr>
      <vt:lpstr>Base</vt:lpstr>
      <vt:lpstr>INPUTS</vt:lpstr>
      <vt:lpstr>Pricing</vt:lpstr>
      <vt:lpstr>Input data (H1 - estimativa)</vt:lpstr>
      <vt:lpstr>Input data (H2 - emissão)</vt:lpstr>
      <vt:lpstr>Coberturas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VICENTINI</dc:creator>
  <cp:lastModifiedBy>Felipe Pereira</cp:lastModifiedBy>
  <dcterms:created xsi:type="dcterms:W3CDTF">2025-08-18T18:25:07Z</dcterms:created>
  <dcterms:modified xsi:type="dcterms:W3CDTF">2025-09-26T20:41:30Z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0x010100D9FE816F83D7E243AB64ABA8E77FBEFC</vt:lpwstr>
  </property>
  <property fmtid="{D5CDD505-2E9C-101B-9397-08002B2CF9AE}" pid="3" name="MediaServiceImageTags">
    <vt:lpwstr/>
  </property>
</Properties>
</file>